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66925"/>
  <xr:revisionPtr revIDLastSave="0" documentId="13_ncr:1_{B5483C07-E429-4105-9BD5-91173A66A4B8}" xr6:coauthVersionLast="47" xr6:coauthVersionMax="47" xr10:uidLastSave="{00000000-0000-0000-0000-000000000000}"/>
  <bookViews>
    <workbookView xWindow="-12800" yWindow="-21710" windowWidth="38620" windowHeight="21100" tabRatio="961" firstSheet="55" activeTab="84" xr2:uid="{00000000-000D-0000-FFFF-FFFF00000000}"/>
  </bookViews>
  <sheets>
    <sheet name="000" sheetId="167" r:id="rId1"/>
    <sheet name="001x" sheetId="240" r:id="rId2"/>
    <sheet name="001a" sheetId="154" r:id="rId3"/>
    <sheet name="001b" sheetId="170" r:id="rId4"/>
    <sheet name="002" sheetId="155" r:id="rId5"/>
    <sheet name="003a" sheetId="156" r:id="rId6"/>
    <sheet name="003b" sheetId="160" r:id="rId7"/>
    <sheet name="005" sheetId="164" r:id="rId8"/>
    <sheet name="A01b" sheetId="177" r:id="rId9"/>
    <sheet name="A01c" sheetId="178" r:id="rId10"/>
    <sheet name="A01d" sheetId="241" r:id="rId11"/>
    <sheet name="A02-FE00" sheetId="143" r:id="rId12"/>
    <sheet name="A03-FE01" sheetId="144" r:id="rId13"/>
    <sheet name="A04-FE02" sheetId="145" r:id="rId14"/>
    <sheet name="A05-FE03" sheetId="146" r:id="rId15"/>
    <sheet name="AN01" sheetId="173" r:id="rId16"/>
    <sheet name="AN02" sheetId="247" r:id="rId17"/>
    <sheet name="AW01a" sheetId="185" r:id="rId18"/>
    <sheet name="AW01b" sheetId="101" r:id="rId19"/>
    <sheet name="AW01c" sheetId="228" r:id="rId20"/>
    <sheet name="BC00" sheetId="206" r:id="rId21"/>
    <sheet name="BC02" sheetId="117" r:id="rId22"/>
    <sheet name="BC04" sheetId="112" r:id="rId23"/>
    <sheet name="BU02" sheetId="120" r:id="rId24"/>
    <sheet name="D01b" sheetId="116" r:id="rId25"/>
    <sheet name="D03" sheetId="86" r:id="rId26"/>
    <sheet name="DO04" sheetId="88" r:id="rId27"/>
    <sheet name="DO04b" sheetId="91" r:id="rId28"/>
    <sheet name="DO04c" sheetId="94" r:id="rId29"/>
    <sheet name="DO12" sheetId="99" r:id="rId30"/>
    <sheet name="DO12b" sheetId="107" r:id="rId31"/>
    <sheet name="DO13" sheetId="162" r:id="rId32"/>
    <sheet name="DO14" sheetId="163" r:id="rId33"/>
    <sheet name="DO15" sheetId="168" r:id="rId34"/>
    <sheet name="H03" sheetId="125" r:id="rId35"/>
    <sheet name="H04" sheetId="95" r:id="rId36"/>
    <sheet name="H04b" sheetId="161" r:id="rId37"/>
    <sheet name="H04c" sheetId="176" r:id="rId38"/>
    <sheet name="H07" sheetId="250" r:id="rId39"/>
    <sheet name="KG01" sheetId="121" r:id="rId40"/>
    <sheet name="KG01b" sheetId="182" r:id="rId41"/>
    <sheet name="KG02" sheetId="166" r:id="rId42"/>
    <sheet name="KO01" sheetId="114" r:id="rId43"/>
    <sheet name="KO02" sheetId="115" r:id="rId44"/>
    <sheet name="KO02b" sheetId="242" r:id="rId45"/>
    <sheet name="KO03" sheetId="124" r:id="rId46"/>
    <sheet name="KO03b" sheetId="239" r:id="rId47"/>
    <sheet name="L05" sheetId="123" r:id="rId48"/>
    <sheet name="L06" sheetId="246" r:id="rId49"/>
    <sheet name="L07" sheetId="249" r:id="rId50"/>
    <sheet name="P10b" sheetId="89" r:id="rId51"/>
    <sheet name="P19" sheetId="132" r:id="rId52"/>
    <sheet name="P19b" sheetId="171" r:id="rId53"/>
    <sheet name="PH01" sheetId="105" r:id="rId54"/>
    <sheet name="PH01d" sheetId="104" r:id="rId55"/>
    <sheet name="R02" sheetId="142" r:id="rId56"/>
    <sheet name="R03" sheetId="92" r:id="rId57"/>
    <sheet name="R05" sheetId="102" r:id="rId58"/>
    <sheet name="R06" sheetId="111" r:id="rId59"/>
    <sheet name="R07" sheetId="113" r:id="rId60"/>
    <sheet name="R10" sheetId="248" r:id="rId61"/>
    <sheet name="RV00" sheetId="103" r:id="rId62"/>
    <sheet name="RV01" sheetId="97" r:id="rId63"/>
    <sheet name="RV01b" sheetId="98" r:id="rId64"/>
    <sheet name="RV02" sheetId="118" r:id="rId65"/>
    <sheet name="RV02b" sheetId="119" r:id="rId66"/>
    <sheet name="SL01" sheetId="87" r:id="rId67"/>
    <sheet name="SL02" sheetId="93" r:id="rId68"/>
    <sheet name="SL03" sheetId="243" r:id="rId69"/>
    <sheet name="U01" sheetId="96" r:id="rId70"/>
    <sheet name="U01b" sheetId="109" r:id="rId71"/>
    <sheet name="U01c" sheetId="110" r:id="rId72"/>
    <sheet name="UM02" sheetId="181" r:id="rId73"/>
    <sheet name="UM03" sheetId="244" r:id="rId74"/>
    <sheet name="UM03b" sheetId="245" r:id="rId75"/>
    <sheet name="WO31" sheetId="147" r:id="rId76"/>
    <sheet name="WO32b" sheetId="100" r:id="rId77"/>
    <sheet name="WO33" sheetId="184" r:id="rId78"/>
    <sheet name="WSH04" sheetId="90" r:id="rId79"/>
    <sheet name="WSH04b" sheetId="172" r:id="rId80"/>
    <sheet name="WSH06" sheetId="127" r:id="rId81"/>
    <sheet name="WSH08" sheetId="128" r:id="rId82"/>
    <sheet name="WSH08b" sheetId="180" r:id="rId83"/>
    <sheet name="WSH09" sheetId="108" r:id="rId84"/>
    <sheet name="WSH99" sheetId="126" r:id="rId85"/>
    <sheet name="Z01b" sheetId="183" r:id="rId86"/>
    <sheet name="00x" sheetId="151" r:id="rId87"/>
    <sheet name="00y" sheetId="152" r:id="rId88"/>
    <sheet name="00z" sheetId="153" r:id="rId89"/>
    <sheet name="AcktualRun" sheetId="165" r:id="rId90"/>
    <sheet name="AW01" sheetId="233" r:id="rId91"/>
    <sheet name="Summary" sheetId="252" r:id="rId92"/>
  </sheets>
  <definedNames>
    <definedName name="_xlnm._FilterDatabase">AcktualRun!$A$1:$E$70</definedName>
    <definedName name="AHV_1">#REF!</definedName>
    <definedName name="AHV_2">#REF!</definedName>
    <definedName name="AHV_3">#REF!</definedName>
    <definedName name="AHV_4">#REF!</definedName>
    <definedName name="AHV_5">#REF!</definedName>
    <definedName name="AHV_6">#REF!</definedName>
    <definedName name="AlterMann">#REF!</definedName>
    <definedName name="asdf">#REF!</definedName>
    <definedName name="D">#REF!</definedName>
    <definedName name="Dossier_End2End_1">#REF!</definedName>
    <definedName name="DossierName">#REF!</definedName>
    <definedName name="DossierName1">#REF!</definedName>
    <definedName name="First_Feamale_1">#REF!</definedName>
    <definedName name="First_Feamale_3">#REF!</definedName>
    <definedName name="First_Female_2">#REF!</definedName>
    <definedName name="First_Female_3">#REF!</definedName>
    <definedName name="First_Female_4">#REF!</definedName>
    <definedName name="First_Female_5">#REF!</definedName>
    <definedName name="FrauAlter">#REF!</definedName>
    <definedName name="Kind1Alter">#REF!</definedName>
    <definedName name="Kind2Alter">#REF!</definedName>
    <definedName name="KlientName">#REF!</definedName>
    <definedName name="NameMutter">#REF!</definedName>
    <definedName name="NameSohn">#REF!</definedName>
    <definedName name="NameTochter">#REF!</definedName>
    <definedName name="NameVater">#REF!</definedName>
    <definedName name="RandomStart">#REF!</definedName>
    <definedName name="s">#REF!</definedName>
    <definedName name="SpeedFaktor">'000'!$B$27</definedName>
    <definedName name="URL">#REF!</definedName>
    <definedName name="URLAVENTIS">#REF!</definedName>
    <definedName name="URLDemoAventis">#REF!</definedName>
    <definedName name="URLDevAventis">#REF!</definedName>
    <definedName name="URLTestAventis">#REF!</definedName>
    <definedName name="URLTestru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13" l="1"/>
  <c r="G1" i="101"/>
  <c r="K6" i="101"/>
  <c r="M69" i="160"/>
  <c r="M70" i="160"/>
  <c r="M71" i="160"/>
  <c r="M67" i="160"/>
  <c r="M68" i="160"/>
  <c r="N67" i="160"/>
  <c r="E4" i="92"/>
  <c r="C4" i="92" s="1"/>
  <c r="I4" i="124"/>
  <c r="I4" i="239" s="1"/>
  <c r="E4" i="239" s="1"/>
  <c r="C4" i="239" s="1"/>
  <c r="D25" i="142"/>
  <c r="E25" i="142" s="1" a="1"/>
  <c r="E25" i="142" s="1"/>
  <c r="E36" i="142" a="1"/>
  <c r="E36" i="142" s="1"/>
  <c r="E33" i="142" a="1"/>
  <c r="E33" i="142" s="1"/>
  <c r="I72" i="165"/>
  <c r="F72" i="165"/>
  <c r="G70" i="153"/>
  <c r="G69" i="153"/>
  <c r="J66" i="153"/>
  <c r="K20" i="153" s="1"/>
  <c r="I66" i="153"/>
  <c r="H66" i="153"/>
  <c r="J65" i="153"/>
  <c r="I65" i="153"/>
  <c r="H65" i="153"/>
  <c r="J64" i="153"/>
  <c r="I64" i="153"/>
  <c r="M18" i="153" s="1"/>
  <c r="H64" i="153"/>
  <c r="G64" i="153"/>
  <c r="G65" i="153" s="1"/>
  <c r="J63" i="153"/>
  <c r="I63" i="153"/>
  <c r="H63" i="153"/>
  <c r="G63" i="153"/>
  <c r="G57" i="153"/>
  <c r="E57" i="153"/>
  <c r="C57" i="153" s="1"/>
  <c r="E52" i="153"/>
  <c r="C52" i="153" s="1"/>
  <c r="G50" i="153"/>
  <c r="G39" i="153"/>
  <c r="E39" i="153" s="1"/>
  <c r="C39" i="153" s="1"/>
  <c r="E37" i="153"/>
  <c r="C37" i="153" s="1"/>
  <c r="E34" i="153"/>
  <c r="C34" i="153"/>
  <c r="E31" i="153"/>
  <c r="C31" i="153"/>
  <c r="I29" i="153"/>
  <c r="G29" i="153"/>
  <c r="K27" i="153"/>
  <c r="I27" i="153"/>
  <c r="K25" i="153"/>
  <c r="G25" i="153"/>
  <c r="E23" i="153"/>
  <c r="C23" i="153" s="1"/>
  <c r="E21" i="153"/>
  <c r="C21" i="153"/>
  <c r="AF20" i="153"/>
  <c r="AC20" i="153" s="1"/>
  <c r="O20" i="153"/>
  <c r="M20" i="153"/>
  <c r="I20" i="153"/>
  <c r="AF19" i="153"/>
  <c r="AC19" i="153" s="1"/>
  <c r="Z19" i="153" s="1"/>
  <c r="O19" i="153"/>
  <c r="M19" i="153"/>
  <c r="K19" i="153"/>
  <c r="I19" i="153"/>
  <c r="AF18" i="153"/>
  <c r="AC18" i="153" s="1"/>
  <c r="O18" i="153"/>
  <c r="K18" i="153"/>
  <c r="I18" i="153"/>
  <c r="E17" i="153"/>
  <c r="C17" i="153" s="1"/>
  <c r="E12" i="153"/>
  <c r="C12" i="153"/>
  <c r="I11" i="153"/>
  <c r="E11" i="153" s="1"/>
  <c r="C11" i="153" s="1"/>
  <c r="G11" i="153"/>
  <c r="E10" i="153"/>
  <c r="C10" i="153" s="1"/>
  <c r="O7" i="153"/>
  <c r="K7" i="153"/>
  <c r="I7" i="153"/>
  <c r="I6" i="153"/>
  <c r="G6" i="153"/>
  <c r="AF5" i="153"/>
  <c r="AC5" i="153" s="1"/>
  <c r="Z5" i="153" s="1"/>
  <c r="Q5" i="153"/>
  <c r="K5" i="153"/>
  <c r="I4" i="153"/>
  <c r="I5" i="153" s="1"/>
  <c r="G4" i="153"/>
  <c r="O46" i="153" s="1"/>
  <c r="E3" i="153"/>
  <c r="C3" i="153" s="1"/>
  <c r="E2" i="153"/>
  <c r="C2" i="153"/>
  <c r="G1" i="153"/>
  <c r="G70" i="152"/>
  <c r="I64" i="152" s="1"/>
  <c r="M18" i="152" s="1"/>
  <c r="G69" i="152"/>
  <c r="J64" i="152" s="1"/>
  <c r="K18" i="152" s="1"/>
  <c r="J66" i="152"/>
  <c r="K20" i="152" s="1"/>
  <c r="H66" i="152"/>
  <c r="I20" i="152" s="1"/>
  <c r="J65" i="152"/>
  <c r="K19" i="152" s="1"/>
  <c r="H65" i="152"/>
  <c r="G65" i="152"/>
  <c r="H64" i="152"/>
  <c r="I18" i="152" s="1"/>
  <c r="G64" i="152"/>
  <c r="J63" i="152"/>
  <c r="H63" i="152"/>
  <c r="G63" i="152"/>
  <c r="G57" i="152"/>
  <c r="E57" i="152" s="1"/>
  <c r="C57" i="152" s="1"/>
  <c r="G53" i="152"/>
  <c r="E53" i="152" s="1"/>
  <c r="C53" i="152" s="1"/>
  <c r="E52" i="152"/>
  <c r="C52" i="152" s="1"/>
  <c r="G50" i="152"/>
  <c r="I55" i="152" s="1"/>
  <c r="E55" i="152" s="1"/>
  <c r="C55" i="152" s="1"/>
  <c r="E50" i="152"/>
  <c r="C50" i="152" s="1"/>
  <c r="G44" i="152"/>
  <c r="E44" i="152" s="1"/>
  <c r="C44" i="152" s="1"/>
  <c r="E37" i="152"/>
  <c r="C37" i="152"/>
  <c r="E34" i="152"/>
  <c r="C34" i="152" s="1"/>
  <c r="E31" i="152"/>
  <c r="C31" i="152"/>
  <c r="I29" i="152"/>
  <c r="G29" i="152"/>
  <c r="K27" i="152"/>
  <c r="I27" i="152"/>
  <c r="K25" i="152"/>
  <c r="G25" i="152"/>
  <c r="G24" i="152"/>
  <c r="E24" i="152" s="1"/>
  <c r="C24" i="152" s="1"/>
  <c r="E23" i="152"/>
  <c r="C23" i="152" s="1"/>
  <c r="E21" i="152"/>
  <c r="C21" i="152" s="1"/>
  <c r="AF20" i="152"/>
  <c r="AC20" i="152" s="1"/>
  <c r="Z20" i="152" s="1"/>
  <c r="Y20" i="152" s="1"/>
  <c r="O20" i="152"/>
  <c r="AF19" i="152"/>
  <c r="AC19" i="152" s="1"/>
  <c r="Z19" i="152" s="1"/>
  <c r="O19" i="152"/>
  <c r="I19" i="152"/>
  <c r="AF18" i="152"/>
  <c r="AC18" i="152" s="1"/>
  <c r="O18" i="152"/>
  <c r="E17" i="152"/>
  <c r="C17" i="152"/>
  <c r="G14" i="152"/>
  <c r="E12" i="152"/>
  <c r="C12" i="152"/>
  <c r="I11" i="152"/>
  <c r="G11" i="152"/>
  <c r="G43" i="152" s="1"/>
  <c r="E43" i="152" s="1"/>
  <c r="C43" i="152" s="1"/>
  <c r="E10" i="152"/>
  <c r="C10" i="152"/>
  <c r="O7" i="152"/>
  <c r="K7" i="152"/>
  <c r="I7" i="152"/>
  <c r="I6" i="152"/>
  <c r="G6" i="152"/>
  <c r="AF5" i="152"/>
  <c r="AC5" i="152" s="1"/>
  <c r="Z5" i="152" s="1"/>
  <c r="Y5" i="152" s="1"/>
  <c r="Q5" i="152"/>
  <c r="I4" i="152"/>
  <c r="I5" i="152" s="1"/>
  <c r="G4" i="152"/>
  <c r="E3" i="152"/>
  <c r="C3" i="152" s="1"/>
  <c r="E2" i="152"/>
  <c r="C2" i="152"/>
  <c r="G1" i="152"/>
  <c r="G70" i="151"/>
  <c r="I65" i="151" s="1"/>
  <c r="M19" i="151" s="1"/>
  <c r="G69" i="151"/>
  <c r="J66" i="151"/>
  <c r="K20" i="151" s="1"/>
  <c r="I66" i="151"/>
  <c r="M20" i="151" s="1"/>
  <c r="H66" i="151"/>
  <c r="J65" i="151"/>
  <c r="H65" i="151"/>
  <c r="J64" i="151"/>
  <c r="K18" i="151" s="1"/>
  <c r="I64" i="151"/>
  <c r="M18" i="151" s="1"/>
  <c r="H64" i="151"/>
  <c r="I18" i="151" s="1"/>
  <c r="G64" i="151"/>
  <c r="G65" i="151" s="1"/>
  <c r="J63" i="151"/>
  <c r="Q5" i="151" s="1"/>
  <c r="I63" i="151"/>
  <c r="K5" i="151" s="1"/>
  <c r="H63" i="151"/>
  <c r="G63" i="151"/>
  <c r="G11" i="151" s="1"/>
  <c r="G53" i="151" s="1"/>
  <c r="E53" i="151" s="1"/>
  <c r="C53" i="151" s="1"/>
  <c r="E52" i="151"/>
  <c r="C52" i="151" s="1"/>
  <c r="E37" i="151"/>
  <c r="C37" i="151" s="1"/>
  <c r="E34" i="151"/>
  <c r="C34" i="151" s="1"/>
  <c r="E31" i="151"/>
  <c r="C31" i="151"/>
  <c r="I29" i="151"/>
  <c r="G29" i="151"/>
  <c r="K27" i="151"/>
  <c r="I27" i="151"/>
  <c r="K25" i="151"/>
  <c r="G25" i="151"/>
  <c r="E23" i="151"/>
  <c r="C23" i="151" s="1"/>
  <c r="E21" i="151"/>
  <c r="C21" i="151" s="1"/>
  <c r="AF20" i="151"/>
  <c r="AC20" i="151" s="1"/>
  <c r="O20" i="151"/>
  <c r="I20" i="151"/>
  <c r="AF19" i="151"/>
  <c r="AC19" i="151" s="1"/>
  <c r="Z19" i="151" s="1"/>
  <c r="O19" i="151"/>
  <c r="K19" i="151"/>
  <c r="I19" i="151"/>
  <c r="AF18" i="151"/>
  <c r="AC18" i="151" s="1"/>
  <c r="O18" i="151"/>
  <c r="E17" i="151"/>
  <c r="C17" i="151" s="1"/>
  <c r="E12" i="151"/>
  <c r="C12" i="151"/>
  <c r="I11" i="151"/>
  <c r="E10" i="151"/>
  <c r="C10" i="151"/>
  <c r="O7" i="151"/>
  <c r="K7" i="151"/>
  <c r="I7" i="151"/>
  <c r="I6" i="151"/>
  <c r="G6" i="151"/>
  <c r="AF5" i="151"/>
  <c r="AC5" i="151" s="1"/>
  <c r="Z5" i="151" s="1"/>
  <c r="Y5" i="151" s="1"/>
  <c r="I4" i="151"/>
  <c r="I5" i="151" s="1"/>
  <c r="G4" i="151"/>
  <c r="E3" i="151"/>
  <c r="C3" i="151"/>
  <c r="E2" i="151"/>
  <c r="C2" i="151"/>
  <c r="G1" i="151"/>
  <c r="F74" i="183" a="1"/>
  <c r="F74" i="183"/>
  <c r="F71" i="183" a="1"/>
  <c r="F71" i="183"/>
  <c r="E63" i="183"/>
  <c r="G60" i="183"/>
  <c r="I53" i="183" s="1"/>
  <c r="K5" i="183" s="1"/>
  <c r="G59" i="183"/>
  <c r="J56" i="183" s="1"/>
  <c r="K21" i="183" s="1"/>
  <c r="I56" i="183"/>
  <c r="M21" i="183" s="1"/>
  <c r="H56" i="183"/>
  <c r="I21" i="183" s="1"/>
  <c r="J55" i="183"/>
  <c r="K20" i="183" s="1"/>
  <c r="H55" i="183"/>
  <c r="I20" i="183" s="1"/>
  <c r="G55" i="183"/>
  <c r="J54" i="183"/>
  <c r="K19" i="183" s="1"/>
  <c r="I54" i="183"/>
  <c r="H54" i="183"/>
  <c r="I19" i="183" s="1"/>
  <c r="G54" i="183"/>
  <c r="J53" i="183"/>
  <c r="Q5" i="183" s="1"/>
  <c r="H53" i="183"/>
  <c r="G53" i="183"/>
  <c r="E47" i="183"/>
  <c r="E41" i="183"/>
  <c r="C41" i="183"/>
  <c r="BI39" i="183"/>
  <c r="BG39" i="183"/>
  <c r="BE39" i="183"/>
  <c r="BC39" i="183"/>
  <c r="BA39" i="183"/>
  <c r="AY39" i="183"/>
  <c r="AW39" i="183"/>
  <c r="AU39" i="183"/>
  <c r="AS39" i="183"/>
  <c r="AQ39" i="183"/>
  <c r="AO39" i="183"/>
  <c r="AM39" i="183"/>
  <c r="AK39" i="183"/>
  <c r="AI39" i="183"/>
  <c r="BI38" i="183"/>
  <c r="BG38" i="183"/>
  <c r="BE38" i="183"/>
  <c r="BC38" i="183"/>
  <c r="BA38" i="183"/>
  <c r="AY38" i="183"/>
  <c r="AW38" i="183"/>
  <c r="AU38" i="183"/>
  <c r="AS38" i="183"/>
  <c r="AQ38" i="183"/>
  <c r="AO38" i="183"/>
  <c r="AM38" i="183"/>
  <c r="AK38" i="183"/>
  <c r="AI38" i="183"/>
  <c r="BI37" i="183"/>
  <c r="BG37" i="183"/>
  <c r="BE37" i="183"/>
  <c r="BC37" i="183"/>
  <c r="BA37" i="183"/>
  <c r="AY37" i="183"/>
  <c r="AW37" i="183"/>
  <c r="AU37" i="183"/>
  <c r="AS37" i="183"/>
  <c r="AQ37" i="183"/>
  <c r="AO37" i="183"/>
  <c r="AM37" i="183"/>
  <c r="AK37" i="183"/>
  <c r="AI37" i="183"/>
  <c r="E37" i="183"/>
  <c r="BI36" i="183"/>
  <c r="BG36" i="183"/>
  <c r="BE36" i="183"/>
  <c r="BC36" i="183"/>
  <c r="BA36" i="183"/>
  <c r="AY36" i="183"/>
  <c r="AW36" i="183"/>
  <c r="AU36" i="183"/>
  <c r="AS36" i="183"/>
  <c r="AQ36" i="183"/>
  <c r="AO36" i="183"/>
  <c r="AM36" i="183"/>
  <c r="AK36" i="183"/>
  <c r="AI36" i="183"/>
  <c r="BI35" i="183"/>
  <c r="BG35" i="183"/>
  <c r="BE35" i="183"/>
  <c r="BC35" i="183"/>
  <c r="BA35" i="183"/>
  <c r="AY35" i="183"/>
  <c r="AW35" i="183"/>
  <c r="AU35" i="183"/>
  <c r="AS35" i="183"/>
  <c r="AQ35" i="183"/>
  <c r="AO35" i="183"/>
  <c r="AM35" i="183"/>
  <c r="AK35" i="183"/>
  <c r="AI35" i="183"/>
  <c r="BI34" i="183"/>
  <c r="BG34" i="183"/>
  <c r="BE34" i="183"/>
  <c r="BC34" i="183"/>
  <c r="BA34" i="183"/>
  <c r="AY34" i="183"/>
  <c r="AW34" i="183"/>
  <c r="AU34" i="183"/>
  <c r="AS34" i="183"/>
  <c r="AQ34" i="183"/>
  <c r="AO34" i="183"/>
  <c r="AM34" i="183"/>
  <c r="AK34" i="183"/>
  <c r="AI34" i="183"/>
  <c r="E34" i="183"/>
  <c r="C34" i="183"/>
  <c r="BI33" i="183"/>
  <c r="BG33" i="183"/>
  <c r="BE33" i="183"/>
  <c r="BC33" i="183"/>
  <c r="BA33" i="183"/>
  <c r="AY33" i="183"/>
  <c r="AW33" i="183"/>
  <c r="AU33" i="183"/>
  <c r="AS33" i="183"/>
  <c r="AQ33" i="183"/>
  <c r="AO33" i="183"/>
  <c r="AM33" i="183"/>
  <c r="AK33" i="183"/>
  <c r="AI33" i="183"/>
  <c r="BI32" i="183"/>
  <c r="BG32" i="183"/>
  <c r="BE32" i="183"/>
  <c r="BC32" i="183"/>
  <c r="BA32" i="183"/>
  <c r="AY32" i="183"/>
  <c r="AW32" i="183"/>
  <c r="AU32" i="183"/>
  <c r="AS32" i="183"/>
  <c r="AQ32" i="183"/>
  <c r="AO32" i="183"/>
  <c r="AM32" i="183"/>
  <c r="AK32" i="183"/>
  <c r="AI32" i="183"/>
  <c r="E32" i="183"/>
  <c r="C32" i="183" s="1"/>
  <c r="BI31" i="183"/>
  <c r="BG31" i="183"/>
  <c r="BE31" i="183"/>
  <c r="BC31" i="183"/>
  <c r="BA31" i="183"/>
  <c r="AY31" i="183"/>
  <c r="AW31" i="183"/>
  <c r="AU31" i="183"/>
  <c r="AS31" i="183"/>
  <c r="AQ31" i="183"/>
  <c r="AO31" i="183"/>
  <c r="AM31" i="183"/>
  <c r="AK31" i="183"/>
  <c r="AI31" i="183"/>
  <c r="BI30" i="183"/>
  <c r="BG30" i="183"/>
  <c r="BE30" i="183"/>
  <c r="BC30" i="183"/>
  <c r="BA30" i="183"/>
  <c r="AY30" i="183"/>
  <c r="AW30" i="183"/>
  <c r="AU30" i="183"/>
  <c r="AS30" i="183"/>
  <c r="AQ30" i="183"/>
  <c r="AO30" i="183"/>
  <c r="AM30" i="183"/>
  <c r="AK30" i="183"/>
  <c r="AI30" i="183"/>
  <c r="E30" i="183"/>
  <c r="C30" i="183"/>
  <c r="BI29" i="183"/>
  <c r="BG29" i="183"/>
  <c r="BE29" i="183"/>
  <c r="BC29" i="183"/>
  <c r="BA29" i="183"/>
  <c r="AY29" i="183"/>
  <c r="AW29" i="183"/>
  <c r="AU29" i="183"/>
  <c r="AS29" i="183"/>
  <c r="AQ29" i="183"/>
  <c r="AO29" i="183"/>
  <c r="AM29" i="183"/>
  <c r="AK29" i="183"/>
  <c r="AI29" i="183"/>
  <c r="I29" i="183"/>
  <c r="G29" i="183"/>
  <c r="BI28" i="183"/>
  <c r="BG28" i="183"/>
  <c r="BE28" i="183"/>
  <c r="BC28" i="183"/>
  <c r="BA28" i="183"/>
  <c r="AY28" i="183"/>
  <c r="AW28" i="183"/>
  <c r="AU28" i="183"/>
  <c r="AS28" i="183"/>
  <c r="AQ28" i="183"/>
  <c r="AO28" i="183"/>
  <c r="AM28" i="183"/>
  <c r="AK28" i="183"/>
  <c r="AI28" i="183"/>
  <c r="K28" i="183"/>
  <c r="I28" i="183"/>
  <c r="BI27" i="183"/>
  <c r="BG27" i="183"/>
  <c r="BE27" i="183"/>
  <c r="BC27" i="183"/>
  <c r="BA27" i="183"/>
  <c r="AY27" i="183"/>
  <c r="AW27" i="183"/>
  <c r="AU27" i="183"/>
  <c r="AS27" i="183"/>
  <c r="AQ27" i="183"/>
  <c r="AO27" i="183"/>
  <c r="AM27" i="183"/>
  <c r="AK27" i="183"/>
  <c r="AI27" i="183"/>
  <c r="K27" i="183"/>
  <c r="G27" i="183"/>
  <c r="BI26" i="183"/>
  <c r="BG26" i="183"/>
  <c r="BE26" i="183"/>
  <c r="BC26" i="183"/>
  <c r="BA26" i="183"/>
  <c r="AY26" i="183"/>
  <c r="AW26" i="183"/>
  <c r="AU26" i="183"/>
  <c r="AS26" i="183"/>
  <c r="AQ26" i="183"/>
  <c r="AO26" i="183"/>
  <c r="AM26" i="183"/>
  <c r="AK26" i="183"/>
  <c r="AI26" i="183"/>
  <c r="BI25" i="183"/>
  <c r="BG25" i="183"/>
  <c r="BE25" i="183"/>
  <c r="BC25" i="183"/>
  <c r="BA25" i="183"/>
  <c r="AY25" i="183"/>
  <c r="AW25" i="183"/>
  <c r="AU25" i="183"/>
  <c r="AS25" i="183"/>
  <c r="AQ25" i="183"/>
  <c r="AO25" i="183"/>
  <c r="AM25" i="183"/>
  <c r="AK25" i="183"/>
  <c r="AI25" i="183"/>
  <c r="Q25" i="183"/>
  <c r="O25" i="183"/>
  <c r="BI24" i="183"/>
  <c r="BG24" i="183"/>
  <c r="BE24" i="183"/>
  <c r="BC24" i="183"/>
  <c r="BA24" i="183"/>
  <c r="AY24" i="183"/>
  <c r="AW24" i="183"/>
  <c r="AU24" i="183"/>
  <c r="AS24" i="183"/>
  <c r="AQ24" i="183"/>
  <c r="AO24" i="183"/>
  <c r="AM24" i="183"/>
  <c r="AK24" i="183"/>
  <c r="AI24" i="183"/>
  <c r="I24" i="183"/>
  <c r="I15" i="183" s="1"/>
  <c r="BI23" i="183"/>
  <c r="BG23" i="183"/>
  <c r="BE23" i="183"/>
  <c r="BC23" i="183"/>
  <c r="BA23" i="183"/>
  <c r="AY23" i="183"/>
  <c r="AW23" i="183"/>
  <c r="AU23" i="183"/>
  <c r="AS23" i="183"/>
  <c r="AQ23" i="183"/>
  <c r="AO23" i="183"/>
  <c r="AM23" i="183"/>
  <c r="AK23" i="183"/>
  <c r="AI23" i="183"/>
  <c r="BI22" i="183"/>
  <c r="BG22" i="183"/>
  <c r="BE22" i="183"/>
  <c r="BC22" i="183"/>
  <c r="BA22" i="183"/>
  <c r="AY22" i="183"/>
  <c r="AW22" i="183"/>
  <c r="AU22" i="183"/>
  <c r="AS22" i="183"/>
  <c r="AQ22" i="183"/>
  <c r="AO22" i="183"/>
  <c r="AM22" i="183"/>
  <c r="AK22" i="183"/>
  <c r="AI22" i="183"/>
  <c r="E22" i="183"/>
  <c r="C22" i="183" s="1"/>
  <c r="BI21" i="183"/>
  <c r="BG21" i="183"/>
  <c r="BE21" i="183"/>
  <c r="BC21" i="183"/>
  <c r="BA21" i="183"/>
  <c r="AY21" i="183"/>
  <c r="AW21" i="183"/>
  <c r="AU21" i="183"/>
  <c r="AS21" i="183"/>
  <c r="AQ21" i="183"/>
  <c r="AO21" i="183"/>
  <c r="AM21" i="183"/>
  <c r="AK21" i="183"/>
  <c r="AI21" i="183"/>
  <c r="O21" i="183"/>
  <c r="BI20" i="183"/>
  <c r="BG20" i="183"/>
  <c r="BE20" i="183"/>
  <c r="BC20" i="183"/>
  <c r="BA20" i="183"/>
  <c r="AY20" i="183"/>
  <c r="AW20" i="183"/>
  <c r="AU20" i="183"/>
  <c r="AS20" i="183"/>
  <c r="AQ20" i="183"/>
  <c r="AO20" i="183"/>
  <c r="AM20" i="183"/>
  <c r="AK20" i="183"/>
  <c r="AI20" i="183"/>
  <c r="O20" i="183"/>
  <c r="BI19" i="183"/>
  <c r="BG19" i="183"/>
  <c r="BE19" i="183"/>
  <c r="BC19" i="183"/>
  <c r="BA19" i="183"/>
  <c r="AY19" i="183"/>
  <c r="AW19" i="183"/>
  <c r="AU19" i="183"/>
  <c r="AS19" i="183"/>
  <c r="AQ19" i="183"/>
  <c r="AO19" i="183"/>
  <c r="AM19" i="183"/>
  <c r="AK19" i="183"/>
  <c r="AI19" i="183"/>
  <c r="O19" i="183"/>
  <c r="M19" i="183"/>
  <c r="BI18" i="183"/>
  <c r="BG18" i="183"/>
  <c r="BE18" i="183"/>
  <c r="BC18" i="183"/>
  <c r="BA18" i="183"/>
  <c r="AY18" i="183"/>
  <c r="AW18" i="183"/>
  <c r="AU18" i="183"/>
  <c r="AS18" i="183"/>
  <c r="AQ18" i="183"/>
  <c r="AO18" i="183"/>
  <c r="AM18" i="183"/>
  <c r="AK18" i="183"/>
  <c r="AI18" i="183"/>
  <c r="E18" i="183"/>
  <c r="C18" i="183"/>
  <c r="BI17" i="183"/>
  <c r="BG17" i="183"/>
  <c r="BE17" i="183"/>
  <c r="BC17" i="183"/>
  <c r="BA17" i="183"/>
  <c r="AY17" i="183"/>
  <c r="AW17" i="183"/>
  <c r="AU17" i="183"/>
  <c r="AS17" i="183"/>
  <c r="AQ17" i="183"/>
  <c r="AO17" i="183"/>
  <c r="AM17" i="183"/>
  <c r="AK17" i="183"/>
  <c r="AI17" i="183"/>
  <c r="BI16" i="183"/>
  <c r="BG16" i="183"/>
  <c r="BE16" i="183"/>
  <c r="BC16" i="183"/>
  <c r="BA16" i="183"/>
  <c r="AY16" i="183"/>
  <c r="AW16" i="183"/>
  <c r="AU16" i="183"/>
  <c r="AS16" i="183"/>
  <c r="AQ16" i="183"/>
  <c r="AO16" i="183"/>
  <c r="AM16" i="183"/>
  <c r="AK16" i="183"/>
  <c r="AI16" i="183"/>
  <c r="E16" i="183"/>
  <c r="BI15" i="183"/>
  <c r="BG15" i="183"/>
  <c r="BE15" i="183"/>
  <c r="BC15" i="183"/>
  <c r="BA15" i="183"/>
  <c r="AY15" i="183"/>
  <c r="AW15" i="183"/>
  <c r="AU15" i="183"/>
  <c r="AS15" i="183"/>
  <c r="AQ15" i="183"/>
  <c r="AO15" i="183"/>
  <c r="AM15" i="183"/>
  <c r="AK15" i="183"/>
  <c r="AI15" i="183"/>
  <c r="BI14" i="183"/>
  <c r="BG14" i="183"/>
  <c r="BE14" i="183"/>
  <c r="BC14" i="183"/>
  <c r="BA14" i="183"/>
  <c r="AY14" i="183"/>
  <c r="AW14" i="183"/>
  <c r="AU14" i="183"/>
  <c r="AS14" i="183"/>
  <c r="AQ14" i="183"/>
  <c r="AO14" i="183"/>
  <c r="AM14" i="183"/>
  <c r="AK14" i="183"/>
  <c r="AI14" i="183"/>
  <c r="E14" i="183"/>
  <c r="C14" i="183" s="1"/>
  <c r="BI13" i="183"/>
  <c r="BG13" i="183"/>
  <c r="BE13" i="183"/>
  <c r="BC13" i="183"/>
  <c r="BA13" i="183"/>
  <c r="AY13" i="183"/>
  <c r="AW13" i="183"/>
  <c r="AU13" i="183"/>
  <c r="AS13" i="183"/>
  <c r="AQ13" i="183"/>
  <c r="AO13" i="183"/>
  <c r="AM13" i="183"/>
  <c r="AK13" i="183"/>
  <c r="AI13" i="183"/>
  <c r="BI11" i="183"/>
  <c r="BG11" i="183"/>
  <c r="BE11" i="183"/>
  <c r="BC11" i="183"/>
  <c r="BA11" i="183"/>
  <c r="AY11" i="183"/>
  <c r="AW11" i="183"/>
  <c r="AU11" i="183"/>
  <c r="AS11" i="183"/>
  <c r="AQ11" i="183"/>
  <c r="AO11" i="183"/>
  <c r="AM11" i="183"/>
  <c r="AK11" i="183"/>
  <c r="AI11" i="183"/>
  <c r="I11" i="183"/>
  <c r="G11" i="183"/>
  <c r="G33" i="183" s="1"/>
  <c r="E33" i="183" s="1"/>
  <c r="C33" i="183" s="1"/>
  <c r="BI10" i="183"/>
  <c r="BG10" i="183"/>
  <c r="BE10" i="183"/>
  <c r="BC10" i="183"/>
  <c r="BA10" i="183"/>
  <c r="AY10" i="183"/>
  <c r="AW10" i="183"/>
  <c r="AU10" i="183"/>
  <c r="AS10" i="183"/>
  <c r="AQ10" i="183"/>
  <c r="AO10" i="183"/>
  <c r="AM10" i="183"/>
  <c r="AK10" i="183"/>
  <c r="AI10" i="183"/>
  <c r="E10" i="183"/>
  <c r="C10" i="183" s="1"/>
  <c r="BI9" i="183"/>
  <c r="BG9" i="183"/>
  <c r="BE9" i="183"/>
  <c r="BC9" i="183"/>
  <c r="BA9" i="183"/>
  <c r="AY9" i="183"/>
  <c r="AW9" i="183"/>
  <c r="AU9" i="183"/>
  <c r="AS9" i="183"/>
  <c r="AQ9" i="183"/>
  <c r="AO9" i="183"/>
  <c r="AM9" i="183"/>
  <c r="AK9" i="183"/>
  <c r="AI9" i="183"/>
  <c r="BI8" i="183"/>
  <c r="BG8" i="183"/>
  <c r="BE8" i="183"/>
  <c r="BC8" i="183"/>
  <c r="BA8" i="183"/>
  <c r="AY8" i="183"/>
  <c r="AW8" i="183"/>
  <c r="AU8" i="183"/>
  <c r="AS8" i="183"/>
  <c r="AQ8" i="183"/>
  <c r="AO8" i="183"/>
  <c r="AM8" i="183"/>
  <c r="AK8" i="183"/>
  <c r="AI8" i="183"/>
  <c r="E8" i="183"/>
  <c r="C8" i="183"/>
  <c r="BI7" i="183"/>
  <c r="BG7" i="183"/>
  <c r="BE7" i="183"/>
  <c r="BC7" i="183"/>
  <c r="BA7" i="183"/>
  <c r="AY7" i="183"/>
  <c r="AW7" i="183"/>
  <c r="AU7" i="183"/>
  <c r="AS7" i="183"/>
  <c r="AQ7" i="183"/>
  <c r="AO7" i="183"/>
  <c r="AM7" i="183"/>
  <c r="AK7" i="183"/>
  <c r="AI7" i="183"/>
  <c r="O7" i="183"/>
  <c r="K7" i="183"/>
  <c r="I7" i="183"/>
  <c r="BI6" i="183"/>
  <c r="BG6" i="183"/>
  <c r="BE6" i="183"/>
  <c r="BC6" i="183"/>
  <c r="BA6" i="183"/>
  <c r="AY6" i="183"/>
  <c r="AW6" i="183"/>
  <c r="AU6" i="183"/>
  <c r="AS6" i="183"/>
  <c r="AQ6" i="183"/>
  <c r="AO6" i="183"/>
  <c r="AM6" i="183"/>
  <c r="AK6" i="183"/>
  <c r="AI6" i="183"/>
  <c r="I6" i="183"/>
  <c r="G6" i="183"/>
  <c r="BI5" i="183"/>
  <c r="BG5" i="183"/>
  <c r="BE5" i="183"/>
  <c r="BC5" i="183"/>
  <c r="BA5" i="183"/>
  <c r="AY5" i="183"/>
  <c r="AW5" i="183"/>
  <c r="AU5" i="183"/>
  <c r="AS5" i="183"/>
  <c r="AQ5" i="183"/>
  <c r="AO5" i="183"/>
  <c r="AM5" i="183"/>
  <c r="AK5" i="183"/>
  <c r="AI5" i="183"/>
  <c r="I5" i="183"/>
  <c r="G5" i="183"/>
  <c r="BI4" i="183"/>
  <c r="BG4" i="183"/>
  <c r="BE4" i="183"/>
  <c r="BC4" i="183"/>
  <c r="BA4" i="183"/>
  <c r="AY4" i="183"/>
  <c r="AW4" i="183"/>
  <c r="AU4" i="183"/>
  <c r="AS4" i="183"/>
  <c r="AQ4" i="183"/>
  <c r="AO4" i="183"/>
  <c r="AM4" i="183"/>
  <c r="AK4" i="183"/>
  <c r="AI4" i="183"/>
  <c r="I4" i="183"/>
  <c r="G4" i="183"/>
  <c r="E4" i="183" s="1"/>
  <c r="C4" i="183" s="1"/>
  <c r="BI3" i="183"/>
  <c r="BG3" i="183"/>
  <c r="BE3" i="183"/>
  <c r="BC3" i="183"/>
  <c r="BA3" i="183"/>
  <c r="AY3" i="183"/>
  <c r="AW3" i="183"/>
  <c r="AU3" i="183"/>
  <c r="AS3" i="183"/>
  <c r="AQ3" i="183"/>
  <c r="AO3" i="183"/>
  <c r="AM3" i="183"/>
  <c r="AK3" i="183"/>
  <c r="AI3" i="183"/>
  <c r="E3" i="183"/>
  <c r="C3" i="183" s="1"/>
  <c r="BI2" i="183"/>
  <c r="BG2" i="183"/>
  <c r="BE2" i="183"/>
  <c r="BC2" i="183"/>
  <c r="BA2" i="183"/>
  <c r="AY2" i="183"/>
  <c r="AW2" i="183"/>
  <c r="AU2" i="183"/>
  <c r="AS2" i="183"/>
  <c r="AQ2" i="183"/>
  <c r="AO2" i="183"/>
  <c r="AM2" i="183"/>
  <c r="AK2" i="183"/>
  <c r="AI2" i="183"/>
  <c r="E2" i="183"/>
  <c r="C2" i="183"/>
  <c r="G1" i="183"/>
  <c r="AZ5" i="126"/>
  <c r="AX5" i="126"/>
  <c r="AV5" i="126"/>
  <c r="AT5" i="126"/>
  <c r="AR5" i="126"/>
  <c r="AP5" i="126"/>
  <c r="AN5" i="126"/>
  <c r="E5" i="126"/>
  <c r="C5" i="126" s="1"/>
  <c r="BB4" i="126"/>
  <c r="AZ4" i="126"/>
  <c r="AW4" i="126"/>
  <c r="AU4" i="126"/>
  <c r="AS4" i="126"/>
  <c r="AQ4" i="126"/>
  <c r="AO4" i="126"/>
  <c r="AM4" i="126"/>
  <c r="AK4" i="126"/>
  <c r="AI4" i="126"/>
  <c r="AG4" i="126"/>
  <c r="BB3" i="126"/>
  <c r="AZ3" i="126"/>
  <c r="AW3" i="126"/>
  <c r="AU3" i="126"/>
  <c r="AS3" i="126"/>
  <c r="AQ3" i="126"/>
  <c r="AO3" i="126"/>
  <c r="AM3" i="126"/>
  <c r="AK3" i="126"/>
  <c r="AI3" i="126"/>
  <c r="AG3" i="126"/>
  <c r="E3" i="126"/>
  <c r="C3" i="126"/>
  <c r="AZ2" i="126"/>
  <c r="AX2" i="126"/>
  <c r="AV2" i="126"/>
  <c r="AT2" i="126"/>
  <c r="AR2" i="126"/>
  <c r="AP2" i="126"/>
  <c r="AN2" i="126"/>
  <c r="C2" i="126"/>
  <c r="G1" i="126"/>
  <c r="AJ4" i="108"/>
  <c r="AH4" i="108"/>
  <c r="AF4" i="108"/>
  <c r="AD4" i="108"/>
  <c r="AB4" i="108"/>
  <c r="X4" i="108"/>
  <c r="V4" i="108"/>
  <c r="T4" i="108"/>
  <c r="I4" i="108"/>
  <c r="E4" i="108" s="1"/>
  <c r="C4" i="108" s="1"/>
  <c r="AJ3" i="108"/>
  <c r="AH3" i="108"/>
  <c r="AF3" i="108"/>
  <c r="AD3" i="108"/>
  <c r="AB3" i="108"/>
  <c r="X3" i="108"/>
  <c r="V3" i="108"/>
  <c r="T3" i="108"/>
  <c r="AJ2" i="108"/>
  <c r="AH2" i="108"/>
  <c r="AF2" i="108"/>
  <c r="AD2" i="108"/>
  <c r="AB2" i="108"/>
  <c r="X2" i="108"/>
  <c r="V2" i="108"/>
  <c r="T2" i="108"/>
  <c r="C2" i="108"/>
  <c r="G1" i="108"/>
  <c r="BF4" i="180"/>
  <c r="BD4" i="180"/>
  <c r="BB4" i="180"/>
  <c r="AX4" i="180"/>
  <c r="AV4" i="180"/>
  <c r="AT4" i="180"/>
  <c r="G4" i="180"/>
  <c r="E4" i="180" s="1"/>
  <c r="C4" i="180" s="1"/>
  <c r="BF3" i="180"/>
  <c r="BD3" i="180"/>
  <c r="BB3" i="180"/>
  <c r="AX3" i="180"/>
  <c r="AV3" i="180"/>
  <c r="AT3" i="180"/>
  <c r="E3" i="180"/>
  <c r="C3" i="180" s="1"/>
  <c r="BF2" i="180"/>
  <c r="BD2" i="180"/>
  <c r="BB2" i="180"/>
  <c r="AX2" i="180"/>
  <c r="AV2" i="180"/>
  <c r="AT2" i="180"/>
  <c r="G1" i="180"/>
  <c r="AR4" i="128"/>
  <c r="AP4" i="128"/>
  <c r="AM4" i="128"/>
  <c r="AK4" i="128"/>
  <c r="AI4" i="128"/>
  <c r="AG4" i="128"/>
  <c r="AE4" i="128"/>
  <c r="AC4" i="128"/>
  <c r="AA4" i="128"/>
  <c r="Y4" i="128"/>
  <c r="W4" i="128"/>
  <c r="U4" i="128"/>
  <c r="G4" i="128"/>
  <c r="E4" i="128" s="1"/>
  <c r="C4" i="128" s="1"/>
  <c r="AR3" i="128"/>
  <c r="AP3" i="128"/>
  <c r="AM3" i="128"/>
  <c r="AK3" i="128"/>
  <c r="AI3" i="128"/>
  <c r="AG3" i="128"/>
  <c r="AE3" i="128"/>
  <c r="AC3" i="128"/>
  <c r="AA3" i="128"/>
  <c r="Y3" i="128"/>
  <c r="W3" i="128"/>
  <c r="U3" i="128"/>
  <c r="AR2" i="128"/>
  <c r="AP2" i="128"/>
  <c r="AM2" i="128"/>
  <c r="AK2" i="128"/>
  <c r="AI2" i="128"/>
  <c r="AG2" i="128"/>
  <c r="AE2" i="128"/>
  <c r="AC2" i="128"/>
  <c r="AA2" i="128"/>
  <c r="Y2" i="128"/>
  <c r="W2" i="128"/>
  <c r="U2" i="128"/>
  <c r="C2" i="128"/>
  <c r="G1" i="128"/>
  <c r="BE4" i="127"/>
  <c r="BC4" i="127"/>
  <c r="BA4" i="127"/>
  <c r="AY4" i="127"/>
  <c r="AW4" i="127"/>
  <c r="AU4" i="127"/>
  <c r="AS4" i="127"/>
  <c r="AQ4" i="127"/>
  <c r="AO4" i="127"/>
  <c r="AM4" i="127"/>
  <c r="G4" i="127"/>
  <c r="E4" i="127" s="1"/>
  <c r="C4" i="127" s="1"/>
  <c r="BE3" i="127"/>
  <c r="BC3" i="127"/>
  <c r="BA3" i="127"/>
  <c r="AY3" i="127"/>
  <c r="AW3" i="127"/>
  <c r="AU3" i="127"/>
  <c r="AS3" i="127"/>
  <c r="AQ3" i="127"/>
  <c r="AO3" i="127"/>
  <c r="AM3" i="127"/>
  <c r="BE2" i="127"/>
  <c r="BC2" i="127"/>
  <c r="BA2" i="127"/>
  <c r="AY2" i="127"/>
  <c r="AW2" i="127"/>
  <c r="AU2" i="127"/>
  <c r="AS2" i="127"/>
  <c r="AQ2" i="127"/>
  <c r="AO2" i="127"/>
  <c r="AM2" i="127"/>
  <c r="C2" i="127"/>
  <c r="G1" i="127"/>
  <c r="BE4" i="172"/>
  <c r="BC4" i="172"/>
  <c r="BA4" i="172"/>
  <c r="AY4" i="172"/>
  <c r="AW4" i="172"/>
  <c r="AU4" i="172"/>
  <c r="AS4" i="172"/>
  <c r="AQ4" i="172"/>
  <c r="AO4" i="172"/>
  <c r="AM4" i="172"/>
  <c r="M4" i="172"/>
  <c r="E4" i="172" s="1"/>
  <c r="C4" i="172" s="1"/>
  <c r="BE3" i="172"/>
  <c r="BC3" i="172"/>
  <c r="BA3" i="172"/>
  <c r="AY3" i="172"/>
  <c r="AW3" i="172"/>
  <c r="AU3" i="172"/>
  <c r="AS3" i="172"/>
  <c r="AQ3" i="172"/>
  <c r="AO3" i="172"/>
  <c r="AM3" i="172"/>
  <c r="BE2" i="172"/>
  <c r="BC2" i="172"/>
  <c r="BA2" i="172"/>
  <c r="AY2" i="172"/>
  <c r="AW2" i="172"/>
  <c r="AU2" i="172"/>
  <c r="AS2" i="172"/>
  <c r="AQ2" i="172"/>
  <c r="AO2" i="172"/>
  <c r="AM2" i="172"/>
  <c r="C2" i="172"/>
  <c r="G1" i="172"/>
  <c r="BE5" i="90"/>
  <c r="BC5" i="90"/>
  <c r="BA5" i="90"/>
  <c r="AY5" i="90"/>
  <c r="AW5" i="90"/>
  <c r="AU5" i="90"/>
  <c r="AS5" i="90"/>
  <c r="AQ5" i="90"/>
  <c r="AO5" i="90"/>
  <c r="AM5" i="90"/>
  <c r="M5" i="90"/>
  <c r="K5" i="90"/>
  <c r="BE4" i="90"/>
  <c r="BC4" i="90"/>
  <c r="BA4" i="90"/>
  <c r="AY4" i="90"/>
  <c r="AW4" i="90"/>
  <c r="AU4" i="90"/>
  <c r="AS4" i="90"/>
  <c r="AQ4" i="90"/>
  <c r="AO4" i="90"/>
  <c r="AM4" i="90"/>
  <c r="C4" i="90"/>
  <c r="BE3" i="90"/>
  <c r="BC3" i="90"/>
  <c r="BA3" i="90"/>
  <c r="AY3" i="90"/>
  <c r="AW3" i="90"/>
  <c r="AU3" i="90"/>
  <c r="AS3" i="90"/>
  <c r="AQ3" i="90"/>
  <c r="AO3" i="90"/>
  <c r="AM3" i="90"/>
  <c r="BE2" i="90"/>
  <c r="BC2" i="90"/>
  <c r="BA2" i="90"/>
  <c r="AY2" i="90"/>
  <c r="AW2" i="90"/>
  <c r="AU2" i="90"/>
  <c r="AS2" i="90"/>
  <c r="AQ2" i="90"/>
  <c r="AO2" i="90"/>
  <c r="AM2" i="90"/>
  <c r="C2" i="90"/>
  <c r="G1" i="90"/>
  <c r="AF7" i="184"/>
  <c r="Q7" i="184"/>
  <c r="O7" i="184"/>
  <c r="E7" i="184"/>
  <c r="C7" i="184" s="1"/>
  <c r="AF6" i="184"/>
  <c r="AD6" i="184"/>
  <c r="Q6" i="184"/>
  <c r="O6" i="184"/>
  <c r="E6" i="184"/>
  <c r="C6" i="184"/>
  <c r="AF5" i="184"/>
  <c r="AD5" i="184"/>
  <c r="Q5" i="184"/>
  <c r="O5" i="184"/>
  <c r="E5" i="184"/>
  <c r="C5" i="184"/>
  <c r="AF4" i="184"/>
  <c r="AD4" i="184"/>
  <c r="Q4" i="184"/>
  <c r="O4" i="184"/>
  <c r="AF3" i="184"/>
  <c r="AD3" i="184"/>
  <c r="Q3" i="184"/>
  <c r="O3" i="184"/>
  <c r="AF2" i="184"/>
  <c r="AD2" i="184"/>
  <c r="Q2" i="184"/>
  <c r="O2" i="184"/>
  <c r="C2" i="184"/>
  <c r="G1" i="184"/>
  <c r="BN5" i="100"/>
  <c r="BL5" i="100"/>
  <c r="BJ5" i="100"/>
  <c r="BH5" i="100"/>
  <c r="BF5" i="100"/>
  <c r="BD5" i="100"/>
  <c r="BB5" i="100"/>
  <c r="AZ5" i="100"/>
  <c r="AX5" i="100"/>
  <c r="AV5" i="100"/>
  <c r="G5" i="100"/>
  <c r="E5" i="100" s="1"/>
  <c r="C5" i="100" s="1"/>
  <c r="BN4" i="100"/>
  <c r="BL4" i="100"/>
  <c r="BJ4" i="100"/>
  <c r="BH4" i="100"/>
  <c r="BF4" i="100"/>
  <c r="BD4" i="100"/>
  <c r="BB4" i="100"/>
  <c r="AZ4" i="100"/>
  <c r="AX4" i="100"/>
  <c r="AV4" i="100"/>
  <c r="E4" i="100"/>
  <c r="C4" i="100" s="1"/>
  <c r="BN3" i="100"/>
  <c r="BL3" i="100"/>
  <c r="BJ3" i="100"/>
  <c r="BH3" i="100"/>
  <c r="BF3" i="100"/>
  <c r="BD3" i="100"/>
  <c r="BB3" i="100"/>
  <c r="AZ3" i="100"/>
  <c r="AX3" i="100"/>
  <c r="AV3" i="100"/>
  <c r="BN2" i="100"/>
  <c r="BL2" i="100"/>
  <c r="BJ2" i="100"/>
  <c r="BH2" i="100"/>
  <c r="BF2" i="100"/>
  <c r="BD2" i="100"/>
  <c r="BB2" i="100"/>
  <c r="AZ2" i="100"/>
  <c r="AX2" i="100"/>
  <c r="AV2" i="100"/>
  <c r="C2" i="100"/>
  <c r="G1" i="100"/>
  <c r="BE5" i="147"/>
  <c r="BC5" i="147"/>
  <c r="BA5" i="147"/>
  <c r="AY5" i="147"/>
  <c r="AW5" i="147"/>
  <c r="AU5" i="147"/>
  <c r="AS5" i="147"/>
  <c r="AQ5" i="147"/>
  <c r="AO5" i="147"/>
  <c r="K5" i="147"/>
  <c r="BE4" i="147"/>
  <c r="BC4" i="147"/>
  <c r="BA4" i="147"/>
  <c r="AY4" i="147"/>
  <c r="AW4" i="147"/>
  <c r="AU4" i="147"/>
  <c r="AS4" i="147"/>
  <c r="AQ4" i="147"/>
  <c r="AO4" i="147"/>
  <c r="E4" i="147"/>
  <c r="C4" i="147"/>
  <c r="BE3" i="147"/>
  <c r="BC3" i="147"/>
  <c r="BA3" i="147"/>
  <c r="AY3" i="147"/>
  <c r="AW3" i="147"/>
  <c r="AU3" i="147"/>
  <c r="AS3" i="147"/>
  <c r="AQ3" i="147"/>
  <c r="AO3" i="147"/>
  <c r="BE2" i="147"/>
  <c r="BC2" i="147"/>
  <c r="BA2" i="147"/>
  <c r="AY2" i="147"/>
  <c r="AW2" i="147"/>
  <c r="AU2" i="147"/>
  <c r="AS2" i="147"/>
  <c r="AQ2" i="147"/>
  <c r="AO2" i="147"/>
  <c r="C2" i="147"/>
  <c r="G1" i="147"/>
  <c r="BF5" i="245"/>
  <c r="BD5" i="245"/>
  <c r="BB5" i="245"/>
  <c r="AZ5" i="245"/>
  <c r="AX5" i="245"/>
  <c r="AV5" i="245"/>
  <c r="AT5" i="245"/>
  <c r="P5" i="245"/>
  <c r="N5" i="245"/>
  <c r="BF4" i="245"/>
  <c r="BD4" i="245"/>
  <c r="BB4" i="245"/>
  <c r="AZ4" i="245"/>
  <c r="AX4" i="245"/>
  <c r="AV4" i="245"/>
  <c r="AT4" i="245"/>
  <c r="C4" i="245"/>
  <c r="BF3" i="245"/>
  <c r="BD3" i="245"/>
  <c r="BB3" i="245"/>
  <c r="AZ3" i="245"/>
  <c r="AX3" i="245"/>
  <c r="AV3" i="245"/>
  <c r="AT3" i="245"/>
  <c r="BF2" i="245"/>
  <c r="BD2" i="245"/>
  <c r="BB2" i="245"/>
  <c r="AZ2" i="245"/>
  <c r="AX2" i="245"/>
  <c r="AV2" i="245"/>
  <c r="AT2" i="245"/>
  <c r="C2" i="245"/>
  <c r="G1" i="245"/>
  <c r="D29" i="244"/>
  <c r="C29" i="244" s="1"/>
  <c r="BC5" i="244"/>
  <c r="BA5" i="244"/>
  <c r="AY5" i="244"/>
  <c r="AW5" i="244"/>
  <c r="AU5" i="244"/>
  <c r="AS5" i="244"/>
  <c r="AQ5" i="244"/>
  <c r="N5" i="244"/>
  <c r="L5" i="244"/>
  <c r="BC4" i="244"/>
  <c r="BA4" i="244"/>
  <c r="AY4" i="244"/>
  <c r="AW4" i="244"/>
  <c r="AU4" i="244"/>
  <c r="AS4" i="244"/>
  <c r="AQ4" i="244"/>
  <c r="C4" i="244"/>
  <c r="BC3" i="244"/>
  <c r="BA3" i="244"/>
  <c r="AY3" i="244"/>
  <c r="AW3" i="244"/>
  <c r="AU3" i="244"/>
  <c r="AS3" i="244"/>
  <c r="AQ3" i="244"/>
  <c r="BC2" i="244"/>
  <c r="BA2" i="244"/>
  <c r="AY2" i="244"/>
  <c r="AW2" i="244"/>
  <c r="AU2" i="244"/>
  <c r="AS2" i="244"/>
  <c r="AQ2" i="244"/>
  <c r="C2" i="244"/>
  <c r="G1" i="244"/>
  <c r="AY5" i="181"/>
  <c r="AW5" i="181"/>
  <c r="AU5" i="181"/>
  <c r="AS5" i="181"/>
  <c r="AQ5" i="181"/>
  <c r="AO5" i="181"/>
  <c r="AM5" i="181"/>
  <c r="D5" i="181"/>
  <c r="C5" i="181" s="1"/>
  <c r="AY4" i="181"/>
  <c r="AW4" i="181"/>
  <c r="AU4" i="181"/>
  <c r="AS4" i="181"/>
  <c r="AQ4" i="181"/>
  <c r="AO4" i="181"/>
  <c r="AM4" i="181"/>
  <c r="C4" i="181"/>
  <c r="AY3" i="181"/>
  <c r="AW3" i="181"/>
  <c r="AU3" i="181"/>
  <c r="AS3" i="181"/>
  <c r="AQ3" i="181"/>
  <c r="AO3" i="181"/>
  <c r="AM3" i="181"/>
  <c r="AY2" i="181"/>
  <c r="AW2" i="181"/>
  <c r="AU2" i="181"/>
  <c r="AS2" i="181"/>
  <c r="AQ2" i="181"/>
  <c r="AO2" i="181"/>
  <c r="AM2" i="181"/>
  <c r="C2" i="181"/>
  <c r="G1" i="181"/>
  <c r="BF6" i="110"/>
  <c r="BC6" i="110"/>
  <c r="BA6" i="110"/>
  <c r="AY6" i="110"/>
  <c r="AW6" i="110"/>
  <c r="AU6" i="110"/>
  <c r="AS6" i="110"/>
  <c r="AQ6" i="110"/>
  <c r="AO6" i="110"/>
  <c r="AM6" i="110"/>
  <c r="E6" i="110"/>
  <c r="C6" i="110" s="1"/>
  <c r="BF5" i="110"/>
  <c r="BC5" i="110"/>
  <c r="BA5" i="110"/>
  <c r="AY5" i="110"/>
  <c r="AW5" i="110"/>
  <c r="AU5" i="110"/>
  <c r="AS5" i="110"/>
  <c r="AQ5" i="110"/>
  <c r="AO5" i="110"/>
  <c r="AM5" i="110"/>
  <c r="E5" i="110"/>
  <c r="C5" i="110" s="1"/>
  <c r="BF4" i="110"/>
  <c r="BC4" i="110"/>
  <c r="BA4" i="110"/>
  <c r="AY4" i="110"/>
  <c r="AW4" i="110"/>
  <c r="AU4" i="110"/>
  <c r="AS4" i="110"/>
  <c r="AQ4" i="110"/>
  <c r="AO4" i="110"/>
  <c r="AM4" i="110"/>
  <c r="E4" i="110"/>
  <c r="C4" i="110"/>
  <c r="BF3" i="110"/>
  <c r="BC3" i="110"/>
  <c r="BA3" i="110"/>
  <c r="AY3" i="110"/>
  <c r="AW3" i="110"/>
  <c r="AU3" i="110"/>
  <c r="AS3" i="110"/>
  <c r="AQ3" i="110"/>
  <c r="AO3" i="110"/>
  <c r="AM3" i="110"/>
  <c r="BF2" i="110"/>
  <c r="BC2" i="110"/>
  <c r="BA2" i="110"/>
  <c r="AY2" i="110"/>
  <c r="AW2" i="110"/>
  <c r="AU2" i="110"/>
  <c r="AS2" i="110"/>
  <c r="AQ2" i="110"/>
  <c r="AO2" i="110"/>
  <c r="AM2" i="110"/>
  <c r="C2" i="110"/>
  <c r="G1" i="110"/>
  <c r="BE4" i="109"/>
  <c r="BC4" i="109"/>
  <c r="BA4" i="109"/>
  <c r="AY4" i="109"/>
  <c r="AW4" i="109"/>
  <c r="AU4" i="109"/>
  <c r="AS4" i="109"/>
  <c r="AQ4" i="109"/>
  <c r="AO4" i="109"/>
  <c r="AM4" i="109"/>
  <c r="O4" i="109"/>
  <c r="M4" i="109"/>
  <c r="BE3" i="109"/>
  <c r="BC3" i="109"/>
  <c r="BA3" i="109"/>
  <c r="AY3" i="109"/>
  <c r="AW3" i="109"/>
  <c r="AU3" i="109"/>
  <c r="AS3" i="109"/>
  <c r="AQ3" i="109"/>
  <c r="AO3" i="109"/>
  <c r="AM3" i="109"/>
  <c r="BE2" i="109"/>
  <c r="BC2" i="109"/>
  <c r="BA2" i="109"/>
  <c r="AY2" i="109"/>
  <c r="AW2" i="109"/>
  <c r="AU2" i="109"/>
  <c r="AS2" i="109"/>
  <c r="AQ2" i="109"/>
  <c r="AO2" i="109"/>
  <c r="AM2" i="109"/>
  <c r="C2" i="109"/>
  <c r="G1" i="109"/>
  <c r="BE5" i="96"/>
  <c r="BC5" i="96"/>
  <c r="BA5" i="96"/>
  <c r="AY5" i="96"/>
  <c r="AW5" i="96"/>
  <c r="AU5" i="96"/>
  <c r="AS5" i="96"/>
  <c r="AQ5" i="96"/>
  <c r="AO5" i="96"/>
  <c r="D5" i="96"/>
  <c r="C5" i="96" s="1"/>
  <c r="BE4" i="96"/>
  <c r="BC4" i="96"/>
  <c r="BA4" i="96"/>
  <c r="AY4" i="96"/>
  <c r="AW4" i="96"/>
  <c r="AU4" i="96"/>
  <c r="AS4" i="96"/>
  <c r="AQ4" i="96"/>
  <c r="AO4" i="96"/>
  <c r="C4" i="96"/>
  <c r="BE3" i="96"/>
  <c r="BC3" i="96"/>
  <c r="BA3" i="96"/>
  <c r="AY3" i="96"/>
  <c r="AW3" i="96"/>
  <c r="AU3" i="96"/>
  <c r="AS3" i="96"/>
  <c r="AQ3" i="96"/>
  <c r="AO3" i="96"/>
  <c r="BE2" i="96"/>
  <c r="BC2" i="96"/>
  <c r="BA2" i="96"/>
  <c r="AY2" i="96"/>
  <c r="AW2" i="96"/>
  <c r="AU2" i="96"/>
  <c r="AS2" i="96"/>
  <c r="AQ2" i="96"/>
  <c r="AO2" i="96"/>
  <c r="C2" i="96"/>
  <c r="G1" i="96"/>
  <c r="S7" i="243"/>
  <c r="Q7" i="243"/>
  <c r="BF5" i="243"/>
  <c r="BD5" i="243"/>
  <c r="BB5" i="243"/>
  <c r="AZ5" i="243"/>
  <c r="AX5" i="243"/>
  <c r="AV5" i="243"/>
  <c r="AT5" i="243"/>
  <c r="AR5" i="243"/>
  <c r="AP5" i="243"/>
  <c r="AN5" i="243"/>
  <c r="Q5" i="243"/>
  <c r="E5" i="243" s="1"/>
  <c r="C5" i="243" s="1"/>
  <c r="BF4" i="243"/>
  <c r="BD4" i="243"/>
  <c r="BB4" i="243"/>
  <c r="AZ4" i="243"/>
  <c r="AX4" i="243"/>
  <c r="AV4" i="243"/>
  <c r="AT4" i="243"/>
  <c r="AR4" i="243"/>
  <c r="AP4" i="243"/>
  <c r="AN4" i="243"/>
  <c r="C4" i="243"/>
  <c r="BF3" i="243"/>
  <c r="BD3" i="243"/>
  <c r="BB3" i="243"/>
  <c r="AZ3" i="243"/>
  <c r="AX3" i="243"/>
  <c r="AV3" i="243"/>
  <c r="AT3" i="243"/>
  <c r="AR3" i="243"/>
  <c r="AP3" i="243"/>
  <c r="AN3" i="243"/>
  <c r="BF2" i="243"/>
  <c r="BD2" i="243"/>
  <c r="BB2" i="243"/>
  <c r="AZ2" i="243"/>
  <c r="AX2" i="243"/>
  <c r="AV2" i="243"/>
  <c r="AT2" i="243"/>
  <c r="AR2" i="243"/>
  <c r="AP2" i="243"/>
  <c r="AN2" i="243"/>
  <c r="C2" i="243"/>
  <c r="G1" i="243"/>
  <c r="BF5" i="93"/>
  <c r="BD5" i="93"/>
  <c r="BB5" i="93"/>
  <c r="AZ5" i="93"/>
  <c r="AX5" i="93"/>
  <c r="AV5" i="93"/>
  <c r="AT5" i="93"/>
  <c r="AR5" i="93"/>
  <c r="AP5" i="93"/>
  <c r="AN5" i="93"/>
  <c r="O5" i="93"/>
  <c r="M5" i="93"/>
  <c r="I5" i="93"/>
  <c r="BF4" i="93"/>
  <c r="BD4" i="93"/>
  <c r="BB4" i="93"/>
  <c r="AZ4" i="93"/>
  <c r="AX4" i="93"/>
  <c r="AV4" i="93"/>
  <c r="AT4" i="93"/>
  <c r="AR4" i="93"/>
  <c r="AP4" i="93"/>
  <c r="AN4" i="93"/>
  <c r="C4" i="93"/>
  <c r="BF3" i="93"/>
  <c r="BD3" i="93"/>
  <c r="BB3" i="93"/>
  <c r="AZ3" i="93"/>
  <c r="AX3" i="93"/>
  <c r="AV3" i="93"/>
  <c r="AT3" i="93"/>
  <c r="AR3" i="93"/>
  <c r="AP3" i="93"/>
  <c r="AN3" i="93"/>
  <c r="BF2" i="93"/>
  <c r="BD2" i="93"/>
  <c r="BB2" i="93"/>
  <c r="AZ2" i="93"/>
  <c r="AX2" i="93"/>
  <c r="AV2" i="93"/>
  <c r="AT2" i="93"/>
  <c r="AR2" i="93"/>
  <c r="AP2" i="93"/>
  <c r="AN2" i="93"/>
  <c r="C2" i="93"/>
  <c r="G1" i="93"/>
  <c r="BE8" i="87"/>
  <c r="BC8" i="87"/>
  <c r="BA8" i="87"/>
  <c r="AY8" i="87"/>
  <c r="AW8" i="87"/>
  <c r="AU8" i="87"/>
  <c r="AS8" i="87"/>
  <c r="AQ8" i="87"/>
  <c r="AO8" i="87"/>
  <c r="S8" i="87"/>
  <c r="Q8" i="87"/>
  <c r="BE7" i="87"/>
  <c r="BC7" i="87"/>
  <c r="BA7" i="87"/>
  <c r="AY7" i="87"/>
  <c r="AW7" i="87"/>
  <c r="AU7" i="87"/>
  <c r="AS7" i="87"/>
  <c r="AQ7" i="87"/>
  <c r="AO7" i="87"/>
  <c r="S7" i="87"/>
  <c r="Q7" i="87"/>
  <c r="BE6" i="87"/>
  <c r="BC6" i="87"/>
  <c r="BA6" i="87"/>
  <c r="AY6" i="87"/>
  <c r="AW6" i="87"/>
  <c r="AU6" i="87"/>
  <c r="AS6" i="87"/>
  <c r="AQ6" i="87"/>
  <c r="AO6" i="87"/>
  <c r="S6" i="87"/>
  <c r="Q6" i="87"/>
  <c r="G6" i="87"/>
  <c r="BE5" i="87"/>
  <c r="BC5" i="87"/>
  <c r="BA5" i="87"/>
  <c r="AY5" i="87"/>
  <c r="AW5" i="87"/>
  <c r="AU5" i="87"/>
  <c r="AS5" i="87"/>
  <c r="AQ5" i="87"/>
  <c r="AO5" i="87"/>
  <c r="S5" i="87"/>
  <c r="Q5" i="87"/>
  <c r="G5" i="87"/>
  <c r="BE4" i="87"/>
  <c r="BC4" i="87"/>
  <c r="BA4" i="87"/>
  <c r="AY4" i="87"/>
  <c r="AW4" i="87"/>
  <c r="AU4" i="87"/>
  <c r="AS4" i="87"/>
  <c r="AQ4" i="87"/>
  <c r="AO4" i="87"/>
  <c r="C4" i="87"/>
  <c r="BE3" i="87"/>
  <c r="BC3" i="87"/>
  <c r="BA3" i="87"/>
  <c r="AY3" i="87"/>
  <c r="AW3" i="87"/>
  <c r="AU3" i="87"/>
  <c r="AS3" i="87"/>
  <c r="AQ3" i="87"/>
  <c r="AO3" i="87"/>
  <c r="BE2" i="87"/>
  <c r="BC2" i="87"/>
  <c r="BA2" i="87"/>
  <c r="AY2" i="87"/>
  <c r="AW2" i="87"/>
  <c r="AU2" i="87"/>
  <c r="AS2" i="87"/>
  <c r="AQ2" i="87"/>
  <c r="AO2" i="87"/>
  <c r="E2" i="87"/>
  <c r="C2" i="87"/>
  <c r="G1" i="87"/>
  <c r="BH5" i="119"/>
  <c r="BF5" i="119"/>
  <c r="BD5" i="119"/>
  <c r="BB5" i="119"/>
  <c r="AZ5" i="119"/>
  <c r="AX5" i="119"/>
  <c r="AV5" i="119"/>
  <c r="AT5" i="119"/>
  <c r="AR5" i="119"/>
  <c r="AP5" i="119"/>
  <c r="T5" i="119"/>
  <c r="R5" i="119"/>
  <c r="P5" i="119"/>
  <c r="J5" i="119"/>
  <c r="BH4" i="119"/>
  <c r="BF4" i="119"/>
  <c r="BD4" i="119"/>
  <c r="BB4" i="119"/>
  <c r="AZ4" i="119"/>
  <c r="AX4" i="119"/>
  <c r="AV4" i="119"/>
  <c r="AT4" i="119"/>
  <c r="AR4" i="119"/>
  <c r="AP4" i="119"/>
  <c r="C4" i="119"/>
  <c r="BH3" i="119"/>
  <c r="BF3" i="119"/>
  <c r="BD3" i="119"/>
  <c r="BB3" i="119"/>
  <c r="AZ3" i="119"/>
  <c r="AX3" i="119"/>
  <c r="AV3" i="119"/>
  <c r="AT3" i="119"/>
  <c r="AR3" i="119"/>
  <c r="AP3" i="119"/>
  <c r="BH2" i="119"/>
  <c r="BF2" i="119"/>
  <c r="BD2" i="119"/>
  <c r="BB2" i="119"/>
  <c r="AZ2" i="119"/>
  <c r="AX2" i="119"/>
  <c r="AV2" i="119"/>
  <c r="AT2" i="119"/>
  <c r="AR2" i="119"/>
  <c r="AP2" i="119"/>
  <c r="C2" i="119"/>
  <c r="G1" i="119"/>
  <c r="BG5" i="118"/>
  <c r="BE5" i="118"/>
  <c r="BC5" i="118"/>
  <c r="BA5" i="118"/>
  <c r="AY5" i="118"/>
  <c r="AW5" i="118"/>
  <c r="AU5" i="118"/>
  <c r="AS5" i="118"/>
  <c r="AQ5" i="118"/>
  <c r="V5" i="118"/>
  <c r="T5" i="118"/>
  <c r="H5" i="119" s="1"/>
  <c r="BG4" i="118"/>
  <c r="BE4" i="118"/>
  <c r="BC4" i="118"/>
  <c r="BA4" i="118"/>
  <c r="AY4" i="118"/>
  <c r="AW4" i="118"/>
  <c r="AU4" i="118"/>
  <c r="AS4" i="118"/>
  <c r="AQ4" i="118"/>
  <c r="C4" i="118"/>
  <c r="BG3" i="118"/>
  <c r="BE3" i="118"/>
  <c r="BC3" i="118"/>
  <c r="BA3" i="118"/>
  <c r="AY3" i="118"/>
  <c r="AW3" i="118"/>
  <c r="AU3" i="118"/>
  <c r="AS3" i="118"/>
  <c r="AQ3" i="118"/>
  <c r="BG2" i="118"/>
  <c r="BE2" i="118"/>
  <c r="BC2" i="118"/>
  <c r="BA2" i="118"/>
  <c r="AY2" i="118"/>
  <c r="AW2" i="118"/>
  <c r="AU2" i="118"/>
  <c r="AS2" i="118"/>
  <c r="AQ2" i="118"/>
  <c r="C2" i="118"/>
  <c r="G1" i="118"/>
  <c r="BE5" i="98"/>
  <c r="BC5" i="98"/>
  <c r="BA5" i="98"/>
  <c r="AY5" i="98"/>
  <c r="AW5" i="98"/>
  <c r="AU5" i="98"/>
  <c r="AS5" i="98"/>
  <c r="AQ5" i="98"/>
  <c r="AO5" i="98"/>
  <c r="AM5" i="98"/>
  <c r="BE4" i="98"/>
  <c r="BC4" i="98"/>
  <c r="BA4" i="98"/>
  <c r="AY4" i="98"/>
  <c r="AW4" i="98"/>
  <c r="AU4" i="98"/>
  <c r="AS4" i="98"/>
  <c r="AQ4" i="98"/>
  <c r="AO4" i="98"/>
  <c r="AM4" i="98"/>
  <c r="E4" i="98"/>
  <c r="C4" i="98" s="1"/>
  <c r="BE3" i="98"/>
  <c r="BC3" i="98"/>
  <c r="BA3" i="98"/>
  <c r="AY3" i="98"/>
  <c r="AW3" i="98"/>
  <c r="AU3" i="98"/>
  <c r="AS3" i="98"/>
  <c r="AQ3" i="98"/>
  <c r="AO3" i="98"/>
  <c r="AM3" i="98"/>
  <c r="BE2" i="98"/>
  <c r="BC2" i="98"/>
  <c r="BA2" i="98"/>
  <c r="AY2" i="98"/>
  <c r="AW2" i="98"/>
  <c r="AU2" i="98"/>
  <c r="AS2" i="98"/>
  <c r="AQ2" i="98"/>
  <c r="AO2" i="98"/>
  <c r="AM2" i="98"/>
  <c r="C2" i="98"/>
  <c r="G1" i="98"/>
  <c r="BH5" i="97"/>
  <c r="BE5" i="97"/>
  <c r="BC5" i="97"/>
  <c r="BA5" i="97"/>
  <c r="AY5" i="97"/>
  <c r="AW5" i="97"/>
  <c r="AU5" i="97"/>
  <c r="AS5" i="97"/>
  <c r="AQ5" i="97"/>
  <c r="W5" i="97"/>
  <c r="AA5" i="97" s="1"/>
  <c r="AC5" i="97" s="1"/>
  <c r="BH4" i="97"/>
  <c r="BE4" i="97"/>
  <c r="BC4" i="97"/>
  <c r="BA4" i="97"/>
  <c r="AY4" i="97"/>
  <c r="AW4" i="97"/>
  <c r="AU4" i="97"/>
  <c r="AS4" i="97"/>
  <c r="AQ4" i="97"/>
  <c r="C4" i="97"/>
  <c r="BH3" i="97"/>
  <c r="BE3" i="97"/>
  <c r="BC3" i="97"/>
  <c r="BA3" i="97"/>
  <c r="AY3" i="97"/>
  <c r="AW3" i="97"/>
  <c r="AU3" i="97"/>
  <c r="AS3" i="97"/>
  <c r="AQ3" i="97"/>
  <c r="BH2" i="97"/>
  <c r="BE2" i="97"/>
  <c r="BC2" i="97"/>
  <c r="BA2" i="97"/>
  <c r="AY2" i="97"/>
  <c r="AW2" i="97"/>
  <c r="AU2" i="97"/>
  <c r="AS2" i="97"/>
  <c r="AQ2" i="97"/>
  <c r="C2" i="97"/>
  <c r="G1" i="97"/>
  <c r="BB4" i="103"/>
  <c r="AZ4" i="103"/>
  <c r="AX4" i="103"/>
  <c r="AV4" i="103"/>
  <c r="AS4" i="103"/>
  <c r="AT4" i="103" s="1"/>
  <c r="AQ4" i="103"/>
  <c r="AO4" i="103"/>
  <c r="AM4" i="103"/>
  <c r="K4" i="103"/>
  <c r="E4" i="103" s="1"/>
  <c r="C4" i="103" s="1"/>
  <c r="BB3" i="103"/>
  <c r="AZ3" i="103"/>
  <c r="AX3" i="103"/>
  <c r="AV3" i="103"/>
  <c r="AT3" i="103"/>
  <c r="AS3" i="103"/>
  <c r="AQ3" i="103"/>
  <c r="AO3" i="103"/>
  <c r="AM3" i="103"/>
  <c r="BB2" i="103"/>
  <c r="AZ2" i="103"/>
  <c r="AX2" i="103"/>
  <c r="AV2" i="103"/>
  <c r="AT2" i="103"/>
  <c r="AS2" i="103"/>
  <c r="AQ2" i="103"/>
  <c r="AO2" i="103"/>
  <c r="AM2" i="103"/>
  <c r="C2" i="103"/>
  <c r="G1" i="103"/>
  <c r="M5" i="113"/>
  <c r="AV4" i="113"/>
  <c r="AT4" i="113"/>
  <c r="AR4" i="113"/>
  <c r="AP4" i="113"/>
  <c r="K4" i="113"/>
  <c r="AV3" i="113"/>
  <c r="AT3" i="113"/>
  <c r="AR3" i="113"/>
  <c r="AP3" i="113"/>
  <c r="M3" i="113"/>
  <c r="AV2" i="113"/>
  <c r="AT2" i="113"/>
  <c r="AR2" i="113"/>
  <c r="AP2" i="113"/>
  <c r="C2" i="113"/>
  <c r="G1" i="113"/>
  <c r="E4" i="248"/>
  <c r="C4" i="248" s="1"/>
  <c r="C2" i="248"/>
  <c r="G1" i="248"/>
  <c r="AZ10" i="111"/>
  <c r="AX10" i="111"/>
  <c r="AV10" i="111"/>
  <c r="AT10" i="111"/>
  <c r="E10" i="111"/>
  <c r="C10" i="111" s="1"/>
  <c r="CX9" i="111"/>
  <c r="CV9" i="111"/>
  <c r="CT9" i="111"/>
  <c r="CR9" i="111"/>
  <c r="CL9" i="111"/>
  <c r="CJ9" i="111"/>
  <c r="CH9" i="111"/>
  <c r="CF9" i="111"/>
  <c r="CD9" i="111"/>
  <c r="CB9" i="111"/>
  <c r="BZ9" i="111"/>
  <c r="BX9" i="111"/>
  <c r="BV9" i="111"/>
  <c r="BT9" i="111"/>
  <c r="BR9" i="111"/>
  <c r="BP9" i="111"/>
  <c r="BN9" i="111"/>
  <c r="BL9" i="111"/>
  <c r="BI9" i="111"/>
  <c r="BG9" i="111"/>
  <c r="BE9" i="111"/>
  <c r="BC9" i="111"/>
  <c r="AY9" i="111"/>
  <c r="AW9" i="111"/>
  <c r="AU9" i="111"/>
  <c r="AS9" i="111"/>
  <c r="AQ9" i="111"/>
  <c r="AO9" i="111"/>
  <c r="AM9" i="111"/>
  <c r="AZ8" i="111"/>
  <c r="AX8" i="111"/>
  <c r="AV8" i="111"/>
  <c r="AT8" i="111"/>
  <c r="E8" i="111"/>
  <c r="C8" i="111" s="1"/>
  <c r="CX7" i="111"/>
  <c r="CV7" i="111"/>
  <c r="CT7" i="111"/>
  <c r="CR7" i="111"/>
  <c r="CL7" i="111"/>
  <c r="CJ7" i="111"/>
  <c r="CH7" i="111"/>
  <c r="CF7" i="111"/>
  <c r="CD7" i="111"/>
  <c r="CB7" i="111"/>
  <c r="BZ7" i="111"/>
  <c r="BX7" i="111"/>
  <c r="BV7" i="111"/>
  <c r="BT7" i="111"/>
  <c r="BR7" i="111"/>
  <c r="BP7" i="111"/>
  <c r="BN7" i="111"/>
  <c r="BL7" i="111"/>
  <c r="BI7" i="111"/>
  <c r="BG7" i="111"/>
  <c r="BE7" i="111"/>
  <c r="BC7" i="111"/>
  <c r="AY7" i="111"/>
  <c r="AW7" i="111"/>
  <c r="AU7" i="111"/>
  <c r="AS7" i="111"/>
  <c r="AQ7" i="111"/>
  <c r="AO7" i="111"/>
  <c r="AM7" i="111"/>
  <c r="AZ6" i="111"/>
  <c r="AX6" i="111"/>
  <c r="AV6" i="111"/>
  <c r="AT6" i="111"/>
  <c r="E6" i="111"/>
  <c r="C6" i="111"/>
  <c r="CX5" i="111"/>
  <c r="CV5" i="111"/>
  <c r="CT5" i="111"/>
  <c r="CR5" i="111"/>
  <c r="CL5" i="111"/>
  <c r="CJ5" i="111"/>
  <c r="CH5" i="111"/>
  <c r="CF5" i="111"/>
  <c r="CD5" i="111"/>
  <c r="CB5" i="111"/>
  <c r="BZ5" i="111"/>
  <c r="BX5" i="111"/>
  <c r="BV5" i="111"/>
  <c r="BT5" i="111"/>
  <c r="BR5" i="111"/>
  <c r="BP5" i="111"/>
  <c r="BN5" i="111"/>
  <c r="BL5" i="111"/>
  <c r="BI5" i="111"/>
  <c r="BG5" i="111"/>
  <c r="BE5" i="111"/>
  <c r="BC5" i="111"/>
  <c r="AY5" i="111"/>
  <c r="AW5" i="111"/>
  <c r="AU5" i="111"/>
  <c r="AS5" i="111"/>
  <c r="AQ5" i="111"/>
  <c r="AO5" i="111"/>
  <c r="AM5" i="111"/>
  <c r="AZ4" i="111"/>
  <c r="AX4" i="111"/>
  <c r="AV4" i="111"/>
  <c r="AT4" i="111"/>
  <c r="E4" i="111"/>
  <c r="C4" i="111"/>
  <c r="AZ3" i="111"/>
  <c r="AX3" i="111"/>
  <c r="AV3" i="111"/>
  <c r="AT3" i="111"/>
  <c r="AZ2" i="111"/>
  <c r="AX2" i="111"/>
  <c r="AV2" i="111"/>
  <c r="AT2" i="111"/>
  <c r="C2" i="111"/>
  <c r="G1" i="111"/>
  <c r="BE4" i="102"/>
  <c r="BC4" i="102"/>
  <c r="BA4" i="102"/>
  <c r="AY4" i="102"/>
  <c r="AW4" i="102"/>
  <c r="AU4" i="102"/>
  <c r="AS4" i="102"/>
  <c r="AQ4" i="102"/>
  <c r="AO4" i="102"/>
  <c r="M4" i="102"/>
  <c r="E4" i="102" s="1"/>
  <c r="C4" i="102" s="1"/>
  <c r="BE3" i="102"/>
  <c r="BC3" i="102"/>
  <c r="BA3" i="102"/>
  <c r="AY3" i="102"/>
  <c r="AW3" i="102"/>
  <c r="AU3" i="102"/>
  <c r="AS3" i="102"/>
  <c r="AQ3" i="102"/>
  <c r="AO3" i="102"/>
  <c r="BE2" i="102"/>
  <c r="BC2" i="102"/>
  <c r="BA2" i="102"/>
  <c r="AY2" i="102"/>
  <c r="AW2" i="102"/>
  <c r="AU2" i="102"/>
  <c r="AS2" i="102"/>
  <c r="AQ2" i="102"/>
  <c r="AO2" i="102"/>
  <c r="C2" i="102"/>
  <c r="G1" i="102"/>
  <c r="AK4" i="92"/>
  <c r="AI4" i="92"/>
  <c r="AG4" i="92"/>
  <c r="AE4" i="92"/>
  <c r="AC4" i="92"/>
  <c r="AA4" i="92"/>
  <c r="AK3" i="92"/>
  <c r="AI3" i="92"/>
  <c r="AG3" i="92"/>
  <c r="AE3" i="92"/>
  <c r="AC3" i="92"/>
  <c r="AA3" i="92"/>
  <c r="AK2" i="92"/>
  <c r="AI2" i="92"/>
  <c r="AG2" i="92"/>
  <c r="AE2" i="92"/>
  <c r="AC2" i="92"/>
  <c r="AA2" i="92"/>
  <c r="C2" i="92"/>
  <c r="G1" i="92"/>
  <c r="AV7" i="142"/>
  <c r="BE5" i="142"/>
  <c r="BC5" i="142"/>
  <c r="BA5" i="142"/>
  <c r="AY5" i="142"/>
  <c r="AW5" i="142"/>
  <c r="AU5" i="142"/>
  <c r="AS5" i="142"/>
  <c r="AQ5" i="142"/>
  <c r="AO5" i="142"/>
  <c r="AM5" i="142"/>
  <c r="E5" i="142"/>
  <c r="C5" i="142" s="1"/>
  <c r="BE4" i="142"/>
  <c r="BC4" i="142"/>
  <c r="BA4" i="142"/>
  <c r="AY4" i="142"/>
  <c r="AW4" i="142"/>
  <c r="AU4" i="142"/>
  <c r="AS4" i="142"/>
  <c r="AQ4" i="142"/>
  <c r="AO4" i="142"/>
  <c r="AM4" i="142"/>
  <c r="C4" i="142"/>
  <c r="BE3" i="142"/>
  <c r="BC3" i="142"/>
  <c r="BA3" i="142"/>
  <c r="AY3" i="142"/>
  <c r="AW3" i="142"/>
  <c r="AU3" i="142"/>
  <c r="AS3" i="142"/>
  <c r="AQ3" i="142"/>
  <c r="AO3" i="142"/>
  <c r="AM3" i="142"/>
  <c r="BE2" i="142"/>
  <c r="BC2" i="142"/>
  <c r="BA2" i="142"/>
  <c r="AY2" i="142"/>
  <c r="AW2" i="142"/>
  <c r="AU2" i="142"/>
  <c r="AS2" i="142"/>
  <c r="AQ2" i="142"/>
  <c r="AO2" i="142"/>
  <c r="AM2" i="142"/>
  <c r="C2" i="142"/>
  <c r="G1" i="142"/>
  <c r="BF4" i="104"/>
  <c r="BD4" i="104"/>
  <c r="BB4" i="104"/>
  <c r="AZ4" i="104"/>
  <c r="AX4" i="104"/>
  <c r="AV4" i="104"/>
  <c r="AT4" i="104"/>
  <c r="AR4" i="104"/>
  <c r="AP4" i="104"/>
  <c r="AN4" i="104"/>
  <c r="K4" i="104"/>
  <c r="BF3" i="104"/>
  <c r="BD3" i="104"/>
  <c r="BB3" i="104"/>
  <c r="AZ3" i="104"/>
  <c r="AX3" i="104"/>
  <c r="AV3" i="104"/>
  <c r="AT3" i="104"/>
  <c r="AR3" i="104"/>
  <c r="AP3" i="104"/>
  <c r="AN3" i="104"/>
  <c r="BF2" i="104"/>
  <c r="BD2" i="104"/>
  <c r="BB2" i="104"/>
  <c r="AZ2" i="104"/>
  <c r="AX2" i="104"/>
  <c r="AV2" i="104"/>
  <c r="AT2" i="104"/>
  <c r="AR2" i="104"/>
  <c r="AP2" i="104"/>
  <c r="AN2" i="104"/>
  <c r="C2" i="104"/>
  <c r="G1" i="104"/>
  <c r="C27" i="105"/>
  <c r="BF5" i="105"/>
  <c r="BD5" i="105"/>
  <c r="BB5" i="105"/>
  <c r="AZ5" i="105"/>
  <c r="AX5" i="105"/>
  <c r="AV5" i="105"/>
  <c r="AT5" i="105"/>
  <c r="AR5" i="105"/>
  <c r="AP5" i="105"/>
  <c r="AN5" i="105"/>
  <c r="I5" i="105"/>
  <c r="I4" i="104" s="1"/>
  <c r="E4" i="104" s="1"/>
  <c r="C4" i="104" s="1"/>
  <c r="BF4" i="105"/>
  <c r="BD4" i="105"/>
  <c r="BB4" i="105"/>
  <c r="AZ4" i="105"/>
  <c r="AX4" i="105"/>
  <c r="AV4" i="105"/>
  <c r="AT4" i="105"/>
  <c r="AR4" i="105"/>
  <c r="AP4" i="105"/>
  <c r="AN4" i="105"/>
  <c r="BF3" i="105"/>
  <c r="BD3" i="105"/>
  <c r="BB3" i="105"/>
  <c r="AZ3" i="105"/>
  <c r="AX3" i="105"/>
  <c r="AV3" i="105"/>
  <c r="AT3" i="105"/>
  <c r="AR3" i="105"/>
  <c r="AP3" i="105"/>
  <c r="AN3" i="105"/>
  <c r="BF2" i="105"/>
  <c r="BD2" i="105"/>
  <c r="BB2" i="105"/>
  <c r="AZ2" i="105"/>
  <c r="AX2" i="105"/>
  <c r="AV2" i="105"/>
  <c r="AT2" i="105"/>
  <c r="AR2" i="105"/>
  <c r="AP2" i="105"/>
  <c r="AN2" i="105"/>
  <c r="G2" i="105"/>
  <c r="C2" i="105"/>
  <c r="G1" i="105"/>
  <c r="AY5" i="171"/>
  <c r="AW5" i="171"/>
  <c r="AU5" i="171"/>
  <c r="AS5" i="171"/>
  <c r="AQ5" i="171"/>
  <c r="AO5" i="171"/>
  <c r="E5" i="171"/>
  <c r="C5" i="171"/>
  <c r="AY4" i="171"/>
  <c r="AW4" i="171"/>
  <c r="AU4" i="171"/>
  <c r="AS4" i="171"/>
  <c r="AQ4" i="171"/>
  <c r="AO4" i="171"/>
  <c r="C4" i="171"/>
  <c r="AY3" i="171"/>
  <c r="AW3" i="171"/>
  <c r="AU3" i="171"/>
  <c r="AS3" i="171"/>
  <c r="AQ3" i="171"/>
  <c r="AO3" i="171"/>
  <c r="AY2" i="171"/>
  <c r="AW2" i="171"/>
  <c r="AU2" i="171"/>
  <c r="AS2" i="171"/>
  <c r="AQ2" i="171"/>
  <c r="AO2" i="171"/>
  <c r="C2" i="171"/>
  <c r="G1" i="171"/>
  <c r="BF6" i="132"/>
  <c r="BD6" i="132"/>
  <c r="BB6" i="132"/>
  <c r="AZ6" i="132"/>
  <c r="AX6" i="132"/>
  <c r="AV6" i="132"/>
  <c r="AT6" i="132"/>
  <c r="AR6" i="132"/>
  <c r="AP6" i="132"/>
  <c r="AN6" i="132"/>
  <c r="E6" i="132"/>
  <c r="C6" i="132" s="1"/>
  <c r="BF5" i="132"/>
  <c r="BD5" i="132"/>
  <c r="BB5" i="132"/>
  <c r="AZ5" i="132"/>
  <c r="AX5" i="132"/>
  <c r="AV5" i="132"/>
  <c r="AT5" i="132"/>
  <c r="AR5" i="132"/>
  <c r="AP5" i="132"/>
  <c r="AN5" i="132"/>
  <c r="E5" i="132"/>
  <c r="C5" i="132"/>
  <c r="BF4" i="132"/>
  <c r="BD4" i="132"/>
  <c r="BB4" i="132"/>
  <c r="AZ4" i="132"/>
  <c r="AX4" i="132"/>
  <c r="AV4" i="132"/>
  <c r="AT4" i="132"/>
  <c r="AR4" i="132"/>
  <c r="AP4" i="132"/>
  <c r="AN4" i="132"/>
  <c r="BF3" i="132"/>
  <c r="BD3" i="132"/>
  <c r="BB3" i="132"/>
  <c r="AZ3" i="132"/>
  <c r="AX3" i="132"/>
  <c r="AV3" i="132"/>
  <c r="AT3" i="132"/>
  <c r="AR3" i="132"/>
  <c r="AP3" i="132"/>
  <c r="AN3" i="132"/>
  <c r="BF2" i="132"/>
  <c r="BD2" i="132"/>
  <c r="BB2" i="132"/>
  <c r="AZ2" i="132"/>
  <c r="AX2" i="132"/>
  <c r="AV2" i="132"/>
  <c r="AT2" i="132"/>
  <c r="AR2" i="132"/>
  <c r="AP2" i="132"/>
  <c r="AN2" i="132"/>
  <c r="C2" i="132"/>
  <c r="G1" i="132"/>
  <c r="BF4" i="89"/>
  <c r="BB4" i="89"/>
  <c r="AY4" i="89"/>
  <c r="AW4" i="89"/>
  <c r="AU4" i="89"/>
  <c r="AS4" i="89"/>
  <c r="AQ4" i="89"/>
  <c r="AO4" i="89"/>
  <c r="AM4" i="89"/>
  <c r="E4" i="89"/>
  <c r="C4" i="89" s="1"/>
  <c r="BF3" i="89"/>
  <c r="BB3" i="89"/>
  <c r="AY3" i="89"/>
  <c r="AW3" i="89"/>
  <c r="AU3" i="89"/>
  <c r="AS3" i="89"/>
  <c r="AQ3" i="89"/>
  <c r="AO3" i="89"/>
  <c r="AM3" i="89"/>
  <c r="BF2" i="89"/>
  <c r="BB2" i="89"/>
  <c r="AY2" i="89"/>
  <c r="AW2" i="89"/>
  <c r="AU2" i="89"/>
  <c r="AS2" i="89"/>
  <c r="AQ2" i="89"/>
  <c r="AO2" i="89"/>
  <c r="AM2" i="89"/>
  <c r="C2" i="89"/>
  <c r="G1" i="89"/>
  <c r="CX4" i="249"/>
  <c r="CV4" i="249"/>
  <c r="CT4" i="249"/>
  <c r="CR4" i="249"/>
  <c r="CP4" i="249"/>
  <c r="CN4" i="249"/>
  <c r="CL4" i="249"/>
  <c r="CJ4" i="249"/>
  <c r="CH4" i="249"/>
  <c r="CF4" i="249"/>
  <c r="CD4" i="249"/>
  <c r="CB4" i="249"/>
  <c r="BZ4" i="249"/>
  <c r="BX4" i="249"/>
  <c r="BV4" i="249"/>
  <c r="BT4" i="249"/>
  <c r="BR4" i="249"/>
  <c r="BP4" i="249"/>
  <c r="BN4" i="249"/>
  <c r="BL4" i="249"/>
  <c r="BI4" i="249"/>
  <c r="BG4" i="249"/>
  <c r="BE4" i="249"/>
  <c r="BC4" i="249"/>
  <c r="AY4" i="249"/>
  <c r="AW4" i="249"/>
  <c r="AU4" i="249"/>
  <c r="AS4" i="249"/>
  <c r="AQ4" i="249"/>
  <c r="AO4" i="249"/>
  <c r="AM4" i="249"/>
  <c r="C2" i="249"/>
  <c r="G1" i="249"/>
  <c r="C2" i="246"/>
  <c r="G1" i="246"/>
  <c r="E4" i="123"/>
  <c r="C4" i="123" s="1"/>
  <c r="C2" i="123"/>
  <c r="G1" i="123"/>
  <c r="AX4" i="239"/>
  <c r="AU4" i="239"/>
  <c r="AS4" i="239"/>
  <c r="AQ4" i="239"/>
  <c r="AO4" i="239"/>
  <c r="AX3" i="239"/>
  <c r="AU3" i="239"/>
  <c r="AS3" i="239"/>
  <c r="AQ3" i="239"/>
  <c r="AO3" i="239"/>
  <c r="AX2" i="239"/>
  <c r="AU2" i="239"/>
  <c r="AS2" i="239"/>
  <c r="AQ2" i="239"/>
  <c r="AO2" i="239"/>
  <c r="C2" i="239"/>
  <c r="G1" i="239"/>
  <c r="AX5" i="124"/>
  <c r="AU5" i="124"/>
  <c r="AS5" i="124"/>
  <c r="AQ5" i="124"/>
  <c r="AO5" i="124"/>
  <c r="AX4" i="124"/>
  <c r="AU4" i="124"/>
  <c r="AS4" i="124"/>
  <c r="AQ4" i="124"/>
  <c r="AO4" i="124"/>
  <c r="Q4" i="124"/>
  <c r="O4" i="124"/>
  <c r="AX3" i="124"/>
  <c r="AU3" i="124"/>
  <c r="AS3" i="124"/>
  <c r="AQ3" i="124"/>
  <c r="AO3" i="124"/>
  <c r="AX2" i="124"/>
  <c r="AU2" i="124"/>
  <c r="AS2" i="124"/>
  <c r="AQ2" i="124"/>
  <c r="AO2" i="124"/>
  <c r="C2" i="124"/>
  <c r="G1" i="124"/>
  <c r="BI4" i="242"/>
  <c r="BG4" i="242"/>
  <c r="BE4" i="242"/>
  <c r="BC4" i="242"/>
  <c r="BA4" i="242"/>
  <c r="AY4" i="242"/>
  <c r="AW4" i="242"/>
  <c r="AU4" i="242"/>
  <c r="AS4" i="242"/>
  <c r="AQ4" i="242"/>
  <c r="AI4" i="242"/>
  <c r="AG4" i="242"/>
  <c r="BI3" i="242"/>
  <c r="BG3" i="242"/>
  <c r="BE3" i="242"/>
  <c r="BC3" i="242"/>
  <c r="BA3" i="242"/>
  <c r="AY3" i="242"/>
  <c r="AW3" i="242"/>
  <c r="AU3" i="242"/>
  <c r="AS3" i="242"/>
  <c r="AQ3" i="242"/>
  <c r="BI2" i="242"/>
  <c r="BG2" i="242"/>
  <c r="BE2" i="242"/>
  <c r="BC2" i="242"/>
  <c r="BA2" i="242"/>
  <c r="AY2" i="242"/>
  <c r="AW2" i="242"/>
  <c r="AU2" i="242"/>
  <c r="AS2" i="242"/>
  <c r="AQ2" i="242"/>
  <c r="C2" i="242"/>
  <c r="G1" i="242"/>
  <c r="BI4" i="115"/>
  <c r="BG4" i="115"/>
  <c r="BE4" i="115"/>
  <c r="BC4" i="115"/>
  <c r="BA4" i="115"/>
  <c r="AY4" i="115"/>
  <c r="AW4" i="115"/>
  <c r="AU4" i="115"/>
  <c r="AS4" i="115"/>
  <c r="AQ4" i="115"/>
  <c r="AI4" i="115"/>
  <c r="AG4" i="115"/>
  <c r="BI3" i="115"/>
  <c r="BG3" i="115"/>
  <c r="BE3" i="115"/>
  <c r="BC3" i="115"/>
  <c r="BA3" i="115"/>
  <c r="AY3" i="115"/>
  <c r="AW3" i="115"/>
  <c r="AU3" i="115"/>
  <c r="AS3" i="115"/>
  <c r="AQ3" i="115"/>
  <c r="BI2" i="115"/>
  <c r="BG2" i="115"/>
  <c r="BE2" i="115"/>
  <c r="BC2" i="115"/>
  <c r="BA2" i="115"/>
  <c r="AY2" i="115"/>
  <c r="AW2" i="115"/>
  <c r="AU2" i="115"/>
  <c r="AS2" i="115"/>
  <c r="AQ2" i="115"/>
  <c r="C2" i="115"/>
  <c r="G1" i="115"/>
  <c r="BY8" i="114"/>
  <c r="BB6" i="114"/>
  <c r="AZ6" i="114"/>
  <c r="AX6" i="114"/>
  <c r="AV6" i="114"/>
  <c r="AT6" i="114"/>
  <c r="AR6" i="114"/>
  <c r="AP6" i="114"/>
  <c r="AN6" i="114"/>
  <c r="AL6" i="114"/>
  <c r="AJ6" i="114"/>
  <c r="BF5" i="114"/>
  <c r="BD5" i="114"/>
  <c r="BB5" i="114"/>
  <c r="AZ5" i="114"/>
  <c r="AX5" i="114"/>
  <c r="AV5" i="114"/>
  <c r="AT5" i="114"/>
  <c r="AR5" i="114"/>
  <c r="AP5" i="114"/>
  <c r="AN5" i="114"/>
  <c r="G5" i="114"/>
  <c r="E5" i="114" s="1"/>
  <c r="C5" i="114" s="1"/>
  <c r="BB4" i="114"/>
  <c r="AZ4" i="114"/>
  <c r="AX4" i="114"/>
  <c r="AV4" i="114"/>
  <c r="AT4" i="114"/>
  <c r="AR4" i="114"/>
  <c r="AP4" i="114"/>
  <c r="AN4" i="114"/>
  <c r="AL4" i="114"/>
  <c r="AJ4" i="114"/>
  <c r="BF3" i="114"/>
  <c r="BD3" i="114"/>
  <c r="BB3" i="114"/>
  <c r="AZ3" i="114"/>
  <c r="AX3" i="114"/>
  <c r="AV3" i="114"/>
  <c r="AT3" i="114"/>
  <c r="AR3" i="114"/>
  <c r="AP3" i="114"/>
  <c r="AN3" i="114"/>
  <c r="BF2" i="114"/>
  <c r="BD2" i="114"/>
  <c r="BB2" i="114"/>
  <c r="AZ2" i="114"/>
  <c r="AX2" i="114"/>
  <c r="AV2" i="114"/>
  <c r="AT2" i="114"/>
  <c r="AR2" i="114"/>
  <c r="AP2" i="114"/>
  <c r="AN2" i="114"/>
  <c r="C2" i="114"/>
  <c r="G1" i="114"/>
  <c r="BJ4" i="166"/>
  <c r="BH4" i="166"/>
  <c r="BF4" i="166"/>
  <c r="BD4" i="166"/>
  <c r="BB4" i="166"/>
  <c r="AZ4" i="166"/>
  <c r="AX4" i="166"/>
  <c r="AV4" i="166"/>
  <c r="AT4" i="166"/>
  <c r="AR4" i="166"/>
  <c r="AP4" i="166"/>
  <c r="AN4" i="166"/>
  <c r="I4" i="166"/>
  <c r="E4" i="166"/>
  <c r="C4" i="166" s="1"/>
  <c r="BJ3" i="166"/>
  <c r="BH3" i="166"/>
  <c r="BF3" i="166"/>
  <c r="BD3" i="166"/>
  <c r="BB3" i="166"/>
  <c r="AZ3" i="166"/>
  <c r="AX3" i="166"/>
  <c r="AV3" i="166"/>
  <c r="AT3" i="166"/>
  <c r="AR3" i="166"/>
  <c r="AP3" i="166"/>
  <c r="AN3" i="166"/>
  <c r="BJ2" i="166"/>
  <c r="BH2" i="166"/>
  <c r="BF2" i="166"/>
  <c r="BD2" i="166"/>
  <c r="BB2" i="166"/>
  <c r="AZ2" i="166"/>
  <c r="AX2" i="166"/>
  <c r="AV2" i="166"/>
  <c r="AT2" i="166"/>
  <c r="AR2" i="166"/>
  <c r="AP2" i="166"/>
  <c r="AN2" i="166"/>
  <c r="C2" i="166"/>
  <c r="G1" i="166"/>
  <c r="BB5" i="182"/>
  <c r="AZ5" i="182"/>
  <c r="AX5" i="182"/>
  <c r="AV5" i="182"/>
  <c r="AT5" i="182"/>
  <c r="AR5" i="182"/>
  <c r="AP5" i="182"/>
  <c r="AN5" i="182"/>
  <c r="Y5" i="182"/>
  <c r="W5" i="182"/>
  <c r="U5" i="182"/>
  <c r="G5" i="182"/>
  <c r="BB4" i="182"/>
  <c r="AZ4" i="182"/>
  <c r="AX4" i="182"/>
  <c r="AV4" i="182"/>
  <c r="AT4" i="182"/>
  <c r="AR4" i="182"/>
  <c r="AP4" i="182"/>
  <c r="AN4" i="182"/>
  <c r="Y4" i="182"/>
  <c r="W4" i="182"/>
  <c r="BB3" i="182"/>
  <c r="AZ3" i="182"/>
  <c r="AX3" i="182"/>
  <c r="AV3" i="182"/>
  <c r="AT3" i="182"/>
  <c r="AR3" i="182"/>
  <c r="AP3" i="182"/>
  <c r="AN3" i="182"/>
  <c r="BB2" i="182"/>
  <c r="AZ2" i="182"/>
  <c r="AX2" i="182"/>
  <c r="AV2" i="182"/>
  <c r="AT2" i="182"/>
  <c r="AR2" i="182"/>
  <c r="AP2" i="182"/>
  <c r="AN2" i="182"/>
  <c r="C2" i="182"/>
  <c r="G1" i="182"/>
  <c r="BF4" i="121"/>
  <c r="BD4" i="121"/>
  <c r="BB4" i="121"/>
  <c r="AZ4" i="121"/>
  <c r="AX4" i="121"/>
  <c r="AV4" i="121"/>
  <c r="AT4" i="121"/>
  <c r="AR4" i="121"/>
  <c r="AP4" i="121"/>
  <c r="AN4" i="121"/>
  <c r="Y4" i="121"/>
  <c r="W4" i="121"/>
  <c r="BF3" i="121"/>
  <c r="BD3" i="121"/>
  <c r="BB3" i="121"/>
  <c r="AZ3" i="121"/>
  <c r="AX3" i="121"/>
  <c r="AV3" i="121"/>
  <c r="AT3" i="121"/>
  <c r="AR3" i="121"/>
  <c r="AP3" i="121"/>
  <c r="AN3" i="121"/>
  <c r="BF2" i="121"/>
  <c r="BD2" i="121"/>
  <c r="BB2" i="121"/>
  <c r="AZ2" i="121"/>
  <c r="AX2" i="121"/>
  <c r="AV2" i="121"/>
  <c r="AT2" i="121"/>
  <c r="AR2" i="121"/>
  <c r="AP2" i="121"/>
  <c r="AN2" i="121"/>
  <c r="C2" i="121"/>
  <c r="G1" i="121"/>
  <c r="R6" i="250"/>
  <c r="AP5" i="250"/>
  <c r="AN5" i="250"/>
  <c r="AL5" i="250"/>
  <c r="AJ5" i="250"/>
  <c r="AH5" i="250"/>
  <c r="AF5" i="250"/>
  <c r="AD5" i="250"/>
  <c r="AB5" i="250"/>
  <c r="Z5" i="250"/>
  <c r="E5" i="250"/>
  <c r="C5" i="250"/>
  <c r="AP4" i="250"/>
  <c r="AN4" i="250"/>
  <c r="AL4" i="250"/>
  <c r="AJ4" i="250"/>
  <c r="AH4" i="250"/>
  <c r="AF4" i="250"/>
  <c r="AD4" i="250"/>
  <c r="AB4" i="250"/>
  <c r="Z4" i="250"/>
  <c r="E4" i="250"/>
  <c r="C4" i="250" s="1"/>
  <c r="AP3" i="250"/>
  <c r="AN3" i="250"/>
  <c r="AL3" i="250"/>
  <c r="AJ3" i="250"/>
  <c r="AH3" i="250"/>
  <c r="AF3" i="250"/>
  <c r="AD3" i="250"/>
  <c r="AB3" i="250"/>
  <c r="Z3" i="250"/>
  <c r="AP2" i="250"/>
  <c r="AN2" i="250"/>
  <c r="AL2" i="250"/>
  <c r="AJ2" i="250"/>
  <c r="AH2" i="250"/>
  <c r="AF2" i="250"/>
  <c r="AD2" i="250"/>
  <c r="AB2" i="250"/>
  <c r="Z2" i="250"/>
  <c r="C2" i="250"/>
  <c r="G1" i="250"/>
  <c r="R6" i="176"/>
  <c r="AP5" i="176"/>
  <c r="AN5" i="176"/>
  <c r="AL5" i="176"/>
  <c r="AJ5" i="176"/>
  <c r="AH5" i="176"/>
  <c r="AF5" i="176"/>
  <c r="AD5" i="176"/>
  <c r="AB5" i="176"/>
  <c r="Z5" i="176"/>
  <c r="AP4" i="176"/>
  <c r="AN4" i="176"/>
  <c r="AL4" i="176"/>
  <c r="AJ4" i="176"/>
  <c r="AH4" i="176"/>
  <c r="AF4" i="176"/>
  <c r="AD4" i="176"/>
  <c r="AB4" i="176"/>
  <c r="Z4" i="176"/>
  <c r="E4" i="176"/>
  <c r="C4" i="176"/>
  <c r="AP3" i="176"/>
  <c r="AN3" i="176"/>
  <c r="AL3" i="176"/>
  <c r="AJ3" i="176"/>
  <c r="AH3" i="176"/>
  <c r="AF3" i="176"/>
  <c r="AD3" i="176"/>
  <c r="AB3" i="176"/>
  <c r="Z3" i="176"/>
  <c r="AP2" i="176"/>
  <c r="AN2" i="176"/>
  <c r="AL2" i="176"/>
  <c r="AJ2" i="176"/>
  <c r="AH2" i="176"/>
  <c r="AF2" i="176"/>
  <c r="AD2" i="176"/>
  <c r="AB2" i="176"/>
  <c r="Z2" i="176"/>
  <c r="C2" i="176"/>
  <c r="G1" i="176"/>
  <c r="P6" i="161"/>
  <c r="AX5" i="161"/>
  <c r="AV5" i="161"/>
  <c r="AT5" i="161"/>
  <c r="AR5" i="161"/>
  <c r="AP5" i="161"/>
  <c r="AN5" i="161"/>
  <c r="AL5" i="161"/>
  <c r="AX4" i="161"/>
  <c r="AV4" i="161"/>
  <c r="AT4" i="161"/>
  <c r="AR4" i="161"/>
  <c r="AP4" i="161"/>
  <c r="AN4" i="161"/>
  <c r="AL4" i="161"/>
  <c r="E4" i="161"/>
  <c r="C4" i="161"/>
  <c r="AX3" i="161"/>
  <c r="AV3" i="161"/>
  <c r="AT3" i="161"/>
  <c r="AR3" i="161"/>
  <c r="AP3" i="161"/>
  <c r="AN3" i="161"/>
  <c r="AL3" i="161"/>
  <c r="AX2" i="161"/>
  <c r="AV2" i="161"/>
  <c r="AT2" i="161"/>
  <c r="AR2" i="161"/>
  <c r="AP2" i="161"/>
  <c r="AN2" i="161"/>
  <c r="AL2" i="161"/>
  <c r="C2" i="161"/>
  <c r="G1" i="161"/>
  <c r="O6" i="95"/>
  <c r="E6" i="95" s="1"/>
  <c r="C6" i="95"/>
  <c r="E5" i="95"/>
  <c r="C5" i="95"/>
  <c r="E4" i="95"/>
  <c r="C4" i="95"/>
  <c r="C2" i="95"/>
  <c r="G1" i="95"/>
  <c r="BG4" i="125"/>
  <c r="BE4" i="125"/>
  <c r="BC4" i="125"/>
  <c r="BA4" i="125"/>
  <c r="AY4" i="125"/>
  <c r="AW4" i="125"/>
  <c r="AU4" i="125"/>
  <c r="AS4" i="125"/>
  <c r="AQ4" i="125"/>
  <c r="AO4" i="125"/>
  <c r="E4" i="125"/>
  <c r="C4" i="125" s="1"/>
  <c r="BG3" i="125"/>
  <c r="BE3" i="125"/>
  <c r="BC3" i="125"/>
  <c r="BA3" i="125"/>
  <c r="AY3" i="125"/>
  <c r="AW3" i="125"/>
  <c r="AU3" i="125"/>
  <c r="AS3" i="125"/>
  <c r="AQ3" i="125"/>
  <c r="AO3" i="125"/>
  <c r="BG2" i="125"/>
  <c r="BE2" i="125"/>
  <c r="BC2" i="125"/>
  <c r="BA2" i="125"/>
  <c r="AY2" i="125"/>
  <c r="AW2" i="125"/>
  <c r="AU2" i="125"/>
  <c r="AS2" i="125"/>
  <c r="AQ2" i="125"/>
  <c r="AO2" i="125"/>
  <c r="C2" i="125"/>
  <c r="G1" i="125"/>
  <c r="E6" i="168"/>
  <c r="AY4" i="168"/>
  <c r="AW4" i="168"/>
  <c r="AU4" i="168"/>
  <c r="AS4" i="168"/>
  <c r="AQ4" i="168"/>
  <c r="I4" i="168"/>
  <c r="E4" i="168" s="1"/>
  <c r="C4" i="168" s="1"/>
  <c r="AY3" i="168"/>
  <c r="AW3" i="168"/>
  <c r="AU3" i="168"/>
  <c r="AS3" i="168"/>
  <c r="AQ3" i="168"/>
  <c r="AY2" i="168"/>
  <c r="AW2" i="168"/>
  <c r="AU2" i="168"/>
  <c r="AS2" i="168"/>
  <c r="AQ2" i="168"/>
  <c r="C2" i="168"/>
  <c r="G1" i="168"/>
  <c r="AU4" i="163"/>
  <c r="AS4" i="163"/>
  <c r="AQ4" i="163"/>
  <c r="AO4" i="163"/>
  <c r="Q4" i="163"/>
  <c r="E4" i="163" s="1"/>
  <c r="C4" i="163" s="1"/>
  <c r="AU3" i="163"/>
  <c r="AS3" i="163"/>
  <c r="AQ3" i="163"/>
  <c r="AO3" i="163"/>
  <c r="AU2" i="163"/>
  <c r="AS2" i="163"/>
  <c r="AQ2" i="163"/>
  <c r="AO2" i="163"/>
  <c r="C2" i="163"/>
  <c r="G1" i="163"/>
  <c r="AH4" i="162"/>
  <c r="AF4" i="162"/>
  <c r="AD4" i="162"/>
  <c r="AB4" i="162"/>
  <c r="Z4" i="162"/>
  <c r="X4" i="162"/>
  <c r="V4" i="162"/>
  <c r="T4" i="162"/>
  <c r="O4" i="162"/>
  <c r="E4" i="162"/>
  <c r="C4" i="162"/>
  <c r="AH3" i="162"/>
  <c r="AF3" i="162"/>
  <c r="AD3" i="162"/>
  <c r="AB3" i="162"/>
  <c r="Z3" i="162"/>
  <c r="X3" i="162"/>
  <c r="V3" i="162"/>
  <c r="T3" i="162"/>
  <c r="O3" i="162"/>
  <c r="AH2" i="162"/>
  <c r="AF2" i="162"/>
  <c r="AD2" i="162"/>
  <c r="AB2" i="162"/>
  <c r="Z2" i="162"/>
  <c r="X2" i="162"/>
  <c r="V2" i="162"/>
  <c r="T2" i="162"/>
  <c r="O2" i="162"/>
  <c r="C2" i="162"/>
  <c r="G1" i="162"/>
  <c r="BF5" i="107"/>
  <c r="BC5" i="107"/>
  <c r="BA5" i="107"/>
  <c r="AY5" i="107"/>
  <c r="AW5" i="107"/>
  <c r="AU5" i="107"/>
  <c r="AS5" i="107"/>
  <c r="AQ5" i="107"/>
  <c r="K5" i="107"/>
  <c r="E5" i="107" s="1"/>
  <c r="C5" i="107" s="1"/>
  <c r="BF4" i="107"/>
  <c r="BC4" i="107"/>
  <c r="BA4" i="107"/>
  <c r="AY4" i="107"/>
  <c r="AW4" i="107"/>
  <c r="AU4" i="107"/>
  <c r="AS4" i="107"/>
  <c r="AQ4" i="107"/>
  <c r="K4" i="107"/>
  <c r="E4" i="107" s="1"/>
  <c r="C4" i="107" s="1"/>
  <c r="BF3" i="107"/>
  <c r="BC3" i="107"/>
  <c r="BA3" i="107"/>
  <c r="AY3" i="107"/>
  <c r="AW3" i="107"/>
  <c r="AU3" i="107"/>
  <c r="AS3" i="107"/>
  <c r="AQ3" i="107"/>
  <c r="BF2" i="107"/>
  <c r="BC2" i="107"/>
  <c r="BA2" i="107"/>
  <c r="AY2" i="107"/>
  <c r="AW2" i="107"/>
  <c r="AU2" i="107"/>
  <c r="AS2" i="107"/>
  <c r="AQ2" i="107" a="1"/>
  <c r="AQ2" i="107" s="1"/>
  <c r="C2" i="107"/>
  <c r="G1" i="107"/>
  <c r="AS7" i="99"/>
  <c r="AQ7" i="99"/>
  <c r="AO7" i="99"/>
  <c r="AM7" i="99"/>
  <c r="BE6" i="99"/>
  <c r="BC6" i="99"/>
  <c r="BA6" i="99"/>
  <c r="AY6" i="99"/>
  <c r="AW6" i="99"/>
  <c r="AU6" i="99"/>
  <c r="AS6" i="99"/>
  <c r="AQ6" i="99"/>
  <c r="AO6" i="99"/>
  <c r="AM6" i="99"/>
  <c r="U6" i="99"/>
  <c r="E6" i="99" s="1"/>
  <c r="C6" i="99" s="1"/>
  <c r="BE5" i="99"/>
  <c r="BC5" i="99"/>
  <c r="BA5" i="99"/>
  <c r="AY5" i="99"/>
  <c r="AW5" i="99"/>
  <c r="AU5" i="99"/>
  <c r="AS5" i="99"/>
  <c r="AQ5" i="99"/>
  <c r="AO5" i="99"/>
  <c r="AM5" i="99"/>
  <c r="U5" i="99"/>
  <c r="E5" i="99" s="1"/>
  <c r="C5" i="99" s="1"/>
  <c r="BE4" i="99"/>
  <c r="BC4" i="99"/>
  <c r="BA4" i="99"/>
  <c r="AY4" i="99"/>
  <c r="AW4" i="99"/>
  <c r="AU4" i="99"/>
  <c r="AS4" i="99"/>
  <c r="AQ4" i="99"/>
  <c r="AO4" i="99"/>
  <c r="AM4" i="99"/>
  <c r="C4" i="99"/>
  <c r="BE3" i="99"/>
  <c r="BC3" i="99"/>
  <c r="BA3" i="99"/>
  <c r="AY3" i="99"/>
  <c r="AW3" i="99"/>
  <c r="AU3" i="99"/>
  <c r="AS3" i="99"/>
  <c r="AQ3" i="99"/>
  <c r="AO3" i="99"/>
  <c r="AM3" i="99"/>
  <c r="BE2" i="99"/>
  <c r="BC2" i="99"/>
  <c r="BA2" i="99"/>
  <c r="AY2" i="99"/>
  <c r="AW2" i="99"/>
  <c r="AU2" i="99"/>
  <c r="AS2" i="99"/>
  <c r="AQ2" i="99"/>
  <c r="AO2" i="99"/>
  <c r="AM2" i="99"/>
  <c r="C2" i="99"/>
  <c r="G1" i="99"/>
  <c r="BF4" i="94"/>
  <c r="BD4" i="94"/>
  <c r="BB4" i="94"/>
  <c r="AZ4" i="94"/>
  <c r="AX4" i="94"/>
  <c r="AV4" i="94"/>
  <c r="AT4" i="94"/>
  <c r="AR4" i="94"/>
  <c r="AP4" i="94"/>
  <c r="F4" i="94"/>
  <c r="C4" i="94" s="1"/>
  <c r="BF3" i="94"/>
  <c r="BD3" i="94"/>
  <c r="BB3" i="94"/>
  <c r="AZ3" i="94"/>
  <c r="AX3" i="94"/>
  <c r="AV3" i="94"/>
  <c r="AT3" i="94"/>
  <c r="AR3" i="94"/>
  <c r="AP3" i="94"/>
  <c r="BF2" i="94"/>
  <c r="BD2" i="94"/>
  <c r="BB2" i="94"/>
  <c r="AZ2" i="94"/>
  <c r="AX2" i="94"/>
  <c r="AV2" i="94"/>
  <c r="AT2" i="94"/>
  <c r="AR2" i="94"/>
  <c r="AP2" i="94"/>
  <c r="C2" i="94"/>
  <c r="G1" i="94"/>
  <c r="BF5" i="91"/>
  <c r="BD5" i="91"/>
  <c r="BB5" i="91"/>
  <c r="AZ5" i="91"/>
  <c r="AX5" i="91"/>
  <c r="AV5" i="91"/>
  <c r="AT5" i="91"/>
  <c r="AR5" i="91"/>
  <c r="AP5" i="91"/>
  <c r="AN5" i="91"/>
  <c r="BF4" i="91"/>
  <c r="BD4" i="91"/>
  <c r="BB4" i="91"/>
  <c r="AZ4" i="91"/>
  <c r="AX4" i="91"/>
  <c r="AV4" i="91"/>
  <c r="AT4" i="91"/>
  <c r="AR4" i="91"/>
  <c r="AP4" i="91"/>
  <c r="AN4" i="91"/>
  <c r="C4" i="91"/>
  <c r="BF3" i="91"/>
  <c r="BD3" i="91"/>
  <c r="BB3" i="91"/>
  <c r="AZ3" i="91"/>
  <c r="AX3" i="91"/>
  <c r="AV3" i="91"/>
  <c r="AT3" i="91"/>
  <c r="AR3" i="91"/>
  <c r="AP3" i="91"/>
  <c r="AN3" i="91"/>
  <c r="BF2" i="91"/>
  <c r="BD2" i="91"/>
  <c r="BB2" i="91"/>
  <c r="AZ2" i="91"/>
  <c r="AX2" i="91"/>
  <c r="AV2" i="91"/>
  <c r="AT2" i="91"/>
  <c r="AR2" i="91"/>
  <c r="AP2" i="91"/>
  <c r="AN2" i="91"/>
  <c r="C2" i="91"/>
  <c r="G1" i="91"/>
  <c r="AW7" i="88"/>
  <c r="AU7" i="88"/>
  <c r="AS7" i="88"/>
  <c r="AQ7" i="88"/>
  <c r="AO7" i="88"/>
  <c r="AM7" i="88"/>
  <c r="R7" i="88"/>
  <c r="N7" i="88"/>
  <c r="E7" i="88" s="1"/>
  <c r="C7" i="88" s="1"/>
  <c r="L7" i="88"/>
  <c r="AW6" i="88"/>
  <c r="AU6" i="88"/>
  <c r="AS6" i="88"/>
  <c r="AQ6" i="88"/>
  <c r="AO6" i="88"/>
  <c r="AM6" i="88"/>
  <c r="N6" i="88"/>
  <c r="H5" i="91" s="1"/>
  <c r="E5" i="91" s="1"/>
  <c r="C5" i="91" s="1"/>
  <c r="L6" i="88"/>
  <c r="AW5" i="88"/>
  <c r="AU5" i="88"/>
  <c r="AS5" i="88"/>
  <c r="AQ5" i="88"/>
  <c r="AO5" i="88"/>
  <c r="AM5" i="88"/>
  <c r="N5" i="88"/>
  <c r="L5" i="88"/>
  <c r="M4" i="94" s="1"/>
  <c r="AW4" i="88"/>
  <c r="AU4" i="88"/>
  <c r="AS4" i="88"/>
  <c r="AQ4" i="88"/>
  <c r="AO4" i="88"/>
  <c r="AM4" i="88"/>
  <c r="C4" i="88"/>
  <c r="AW3" i="88"/>
  <c r="AU3" i="88"/>
  <c r="AS3" i="88"/>
  <c r="AQ3" i="88"/>
  <c r="AO3" i="88"/>
  <c r="AM3" i="88"/>
  <c r="AW2" i="88"/>
  <c r="AU2" i="88"/>
  <c r="AS2" i="88"/>
  <c r="AQ2" i="88"/>
  <c r="AO2" i="88"/>
  <c r="AM2" i="88"/>
  <c r="C2" i="88"/>
  <c r="G1" i="88"/>
  <c r="BE4" i="86"/>
  <c r="BC4" i="86"/>
  <c r="BA4" i="86"/>
  <c r="AY4" i="86"/>
  <c r="AW4" i="86"/>
  <c r="AU4" i="86"/>
  <c r="AS4" i="86"/>
  <c r="AQ4" i="86"/>
  <c r="AO4" i="86"/>
  <c r="AM4" i="86"/>
  <c r="E4" i="86"/>
  <c r="C4" i="86"/>
  <c r="BE3" i="86"/>
  <c r="BC3" i="86"/>
  <c r="BA3" i="86"/>
  <c r="AY3" i="86"/>
  <c r="AW3" i="86"/>
  <c r="AU3" i="86"/>
  <c r="AS3" i="86"/>
  <c r="AQ3" i="86"/>
  <c r="AO3" i="86"/>
  <c r="AM3" i="86"/>
  <c r="E3" i="86"/>
  <c r="C3" i="86"/>
  <c r="BE2" i="86"/>
  <c r="BC2" i="86"/>
  <c r="BA2" i="86"/>
  <c r="AY2" i="86"/>
  <c r="AW2" i="86"/>
  <c r="AU2" i="86"/>
  <c r="AS2" i="86"/>
  <c r="AQ2" i="86"/>
  <c r="AO2" i="86"/>
  <c r="AM2" i="86"/>
  <c r="E2" i="86"/>
  <c r="C2" i="86"/>
  <c r="G1" i="86"/>
  <c r="BE4" i="116"/>
  <c r="BC4" i="116"/>
  <c r="BA4" i="116"/>
  <c r="AY4" i="116"/>
  <c r="AW4" i="116"/>
  <c r="AU4" i="116"/>
  <c r="AS4" i="116"/>
  <c r="AQ4" i="116"/>
  <c r="AO4" i="116"/>
  <c r="AM4" i="116"/>
  <c r="E4" i="116"/>
  <c r="C4" i="116"/>
  <c r="BE3" i="116"/>
  <c r="BC3" i="116"/>
  <c r="BA3" i="116"/>
  <c r="AY3" i="116"/>
  <c r="AW3" i="116"/>
  <c r="AU3" i="116"/>
  <c r="AS3" i="116"/>
  <c r="AQ3" i="116"/>
  <c r="AO3" i="116"/>
  <c r="AM3" i="116"/>
  <c r="BE2" i="116"/>
  <c r="BC2" i="116"/>
  <c r="BA2" i="116"/>
  <c r="AY2" i="116"/>
  <c r="AW2" i="116"/>
  <c r="AU2" i="116"/>
  <c r="AS2" i="116"/>
  <c r="AQ2" i="116"/>
  <c r="AO2" i="116"/>
  <c r="AM2" i="116"/>
  <c r="C2" i="116"/>
  <c r="G1" i="116"/>
  <c r="AN6" i="120"/>
  <c r="AL6" i="120"/>
  <c r="AJ6" i="120"/>
  <c r="AZ5" i="120"/>
  <c r="AX5" i="120"/>
  <c r="AV5" i="120"/>
  <c r="AT5" i="120"/>
  <c r="AR5" i="120"/>
  <c r="AP5" i="120"/>
  <c r="AN5" i="120"/>
  <c r="AL5" i="120"/>
  <c r="AJ5" i="120"/>
  <c r="L5" i="120"/>
  <c r="E5" i="120" s="1"/>
  <c r="C5" i="120" s="1"/>
  <c r="AZ4" i="120"/>
  <c r="AX4" i="120"/>
  <c r="AV4" i="120"/>
  <c r="AT4" i="120"/>
  <c r="AR4" i="120"/>
  <c r="AP4" i="120"/>
  <c r="AN4" i="120"/>
  <c r="AL4" i="120"/>
  <c r="AJ4" i="120"/>
  <c r="C4" i="120"/>
  <c r="AZ3" i="120"/>
  <c r="AX3" i="120"/>
  <c r="AV3" i="120"/>
  <c r="AT3" i="120"/>
  <c r="AR3" i="120"/>
  <c r="AP3" i="120"/>
  <c r="AN3" i="120"/>
  <c r="AL3" i="120"/>
  <c r="AJ3" i="120"/>
  <c r="E3" i="120"/>
  <c r="C3" i="120"/>
  <c r="AZ2" i="120"/>
  <c r="AX2" i="120"/>
  <c r="AV2" i="120"/>
  <c r="AT2" i="120"/>
  <c r="AR2" i="120"/>
  <c r="AP2" i="120"/>
  <c r="AN2" i="120"/>
  <c r="AL2" i="120"/>
  <c r="AJ2" i="120"/>
  <c r="C2" i="120"/>
  <c r="G1" i="120"/>
  <c r="I7" i="112"/>
  <c r="AR6" i="112"/>
  <c r="AP6" i="112"/>
  <c r="AN6" i="112"/>
  <c r="AK6" i="112"/>
  <c r="AR5" i="112"/>
  <c r="AP5" i="112"/>
  <c r="AN5" i="112"/>
  <c r="AK5" i="112"/>
  <c r="BF4" i="112"/>
  <c r="BD4" i="112"/>
  <c r="BB4" i="112"/>
  <c r="AZ4" i="112"/>
  <c r="AX4" i="112"/>
  <c r="AV4" i="112"/>
  <c r="AT4" i="112"/>
  <c r="AR4" i="112"/>
  <c r="AP4" i="112"/>
  <c r="AN4" i="112"/>
  <c r="AK4" i="112"/>
  <c r="I4" i="112"/>
  <c r="E4" i="112" s="1"/>
  <c r="C4" i="112" s="1"/>
  <c r="BF3" i="112"/>
  <c r="BD3" i="112"/>
  <c r="BB3" i="112"/>
  <c r="AZ3" i="112"/>
  <c r="AX3" i="112"/>
  <c r="AV3" i="112"/>
  <c r="AT3" i="112"/>
  <c r="AR3" i="112"/>
  <c r="AP3" i="112"/>
  <c r="AN3" i="112"/>
  <c r="AK3" i="112"/>
  <c r="BF2" i="112"/>
  <c r="BD2" i="112"/>
  <c r="BB2" i="112"/>
  <c r="AZ2" i="112"/>
  <c r="AX2" i="112"/>
  <c r="AV2" i="112"/>
  <c r="AT2" i="112"/>
  <c r="AR2" i="112"/>
  <c r="AP2" i="112"/>
  <c r="AN2" i="112"/>
  <c r="AK2" i="112"/>
  <c r="C2" i="112"/>
  <c r="G1" i="112"/>
  <c r="AZ4" i="117"/>
  <c r="AX4" i="117"/>
  <c r="AV4" i="117"/>
  <c r="AT4" i="117"/>
  <c r="AR4" i="117"/>
  <c r="AP4" i="117"/>
  <c r="AN4" i="117"/>
  <c r="AL4" i="117"/>
  <c r="AJ4" i="117"/>
  <c r="G4" i="117"/>
  <c r="AZ3" i="117"/>
  <c r="AX3" i="117"/>
  <c r="AV3" i="117"/>
  <c r="AT3" i="117"/>
  <c r="AR3" i="117"/>
  <c r="AP3" i="117"/>
  <c r="AN3" i="117"/>
  <c r="AL3" i="117"/>
  <c r="AJ3" i="117"/>
  <c r="AZ2" i="117"/>
  <c r="AX2" i="117"/>
  <c r="AV2" i="117"/>
  <c r="AT2" i="117"/>
  <c r="AR2" i="117"/>
  <c r="AP2" i="117"/>
  <c r="AN2" i="117"/>
  <c r="AL2" i="117"/>
  <c r="AJ2" i="117"/>
  <c r="C2" i="117"/>
  <c r="G1" i="117"/>
  <c r="G79" i="206" a="1"/>
  <c r="G79" i="206"/>
  <c r="G76" i="206" a="1"/>
  <c r="G76" i="206"/>
  <c r="F68" i="206"/>
  <c r="F69" i="206" s="1"/>
  <c r="G65" i="206"/>
  <c r="G64" i="206"/>
  <c r="G63" i="206"/>
  <c r="I56" i="206" s="1"/>
  <c r="G62" i="206"/>
  <c r="H59" i="206" s="1"/>
  <c r="J59" i="206"/>
  <c r="K20" i="206" s="1"/>
  <c r="I59" i="206"/>
  <c r="M20" i="206" s="1"/>
  <c r="J58" i="206"/>
  <c r="K19" i="206" s="1"/>
  <c r="I58" i="206"/>
  <c r="H58" i="206"/>
  <c r="G58" i="206"/>
  <c r="I57" i="206"/>
  <c r="H57" i="206"/>
  <c r="G57" i="206"/>
  <c r="J56" i="206"/>
  <c r="H56" i="206"/>
  <c r="G56" i="206"/>
  <c r="E50" i="206"/>
  <c r="BB49" i="206"/>
  <c r="AZ49" i="206"/>
  <c r="AX49" i="206"/>
  <c r="AV49" i="206"/>
  <c r="AT49" i="206"/>
  <c r="AR49" i="206"/>
  <c r="AP49" i="206"/>
  <c r="AN49" i="206"/>
  <c r="AL49" i="206"/>
  <c r="AJ49" i="206"/>
  <c r="G49" i="206"/>
  <c r="E49" i="206" s="1"/>
  <c r="C49" i="206"/>
  <c r="BB48" i="206"/>
  <c r="AZ48" i="206"/>
  <c r="AX48" i="206"/>
  <c r="AV48" i="206"/>
  <c r="AT48" i="206"/>
  <c r="AR48" i="206"/>
  <c r="AP48" i="206"/>
  <c r="AN48" i="206"/>
  <c r="AL48" i="206"/>
  <c r="AJ48" i="206"/>
  <c r="BB47" i="206"/>
  <c r="AZ47" i="206"/>
  <c r="AX47" i="206"/>
  <c r="AV47" i="206"/>
  <c r="AT47" i="206"/>
  <c r="AR47" i="206"/>
  <c r="AP47" i="206"/>
  <c r="AN47" i="206"/>
  <c r="AL47" i="206"/>
  <c r="AJ47" i="206"/>
  <c r="I47" i="206"/>
  <c r="E47" i="206"/>
  <c r="C47" i="206" s="1"/>
  <c r="BB46" i="206"/>
  <c r="AZ46" i="206"/>
  <c r="AX46" i="206"/>
  <c r="AV46" i="206"/>
  <c r="AT46" i="206"/>
  <c r="AR46" i="206"/>
  <c r="AP46" i="206"/>
  <c r="AN46" i="206"/>
  <c r="AL46" i="206"/>
  <c r="AJ46" i="206"/>
  <c r="CY45" i="206"/>
  <c r="BO45" i="206"/>
  <c r="BB45" i="206"/>
  <c r="AZ45" i="206"/>
  <c r="AX45" i="206"/>
  <c r="AV45" i="206"/>
  <c r="AT45" i="206"/>
  <c r="AR45" i="206"/>
  <c r="AP45" i="206"/>
  <c r="AN45" i="206"/>
  <c r="AL45" i="206"/>
  <c r="AJ45" i="206"/>
  <c r="BB44" i="206"/>
  <c r="AZ44" i="206"/>
  <c r="AX44" i="206"/>
  <c r="AV44" i="206"/>
  <c r="AT44" i="206"/>
  <c r="AR44" i="206"/>
  <c r="AP44" i="206"/>
  <c r="AN44" i="206"/>
  <c r="AL44" i="206"/>
  <c r="AJ44" i="206"/>
  <c r="E44" i="206"/>
  <c r="C44" i="206" s="1"/>
  <c r="BB43" i="206"/>
  <c r="AZ43" i="206"/>
  <c r="AX43" i="206"/>
  <c r="AV43" i="206"/>
  <c r="AT43" i="206"/>
  <c r="AR43" i="206"/>
  <c r="AP43" i="206"/>
  <c r="AN43" i="206"/>
  <c r="AL43" i="206"/>
  <c r="AJ43" i="206"/>
  <c r="BB42" i="206"/>
  <c r="AZ42" i="206"/>
  <c r="AX42" i="206"/>
  <c r="AV42" i="206"/>
  <c r="AT42" i="206"/>
  <c r="AR42" i="206"/>
  <c r="AP42" i="206"/>
  <c r="AN42" i="206"/>
  <c r="AL42" i="206"/>
  <c r="AJ42" i="206"/>
  <c r="E42" i="206"/>
  <c r="C42" i="206" s="1"/>
  <c r="BB41" i="206"/>
  <c r="AZ41" i="206"/>
  <c r="AX41" i="206"/>
  <c r="AV41" i="206"/>
  <c r="AT41" i="206"/>
  <c r="AR41" i="206"/>
  <c r="AP41" i="206"/>
  <c r="AN41" i="206"/>
  <c r="AL41" i="206"/>
  <c r="AJ41" i="206"/>
  <c r="BB40" i="206"/>
  <c r="AZ40" i="206"/>
  <c r="AX40" i="206"/>
  <c r="AV40" i="206"/>
  <c r="AT40" i="206"/>
  <c r="AR40" i="206"/>
  <c r="AP40" i="206"/>
  <c r="AN40" i="206"/>
  <c r="AL40" i="206"/>
  <c r="AJ40" i="206"/>
  <c r="BB39" i="206"/>
  <c r="AZ39" i="206"/>
  <c r="AX39" i="206"/>
  <c r="AV39" i="206"/>
  <c r="AT39" i="206"/>
  <c r="AR39" i="206"/>
  <c r="AP39" i="206"/>
  <c r="AN39" i="206"/>
  <c r="AL39" i="206"/>
  <c r="AJ39" i="206"/>
  <c r="BB38" i="206"/>
  <c r="AZ38" i="206"/>
  <c r="AX38" i="206"/>
  <c r="AV38" i="206"/>
  <c r="AT38" i="206"/>
  <c r="AR38" i="206"/>
  <c r="AP38" i="206"/>
  <c r="AN38" i="206"/>
  <c r="AL38" i="206"/>
  <c r="AJ38" i="206"/>
  <c r="M38" i="206"/>
  <c r="K38" i="206"/>
  <c r="BB37" i="206"/>
  <c r="AZ37" i="206"/>
  <c r="AX37" i="206"/>
  <c r="AV37" i="206"/>
  <c r="AT37" i="206"/>
  <c r="AR37" i="206"/>
  <c r="AP37" i="206"/>
  <c r="AN37" i="206"/>
  <c r="AL37" i="206"/>
  <c r="AJ37" i="206"/>
  <c r="M37" i="206"/>
  <c r="K37" i="206"/>
  <c r="BB36" i="206"/>
  <c r="AZ36" i="206"/>
  <c r="AX36" i="206"/>
  <c r="AV36" i="206"/>
  <c r="AT36" i="206"/>
  <c r="AR36" i="206"/>
  <c r="AP36" i="206"/>
  <c r="AN36" i="206"/>
  <c r="AL36" i="206"/>
  <c r="AJ36" i="206"/>
  <c r="BB35" i="206"/>
  <c r="AZ35" i="206"/>
  <c r="AX35" i="206"/>
  <c r="AV35" i="206"/>
  <c r="AT35" i="206"/>
  <c r="AR35" i="206"/>
  <c r="AP35" i="206"/>
  <c r="AN35" i="206"/>
  <c r="AL35" i="206"/>
  <c r="AJ35" i="206"/>
  <c r="BB34" i="206"/>
  <c r="AZ34" i="206"/>
  <c r="AX34" i="206"/>
  <c r="AV34" i="206"/>
  <c r="AT34" i="206"/>
  <c r="AR34" i="206"/>
  <c r="AP34" i="206"/>
  <c r="AN34" i="206"/>
  <c r="AL34" i="206"/>
  <c r="AJ34" i="206"/>
  <c r="E34" i="206"/>
  <c r="C34" i="206" s="1"/>
  <c r="BB33" i="206"/>
  <c r="AZ33" i="206"/>
  <c r="AX33" i="206"/>
  <c r="AV33" i="206"/>
  <c r="AT33" i="206"/>
  <c r="AR33" i="206"/>
  <c r="AP33" i="206"/>
  <c r="AN33" i="206"/>
  <c r="AL33" i="206"/>
  <c r="AJ33" i="206"/>
  <c r="BB32" i="206"/>
  <c r="AZ32" i="206"/>
  <c r="AX32" i="206"/>
  <c r="AV32" i="206"/>
  <c r="AT32" i="206"/>
  <c r="AR32" i="206"/>
  <c r="AP32" i="206"/>
  <c r="AN32" i="206"/>
  <c r="AL32" i="206"/>
  <c r="AJ32" i="206"/>
  <c r="E32" i="206"/>
  <c r="C32" i="206"/>
  <c r="BB31" i="206"/>
  <c r="AZ31" i="206"/>
  <c r="AX31" i="206"/>
  <c r="AV31" i="206"/>
  <c r="AT31" i="206"/>
  <c r="AR31" i="206"/>
  <c r="AP31" i="206"/>
  <c r="AN31" i="206"/>
  <c r="AL31" i="206"/>
  <c r="AJ31" i="206"/>
  <c r="BB30" i="206"/>
  <c r="AZ30" i="206"/>
  <c r="AX30" i="206"/>
  <c r="AV30" i="206"/>
  <c r="AT30" i="206"/>
  <c r="AR30" i="206"/>
  <c r="AP30" i="206"/>
  <c r="AN30" i="206"/>
  <c r="AL30" i="206"/>
  <c r="AJ30" i="206"/>
  <c r="E30" i="206"/>
  <c r="C30" i="206"/>
  <c r="BB29" i="206"/>
  <c r="AZ29" i="206"/>
  <c r="AX29" i="206"/>
  <c r="AV29" i="206"/>
  <c r="AT29" i="206"/>
  <c r="AR29" i="206"/>
  <c r="AP29" i="206"/>
  <c r="AN29" i="206"/>
  <c r="AL29" i="206"/>
  <c r="AJ29" i="206"/>
  <c r="E29" i="206"/>
  <c r="C29" i="206"/>
  <c r="BB28" i="206"/>
  <c r="AZ28" i="206"/>
  <c r="AX28" i="206"/>
  <c r="AV28" i="206"/>
  <c r="AT28" i="206"/>
  <c r="AR28" i="206"/>
  <c r="AP28" i="206"/>
  <c r="AN28" i="206"/>
  <c r="AL28" i="206"/>
  <c r="AJ28" i="206"/>
  <c r="I28" i="206"/>
  <c r="G28" i="206"/>
  <c r="BB27" i="206"/>
  <c r="AZ27" i="206"/>
  <c r="AX27" i="206"/>
  <c r="AV27" i="206"/>
  <c r="AT27" i="206"/>
  <c r="AR27" i="206"/>
  <c r="AP27" i="206"/>
  <c r="AN27" i="206"/>
  <c r="AL27" i="206"/>
  <c r="AJ27" i="206"/>
  <c r="K27" i="206"/>
  <c r="I27" i="206"/>
  <c r="BB26" i="206"/>
  <c r="AZ26" i="206"/>
  <c r="AX26" i="206"/>
  <c r="AV26" i="206"/>
  <c r="AT26" i="206"/>
  <c r="AR26" i="206"/>
  <c r="AP26" i="206"/>
  <c r="AN26" i="206"/>
  <c r="AL26" i="206"/>
  <c r="AJ26" i="206"/>
  <c r="K26" i="206"/>
  <c r="G26" i="206"/>
  <c r="BB25" i="206"/>
  <c r="AZ25" i="206"/>
  <c r="AX25" i="206"/>
  <c r="AV25" i="206"/>
  <c r="AT25" i="206"/>
  <c r="AR25" i="206"/>
  <c r="AP25" i="206"/>
  <c r="AN25" i="206"/>
  <c r="AL25" i="206"/>
  <c r="AJ25" i="206"/>
  <c r="BB24" i="206"/>
  <c r="AZ24" i="206"/>
  <c r="AX24" i="206"/>
  <c r="AV24" i="206"/>
  <c r="AT24" i="206"/>
  <c r="AR24" i="206"/>
  <c r="AP24" i="206"/>
  <c r="AN24" i="206"/>
  <c r="AL24" i="206"/>
  <c r="AJ24" i="206"/>
  <c r="Q24" i="206"/>
  <c r="O24" i="206"/>
  <c r="BB23" i="206"/>
  <c r="AZ23" i="206"/>
  <c r="AX23" i="206"/>
  <c r="AV23" i="206"/>
  <c r="AT23" i="206"/>
  <c r="AR23" i="206"/>
  <c r="AP23" i="206"/>
  <c r="AN23" i="206"/>
  <c r="AL23" i="206"/>
  <c r="AJ23" i="206"/>
  <c r="G23" i="206"/>
  <c r="G25" i="206" s="1"/>
  <c r="BB22" i="206"/>
  <c r="AZ22" i="206"/>
  <c r="AX22" i="206"/>
  <c r="AV22" i="206"/>
  <c r="AT22" i="206"/>
  <c r="AR22" i="206"/>
  <c r="AP22" i="206"/>
  <c r="AN22" i="206"/>
  <c r="AL22" i="206"/>
  <c r="AJ22" i="206"/>
  <c r="E22" i="206"/>
  <c r="C22" i="206"/>
  <c r="BB21" i="206"/>
  <c r="AZ21" i="206"/>
  <c r="AX21" i="206"/>
  <c r="AV21" i="206"/>
  <c r="AT21" i="206"/>
  <c r="AR21" i="206"/>
  <c r="AP21" i="206"/>
  <c r="AN21" i="206"/>
  <c r="AL21" i="206"/>
  <c r="AJ21" i="206"/>
  <c r="BB20" i="206"/>
  <c r="AZ20" i="206"/>
  <c r="AX20" i="206"/>
  <c r="AV20" i="206"/>
  <c r="AT20" i="206"/>
  <c r="AR20" i="206"/>
  <c r="AP20" i="206"/>
  <c r="AN20" i="206"/>
  <c r="AL20" i="206"/>
  <c r="AJ20" i="206"/>
  <c r="O20" i="206"/>
  <c r="I20" i="206"/>
  <c r="BB19" i="206"/>
  <c r="AZ19" i="206"/>
  <c r="AX19" i="206"/>
  <c r="AV19" i="206"/>
  <c r="AT19" i="206"/>
  <c r="AR19" i="206"/>
  <c r="AP19" i="206"/>
  <c r="AN19" i="206"/>
  <c r="AL19" i="206"/>
  <c r="AJ19" i="206"/>
  <c r="O19" i="206"/>
  <c r="M19" i="206"/>
  <c r="I19" i="206"/>
  <c r="BB18" i="206"/>
  <c r="AZ18" i="206"/>
  <c r="AX18" i="206"/>
  <c r="AV18" i="206"/>
  <c r="AT18" i="206"/>
  <c r="AR18" i="206"/>
  <c r="AP18" i="206"/>
  <c r="AN18" i="206"/>
  <c r="AL18" i="206"/>
  <c r="AJ18" i="206"/>
  <c r="O18" i="206"/>
  <c r="M18" i="206"/>
  <c r="I18" i="206"/>
  <c r="BB17" i="206"/>
  <c r="AZ17" i="206"/>
  <c r="AX17" i="206"/>
  <c r="AV17" i="206"/>
  <c r="AT17" i="206"/>
  <c r="AR17" i="206"/>
  <c r="AP17" i="206"/>
  <c r="AN17" i="206"/>
  <c r="AL17" i="206"/>
  <c r="AJ17" i="206"/>
  <c r="E17" i="206"/>
  <c r="C17" i="206" s="1"/>
  <c r="BB16" i="206"/>
  <c r="AZ16" i="206"/>
  <c r="AX16" i="206"/>
  <c r="AV16" i="206"/>
  <c r="AT16" i="206"/>
  <c r="AR16" i="206"/>
  <c r="AP16" i="206"/>
  <c r="AN16" i="206"/>
  <c r="AL16" i="206"/>
  <c r="AJ16" i="206"/>
  <c r="BB15" i="206"/>
  <c r="AZ15" i="206"/>
  <c r="AX15" i="206"/>
  <c r="AV15" i="206"/>
  <c r="AT15" i="206"/>
  <c r="AR15" i="206"/>
  <c r="AP15" i="206"/>
  <c r="AN15" i="206"/>
  <c r="AL15" i="206"/>
  <c r="AJ15" i="206"/>
  <c r="E15" i="206"/>
  <c r="BB14" i="206"/>
  <c r="AZ14" i="206"/>
  <c r="AX14" i="206"/>
  <c r="AV14" i="206"/>
  <c r="AT14" i="206"/>
  <c r="AR14" i="206"/>
  <c r="AP14" i="206"/>
  <c r="AN14" i="206"/>
  <c r="AL14" i="206"/>
  <c r="AJ14" i="206"/>
  <c r="BB13" i="206"/>
  <c r="AZ13" i="206"/>
  <c r="AX13" i="206"/>
  <c r="AV13" i="206"/>
  <c r="AT13" i="206"/>
  <c r="AR13" i="206"/>
  <c r="AP13" i="206"/>
  <c r="AN13" i="206"/>
  <c r="AL13" i="206"/>
  <c r="AJ13" i="206"/>
  <c r="E13" i="206"/>
  <c r="C13" i="206"/>
  <c r="BB12" i="206"/>
  <c r="AZ12" i="206"/>
  <c r="AX12" i="206"/>
  <c r="AV12" i="206"/>
  <c r="AT12" i="206"/>
  <c r="AR12" i="206"/>
  <c r="AP12" i="206"/>
  <c r="AN12" i="206"/>
  <c r="AL12" i="206"/>
  <c r="AJ12" i="206"/>
  <c r="BB11" i="206"/>
  <c r="AZ11" i="206"/>
  <c r="AX11" i="206"/>
  <c r="AV11" i="206"/>
  <c r="AT11" i="206"/>
  <c r="AR11" i="206"/>
  <c r="AP11" i="206"/>
  <c r="AN11" i="206"/>
  <c r="AL11" i="206"/>
  <c r="AJ11" i="206"/>
  <c r="I11" i="206"/>
  <c r="E11" i="206" s="1"/>
  <c r="C11" i="206" s="1"/>
  <c r="G11" i="206"/>
  <c r="G12" i="206" s="1"/>
  <c r="BB10" i="206"/>
  <c r="AZ10" i="206"/>
  <c r="AX10" i="206"/>
  <c r="AV10" i="206"/>
  <c r="AT10" i="206"/>
  <c r="AR10" i="206"/>
  <c r="AP10" i="206"/>
  <c r="AN10" i="206"/>
  <c r="AL10" i="206"/>
  <c r="AJ10" i="206"/>
  <c r="E10" i="206"/>
  <c r="C10" i="206" s="1"/>
  <c r="BB9" i="206"/>
  <c r="AZ9" i="206"/>
  <c r="AX9" i="206"/>
  <c r="AV9" i="206"/>
  <c r="AT9" i="206"/>
  <c r="AR9" i="206"/>
  <c r="AP9" i="206"/>
  <c r="AN9" i="206"/>
  <c r="AL9" i="206"/>
  <c r="AJ9" i="206"/>
  <c r="BB8" i="206"/>
  <c r="AZ8" i="206"/>
  <c r="AX8" i="206"/>
  <c r="AV8" i="206"/>
  <c r="AT8" i="206"/>
  <c r="AR8" i="206"/>
  <c r="AP8" i="206"/>
  <c r="AN8" i="206"/>
  <c r="AL8" i="206"/>
  <c r="AJ8" i="206"/>
  <c r="E8" i="206"/>
  <c r="C8" i="206" s="1"/>
  <c r="BB7" i="206"/>
  <c r="AZ7" i="206"/>
  <c r="AX7" i="206"/>
  <c r="AV7" i="206"/>
  <c r="AT7" i="206"/>
  <c r="AR7" i="206"/>
  <c r="AP7" i="206"/>
  <c r="AN7" i="206"/>
  <c r="AL7" i="206"/>
  <c r="AJ7" i="206"/>
  <c r="O7" i="206"/>
  <c r="K7" i="206"/>
  <c r="I7" i="206"/>
  <c r="BB6" i="206"/>
  <c r="AZ6" i="206"/>
  <c r="AX6" i="206"/>
  <c r="AV6" i="206"/>
  <c r="AT6" i="206"/>
  <c r="AR6" i="206"/>
  <c r="AP6" i="206"/>
  <c r="AN6" i="206"/>
  <c r="AL6" i="206"/>
  <c r="AJ6" i="206"/>
  <c r="I6" i="206"/>
  <c r="G6" i="206"/>
  <c r="BB5" i="206"/>
  <c r="AZ5" i="206"/>
  <c r="AX5" i="206"/>
  <c r="AV5" i="206"/>
  <c r="AT5" i="206"/>
  <c r="AR5" i="206"/>
  <c r="AP5" i="206"/>
  <c r="AN5" i="206"/>
  <c r="AL5" i="206"/>
  <c r="AJ5" i="206"/>
  <c r="Q5" i="206"/>
  <c r="K5" i="206"/>
  <c r="BB4" i="206"/>
  <c r="AZ4" i="206"/>
  <c r="AX4" i="206"/>
  <c r="AV4" i="206"/>
  <c r="AT4" i="206"/>
  <c r="AR4" i="206"/>
  <c r="AP4" i="206"/>
  <c r="AN4" i="206"/>
  <c r="AL4" i="206"/>
  <c r="AJ4" i="206"/>
  <c r="I4" i="206"/>
  <c r="I5" i="206" s="1"/>
  <c r="G4" i="206"/>
  <c r="E4" i="206" s="1"/>
  <c r="C4" i="206" s="1"/>
  <c r="BB3" i="206"/>
  <c r="AZ3" i="206"/>
  <c r="AX3" i="206"/>
  <c r="AV3" i="206"/>
  <c r="AT3" i="206"/>
  <c r="AR3" i="206"/>
  <c r="AP3" i="206"/>
  <c r="AN3" i="206"/>
  <c r="AL3" i="206"/>
  <c r="AJ3" i="206"/>
  <c r="E3" i="206"/>
  <c r="C3" i="206" s="1"/>
  <c r="BB2" i="206"/>
  <c r="AZ2" i="206"/>
  <c r="AX2" i="206"/>
  <c r="AV2" i="206"/>
  <c r="AT2" i="206"/>
  <c r="AR2" i="206"/>
  <c r="AP2" i="206"/>
  <c r="AN2" i="206"/>
  <c r="AL2" i="206"/>
  <c r="AJ2" i="206"/>
  <c r="E2" i="206"/>
  <c r="C2" i="206"/>
  <c r="G1" i="206"/>
  <c r="C56" i="228"/>
  <c r="C57" i="228" s="1"/>
  <c r="G46" i="228"/>
  <c r="H42" i="228" s="1"/>
  <c r="B38" i="228"/>
  <c r="BE35" i="228"/>
  <c r="BD35" i="228"/>
  <c r="BB35" i="228"/>
  <c r="AZ35" i="228"/>
  <c r="AX35" i="228"/>
  <c r="AV35" i="228"/>
  <c r="AT35" i="228"/>
  <c r="AR35" i="228"/>
  <c r="AP35" i="228"/>
  <c r="AN35" i="228"/>
  <c r="AL35" i="228"/>
  <c r="AJ35" i="228"/>
  <c r="AH35" i="228"/>
  <c r="K35" i="228"/>
  <c r="BD34" i="228"/>
  <c r="BB34" i="228"/>
  <c r="AZ34" i="228"/>
  <c r="AX34" i="228"/>
  <c r="AV34" i="228"/>
  <c r="AT34" i="228"/>
  <c r="AR34" i="228"/>
  <c r="AP34" i="228"/>
  <c r="AN34" i="228"/>
  <c r="AL34" i="228"/>
  <c r="AJ34" i="228"/>
  <c r="AH34" i="228"/>
  <c r="BD33" i="228"/>
  <c r="BB33" i="228"/>
  <c r="AZ33" i="228"/>
  <c r="AX33" i="228"/>
  <c r="AV33" i="228"/>
  <c r="AT33" i="228"/>
  <c r="AR33" i="228"/>
  <c r="AP33" i="228"/>
  <c r="AN33" i="228"/>
  <c r="AL33" i="228"/>
  <c r="AJ33" i="228"/>
  <c r="AH33" i="228"/>
  <c r="G33" i="228"/>
  <c r="BD32" i="228"/>
  <c r="BB32" i="228"/>
  <c r="AZ32" i="228"/>
  <c r="AX32" i="228"/>
  <c r="AV32" i="228"/>
  <c r="AT32" i="228"/>
  <c r="AR32" i="228"/>
  <c r="AP32" i="228"/>
  <c r="AN32" i="228"/>
  <c r="AL32" i="228"/>
  <c r="AJ32" i="228"/>
  <c r="AH32" i="228"/>
  <c r="BD31" i="228"/>
  <c r="BB31" i="228"/>
  <c r="AZ31" i="228"/>
  <c r="AX31" i="228"/>
  <c r="AV31" i="228"/>
  <c r="AT31" i="228"/>
  <c r="AR31" i="228"/>
  <c r="AP31" i="228"/>
  <c r="AN31" i="228"/>
  <c r="AL31" i="228"/>
  <c r="AJ31" i="228"/>
  <c r="AH31" i="228"/>
  <c r="BD30" i="228"/>
  <c r="BB30" i="228"/>
  <c r="AZ30" i="228"/>
  <c r="AX30" i="228"/>
  <c r="AV30" i="228"/>
  <c r="AT30" i="228"/>
  <c r="AR30" i="228"/>
  <c r="AP30" i="228"/>
  <c r="AN30" i="228"/>
  <c r="AL30" i="228"/>
  <c r="AJ30" i="228"/>
  <c r="AH30" i="228"/>
  <c r="BD29" i="228"/>
  <c r="BB29" i="228"/>
  <c r="AZ29" i="228"/>
  <c r="AX29" i="228"/>
  <c r="AV29" i="228"/>
  <c r="AT29" i="228"/>
  <c r="AR29" i="228"/>
  <c r="AP29" i="228"/>
  <c r="AN29" i="228"/>
  <c r="AL29" i="228"/>
  <c r="AJ29" i="228"/>
  <c r="AH29" i="228"/>
  <c r="E29" i="228"/>
  <c r="C29" i="228" s="1"/>
  <c r="BD28" i="228"/>
  <c r="BB28" i="228"/>
  <c r="AZ28" i="228"/>
  <c r="AX28" i="228"/>
  <c r="AV28" i="228"/>
  <c r="AT28" i="228"/>
  <c r="AR28" i="228"/>
  <c r="AP28" i="228"/>
  <c r="AN28" i="228"/>
  <c r="AL28" i="228"/>
  <c r="AJ28" i="228"/>
  <c r="AH28" i="228"/>
  <c r="BD27" i="228"/>
  <c r="BB27" i="228"/>
  <c r="AZ27" i="228"/>
  <c r="AX27" i="228"/>
  <c r="AV27" i="228"/>
  <c r="AT27" i="228"/>
  <c r="AR27" i="228"/>
  <c r="AP27" i="228"/>
  <c r="AN27" i="228"/>
  <c r="AL27" i="228"/>
  <c r="AJ27" i="228"/>
  <c r="AH27" i="228"/>
  <c r="E27" i="228"/>
  <c r="C27" i="228"/>
  <c r="BD26" i="228"/>
  <c r="BB26" i="228"/>
  <c r="AZ26" i="228"/>
  <c r="AX26" i="228"/>
  <c r="AV26" i="228"/>
  <c r="AT26" i="228"/>
  <c r="AR26" i="228"/>
  <c r="AP26" i="228"/>
  <c r="AN26" i="228"/>
  <c r="AL26" i="228"/>
  <c r="AJ26" i="228"/>
  <c r="AH26" i="228"/>
  <c r="BD25" i="228"/>
  <c r="BB25" i="228"/>
  <c r="AZ25" i="228"/>
  <c r="AX25" i="228"/>
  <c r="AV25" i="228"/>
  <c r="AT25" i="228"/>
  <c r="AR25" i="228"/>
  <c r="AP25" i="228"/>
  <c r="AN25" i="228"/>
  <c r="AL25" i="228"/>
  <c r="AJ25" i="228"/>
  <c r="AH25" i="228"/>
  <c r="E25" i="228"/>
  <c r="C25" i="228" s="1"/>
  <c r="BD24" i="228"/>
  <c r="BB24" i="228"/>
  <c r="AZ24" i="228"/>
  <c r="AX24" i="228"/>
  <c r="AV24" i="228"/>
  <c r="AT24" i="228"/>
  <c r="AR24" i="228"/>
  <c r="AP24" i="228"/>
  <c r="AN24" i="228"/>
  <c r="AL24" i="228"/>
  <c r="AJ24" i="228"/>
  <c r="AH24" i="228"/>
  <c r="I24" i="228"/>
  <c r="G24" i="228"/>
  <c r="BD23" i="228"/>
  <c r="BB23" i="228"/>
  <c r="AZ23" i="228"/>
  <c r="AX23" i="228"/>
  <c r="AV23" i="228"/>
  <c r="AT23" i="228"/>
  <c r="AR23" i="228"/>
  <c r="AP23" i="228"/>
  <c r="AN23" i="228"/>
  <c r="AL23" i="228"/>
  <c r="AJ23" i="228"/>
  <c r="AH23" i="228"/>
  <c r="K23" i="228"/>
  <c r="I23" i="228"/>
  <c r="BD22" i="228"/>
  <c r="BB22" i="228"/>
  <c r="AZ22" i="228"/>
  <c r="AX22" i="228"/>
  <c r="AV22" i="228"/>
  <c r="AT22" i="228"/>
  <c r="AR22" i="228"/>
  <c r="AP22" i="228"/>
  <c r="AN22" i="228"/>
  <c r="AL22" i="228"/>
  <c r="AJ22" i="228"/>
  <c r="AH22" i="228"/>
  <c r="K22" i="228"/>
  <c r="G22" i="228"/>
  <c r="BD21" i="228"/>
  <c r="BB21" i="228"/>
  <c r="AZ21" i="228"/>
  <c r="AX21" i="228"/>
  <c r="AV21" i="228"/>
  <c r="AT21" i="228"/>
  <c r="AR21" i="228"/>
  <c r="AP21" i="228"/>
  <c r="AN21" i="228"/>
  <c r="AL21" i="228"/>
  <c r="AJ21" i="228"/>
  <c r="AH21" i="228"/>
  <c r="BD20" i="228"/>
  <c r="BB20" i="228"/>
  <c r="AZ20" i="228"/>
  <c r="AX20" i="228"/>
  <c r="AV20" i="228"/>
  <c r="AT20" i="228"/>
  <c r="AR20" i="228"/>
  <c r="AP20" i="228"/>
  <c r="AN20" i="228"/>
  <c r="AL20" i="228"/>
  <c r="AJ20" i="228"/>
  <c r="AH20" i="228"/>
  <c r="Q20" i="228"/>
  <c r="O20" i="228"/>
  <c r="BD19" i="228"/>
  <c r="BB19" i="228"/>
  <c r="AZ19" i="228"/>
  <c r="AX19" i="228"/>
  <c r="AV19" i="228"/>
  <c r="AT19" i="228"/>
  <c r="AR19" i="228"/>
  <c r="AP19" i="228"/>
  <c r="AN19" i="228"/>
  <c r="AL19" i="228"/>
  <c r="AJ19" i="228"/>
  <c r="AH19" i="228"/>
  <c r="BD18" i="228"/>
  <c r="BB18" i="228"/>
  <c r="AZ18" i="228"/>
  <c r="AX18" i="228"/>
  <c r="AV18" i="228"/>
  <c r="AT18" i="228"/>
  <c r="AR18" i="228"/>
  <c r="AP18" i="228"/>
  <c r="AN18" i="228"/>
  <c r="AL18" i="228"/>
  <c r="AJ18" i="228"/>
  <c r="AH18" i="228"/>
  <c r="G18" i="228"/>
  <c r="E18" i="228" s="1"/>
  <c r="C18" i="228"/>
  <c r="BD17" i="228"/>
  <c r="BB17" i="228"/>
  <c r="AZ17" i="228"/>
  <c r="AX17" i="228"/>
  <c r="AV17" i="228"/>
  <c r="AT17" i="228"/>
  <c r="AR17" i="228"/>
  <c r="AP17" i="228"/>
  <c r="AN17" i="228"/>
  <c r="AL17" i="228"/>
  <c r="AJ17" i="228"/>
  <c r="AH17" i="228"/>
  <c r="BD16" i="228"/>
  <c r="BB16" i="228"/>
  <c r="AZ16" i="228"/>
  <c r="AX16" i="228"/>
  <c r="AV16" i="228"/>
  <c r="AT16" i="228"/>
  <c r="AR16" i="228"/>
  <c r="AP16" i="228"/>
  <c r="AN16" i="228"/>
  <c r="AL16" i="228"/>
  <c r="AJ16" i="228"/>
  <c r="AH16" i="228"/>
  <c r="BD15" i="228"/>
  <c r="BB15" i="228"/>
  <c r="AZ15" i="228"/>
  <c r="AX15" i="228"/>
  <c r="AV15" i="228"/>
  <c r="AT15" i="228"/>
  <c r="AR15" i="228"/>
  <c r="AP15" i="228"/>
  <c r="AN15" i="228"/>
  <c r="AL15" i="228"/>
  <c r="AJ15" i="228"/>
  <c r="AH15" i="228"/>
  <c r="E15" i="228"/>
  <c r="C15" i="228" s="1"/>
  <c r="BD14" i="228"/>
  <c r="BB14" i="228"/>
  <c r="AZ14" i="228"/>
  <c r="AX14" i="228"/>
  <c r="AV14" i="228"/>
  <c r="AT14" i="228"/>
  <c r="AR14" i="228"/>
  <c r="AP14" i="228"/>
  <c r="AN14" i="228"/>
  <c r="AL14" i="228"/>
  <c r="AJ14" i="228"/>
  <c r="AH14" i="228"/>
  <c r="BD13" i="228"/>
  <c r="BB13" i="228"/>
  <c r="AZ13" i="228"/>
  <c r="AX13" i="228"/>
  <c r="AV13" i="228"/>
  <c r="AT13" i="228"/>
  <c r="AR13" i="228"/>
  <c r="AP13" i="228"/>
  <c r="AN13" i="228"/>
  <c r="AL13" i="228"/>
  <c r="AJ13" i="228"/>
  <c r="AH13" i="228"/>
  <c r="BD12" i="228"/>
  <c r="BB12" i="228"/>
  <c r="AZ12" i="228"/>
  <c r="AX12" i="228"/>
  <c r="AV12" i="228"/>
  <c r="AT12" i="228"/>
  <c r="AR12" i="228"/>
  <c r="AP12" i="228"/>
  <c r="AN12" i="228"/>
  <c r="AL12" i="228"/>
  <c r="AJ12" i="228"/>
  <c r="AH12" i="228"/>
  <c r="E12" i="228"/>
  <c r="C12" i="228"/>
  <c r="BD11" i="228"/>
  <c r="BB11" i="228"/>
  <c r="AZ11" i="228"/>
  <c r="AX11" i="228"/>
  <c r="AV11" i="228"/>
  <c r="AT11" i="228"/>
  <c r="AR11" i="228"/>
  <c r="AP11" i="228"/>
  <c r="AN11" i="228"/>
  <c r="AL11" i="228"/>
  <c r="AJ11" i="228"/>
  <c r="AH11" i="228"/>
  <c r="I11" i="228"/>
  <c r="G11" i="228"/>
  <c r="G17" i="228" s="1"/>
  <c r="E17" i="228" s="1"/>
  <c r="C17" i="228" s="1"/>
  <c r="BD10" i="228"/>
  <c r="BB10" i="228"/>
  <c r="AZ10" i="228"/>
  <c r="AX10" i="228"/>
  <c r="AV10" i="228"/>
  <c r="AT10" i="228"/>
  <c r="AR10" i="228"/>
  <c r="AP10" i="228"/>
  <c r="AN10" i="228"/>
  <c r="AL10" i="228"/>
  <c r="AJ10" i="228"/>
  <c r="AH10" i="228"/>
  <c r="E10" i="228"/>
  <c r="C10" i="228"/>
  <c r="BD9" i="228"/>
  <c r="BB9" i="228"/>
  <c r="AZ9" i="228"/>
  <c r="AX9" i="228"/>
  <c r="AV9" i="228"/>
  <c r="AT9" i="228"/>
  <c r="AR9" i="228"/>
  <c r="AP9" i="228"/>
  <c r="AN9" i="228"/>
  <c r="AL9" i="228"/>
  <c r="AJ9" i="228"/>
  <c r="AH9" i="228"/>
  <c r="BD8" i="228"/>
  <c r="BB8" i="228"/>
  <c r="AZ8" i="228"/>
  <c r="AX8" i="228"/>
  <c r="AV8" i="228"/>
  <c r="AT8" i="228"/>
  <c r="AR8" i="228"/>
  <c r="AP8" i="228"/>
  <c r="AN8" i="228"/>
  <c r="AL8" i="228"/>
  <c r="AJ8" i="228"/>
  <c r="AH8" i="228"/>
  <c r="BD7" i="228"/>
  <c r="BB7" i="228"/>
  <c r="AZ7" i="228"/>
  <c r="AX7" i="228"/>
  <c r="AV7" i="228"/>
  <c r="AT7" i="228"/>
  <c r="AR7" i="228"/>
  <c r="AP7" i="228"/>
  <c r="AN7" i="228"/>
  <c r="AL7" i="228"/>
  <c r="AJ7" i="228"/>
  <c r="AH7" i="228"/>
  <c r="O7" i="228"/>
  <c r="K7" i="228"/>
  <c r="I7" i="228"/>
  <c r="BD6" i="228"/>
  <c r="BB6" i="228"/>
  <c r="AZ6" i="228"/>
  <c r="AX6" i="228"/>
  <c r="AV6" i="228"/>
  <c r="AT6" i="228"/>
  <c r="AR6" i="228"/>
  <c r="AP6" i="228"/>
  <c r="AN6" i="228"/>
  <c r="AL6" i="228"/>
  <c r="AJ6" i="228"/>
  <c r="AH6" i="228"/>
  <c r="I6" i="228"/>
  <c r="G6" i="228"/>
  <c r="BD5" i="228"/>
  <c r="BB5" i="228"/>
  <c r="AZ5" i="228"/>
  <c r="AX5" i="228"/>
  <c r="AV5" i="228"/>
  <c r="AT5" i="228"/>
  <c r="AR5" i="228"/>
  <c r="AP5" i="228"/>
  <c r="AN5" i="228"/>
  <c r="AL5" i="228"/>
  <c r="AJ5" i="228"/>
  <c r="AH5" i="228"/>
  <c r="BD4" i="228"/>
  <c r="BB4" i="228"/>
  <c r="AZ4" i="228"/>
  <c r="AX4" i="228"/>
  <c r="AV4" i="228"/>
  <c r="AT4" i="228"/>
  <c r="AR4" i="228"/>
  <c r="AP4" i="228"/>
  <c r="AN4" i="228"/>
  <c r="AL4" i="228"/>
  <c r="AJ4" i="228"/>
  <c r="AH4" i="228"/>
  <c r="BD3" i="228"/>
  <c r="BB3" i="228"/>
  <c r="AZ3" i="228"/>
  <c r="AX3" i="228"/>
  <c r="AV3" i="228"/>
  <c r="AT3" i="228"/>
  <c r="AR3" i="228"/>
  <c r="AP3" i="228"/>
  <c r="AN3" i="228"/>
  <c r="AL3" i="228"/>
  <c r="AJ3" i="228"/>
  <c r="AH3" i="228"/>
  <c r="E3" i="228"/>
  <c r="C3" i="228"/>
  <c r="BD2" i="228"/>
  <c r="BB2" i="228"/>
  <c r="AZ2" i="228"/>
  <c r="AX2" i="228"/>
  <c r="AV2" i="228"/>
  <c r="AT2" i="228"/>
  <c r="AR2" i="228"/>
  <c r="AP2" i="228"/>
  <c r="AN2" i="228"/>
  <c r="AL2" i="228"/>
  <c r="AJ2" i="228"/>
  <c r="AH2" i="228"/>
  <c r="E2" i="228"/>
  <c r="G1" i="228"/>
  <c r="BK5" i="101"/>
  <c r="BF5" i="101"/>
  <c r="BD5" i="101"/>
  <c r="BA5" i="101"/>
  <c r="AY5" i="101"/>
  <c r="AW5" i="101"/>
  <c r="AU5" i="101"/>
  <c r="AS5" i="101"/>
  <c r="AQ5" i="101"/>
  <c r="AO5" i="101"/>
  <c r="AM5" i="101"/>
  <c r="AK5" i="101"/>
  <c r="BF4" i="101"/>
  <c r="BD4" i="101"/>
  <c r="BA4" i="101"/>
  <c r="AY4" i="101"/>
  <c r="AW4" i="101"/>
  <c r="AU4" i="101"/>
  <c r="AS4" i="101"/>
  <c r="AQ4" i="101"/>
  <c r="AO4" i="101"/>
  <c r="AM4" i="101"/>
  <c r="AK4" i="101"/>
  <c r="BF3" i="101"/>
  <c r="BD3" i="101"/>
  <c r="BA3" i="101"/>
  <c r="AY3" i="101"/>
  <c r="AW3" i="101"/>
  <c r="AU3" i="101"/>
  <c r="AS3" i="101"/>
  <c r="AQ3" i="101"/>
  <c r="AO3" i="101"/>
  <c r="AM3" i="101"/>
  <c r="AK3" i="101"/>
  <c r="BF2" i="101"/>
  <c r="BD2" i="101"/>
  <c r="BA2" i="101"/>
  <c r="AY2" i="101"/>
  <c r="AW2" i="101"/>
  <c r="AU2" i="101"/>
  <c r="AS2" i="101"/>
  <c r="AQ2" i="101"/>
  <c r="AO2" i="101"/>
  <c r="AM2" i="101"/>
  <c r="AK2" i="101"/>
  <c r="C2" i="101"/>
  <c r="C56" i="185"/>
  <c r="D56" i="185" s="1" a="1"/>
  <c r="D56" i="185" s="1"/>
  <c r="BB49" i="185"/>
  <c r="AZ49" i="185"/>
  <c r="AW49" i="185"/>
  <c r="AU49" i="185"/>
  <c r="AS49" i="185"/>
  <c r="AQ49" i="185"/>
  <c r="AO49" i="185"/>
  <c r="AM49" i="185"/>
  <c r="AK49" i="185"/>
  <c r="AI49" i="185"/>
  <c r="AG49" i="185"/>
  <c r="G49" i="185"/>
  <c r="G46" i="185"/>
  <c r="I49" i="185" s="1"/>
  <c r="B38" i="185"/>
  <c r="BU36" i="185"/>
  <c r="BE35" i="185"/>
  <c r="BD35" i="185"/>
  <c r="BB35" i="185"/>
  <c r="AZ35" i="185"/>
  <c r="AX35" i="185"/>
  <c r="AV35" i="185"/>
  <c r="AT35" i="185"/>
  <c r="AR35" i="185"/>
  <c r="AP35" i="185"/>
  <c r="AN35" i="185"/>
  <c r="AL35" i="185"/>
  <c r="AJ35" i="185"/>
  <c r="AH35" i="185"/>
  <c r="K35" i="185"/>
  <c r="BD34" i="185"/>
  <c r="BB34" i="185"/>
  <c r="AZ34" i="185"/>
  <c r="AX34" i="185"/>
  <c r="AV34" i="185"/>
  <c r="AT34" i="185"/>
  <c r="AR34" i="185"/>
  <c r="AP34" i="185"/>
  <c r="AN34" i="185"/>
  <c r="AL34" i="185"/>
  <c r="AJ34" i="185"/>
  <c r="AH34" i="185"/>
  <c r="BD33" i="185"/>
  <c r="BB33" i="185"/>
  <c r="AZ33" i="185"/>
  <c r="AX33" i="185"/>
  <c r="AV33" i="185"/>
  <c r="AT33" i="185"/>
  <c r="AR33" i="185"/>
  <c r="AP33" i="185"/>
  <c r="AN33" i="185"/>
  <c r="AL33" i="185"/>
  <c r="AJ33" i="185"/>
  <c r="AH33" i="185"/>
  <c r="I33" i="185"/>
  <c r="G33" i="185"/>
  <c r="BD32" i="185"/>
  <c r="BB32" i="185"/>
  <c r="AZ32" i="185"/>
  <c r="AX32" i="185"/>
  <c r="AV32" i="185"/>
  <c r="AT32" i="185"/>
  <c r="AR32" i="185"/>
  <c r="AP32" i="185"/>
  <c r="AN32" i="185"/>
  <c r="AL32" i="185"/>
  <c r="AJ32" i="185"/>
  <c r="AH32" i="185"/>
  <c r="BD31" i="185"/>
  <c r="BB31" i="185"/>
  <c r="AZ31" i="185"/>
  <c r="AX31" i="185"/>
  <c r="AV31" i="185"/>
  <c r="AT31" i="185"/>
  <c r="AR31" i="185"/>
  <c r="AP31" i="185"/>
  <c r="AN31" i="185"/>
  <c r="AL31" i="185"/>
  <c r="AJ31" i="185"/>
  <c r="AH31" i="185"/>
  <c r="BD30" i="185"/>
  <c r="BB30" i="185"/>
  <c r="AZ30" i="185"/>
  <c r="AX30" i="185"/>
  <c r="AV30" i="185"/>
  <c r="AT30" i="185"/>
  <c r="AR30" i="185"/>
  <c r="AP30" i="185"/>
  <c r="AN30" i="185"/>
  <c r="AL30" i="185"/>
  <c r="AJ30" i="185"/>
  <c r="AH30" i="185"/>
  <c r="BD29" i="185"/>
  <c r="BB29" i="185"/>
  <c r="AZ29" i="185"/>
  <c r="AX29" i="185"/>
  <c r="AV29" i="185"/>
  <c r="AT29" i="185"/>
  <c r="AR29" i="185"/>
  <c r="AP29" i="185"/>
  <c r="AN29" i="185"/>
  <c r="AL29" i="185"/>
  <c r="AJ29" i="185"/>
  <c r="AH29" i="185"/>
  <c r="E29" i="185"/>
  <c r="C29" i="185"/>
  <c r="BD28" i="185"/>
  <c r="BB28" i="185"/>
  <c r="AZ28" i="185"/>
  <c r="AX28" i="185"/>
  <c r="AV28" i="185"/>
  <c r="AT28" i="185"/>
  <c r="AR28" i="185"/>
  <c r="AP28" i="185"/>
  <c r="AN28" i="185"/>
  <c r="AL28" i="185"/>
  <c r="AJ28" i="185"/>
  <c r="AH28" i="185"/>
  <c r="BD27" i="185"/>
  <c r="BB27" i="185"/>
  <c r="AZ27" i="185"/>
  <c r="AX27" i="185"/>
  <c r="AV27" i="185"/>
  <c r="AT27" i="185"/>
  <c r="AR27" i="185"/>
  <c r="AP27" i="185"/>
  <c r="AN27" i="185"/>
  <c r="AL27" i="185"/>
  <c r="AJ27" i="185"/>
  <c r="AH27" i="185"/>
  <c r="E27" i="185"/>
  <c r="C27" i="185"/>
  <c r="BD26" i="185"/>
  <c r="BB26" i="185"/>
  <c r="AZ26" i="185"/>
  <c r="AX26" i="185"/>
  <c r="AV26" i="185"/>
  <c r="AT26" i="185"/>
  <c r="AR26" i="185"/>
  <c r="AP26" i="185"/>
  <c r="AN26" i="185"/>
  <c r="AL26" i="185"/>
  <c r="AJ26" i="185"/>
  <c r="AH26" i="185"/>
  <c r="BD25" i="185"/>
  <c r="BB25" i="185"/>
  <c r="AZ25" i="185"/>
  <c r="AX25" i="185"/>
  <c r="AV25" i="185"/>
  <c r="AT25" i="185"/>
  <c r="AR25" i="185"/>
  <c r="AP25" i="185"/>
  <c r="AN25" i="185"/>
  <c r="AL25" i="185"/>
  <c r="AJ25" i="185"/>
  <c r="AH25" i="185"/>
  <c r="E25" i="185"/>
  <c r="C25" i="185" s="1"/>
  <c r="BD24" i="185"/>
  <c r="BB24" i="185"/>
  <c r="AZ24" i="185"/>
  <c r="AX24" i="185"/>
  <c r="AV24" i="185"/>
  <c r="AT24" i="185"/>
  <c r="AR24" i="185"/>
  <c r="AP24" i="185"/>
  <c r="AN24" i="185"/>
  <c r="AL24" i="185"/>
  <c r="AJ24" i="185"/>
  <c r="AH24" i="185"/>
  <c r="I24" i="185"/>
  <c r="G24" i="185"/>
  <c r="BD23" i="185"/>
  <c r="BB23" i="185"/>
  <c r="AZ23" i="185"/>
  <c r="AX23" i="185"/>
  <c r="AV23" i="185"/>
  <c r="AT23" i="185"/>
  <c r="AR23" i="185"/>
  <c r="AP23" i="185"/>
  <c r="AN23" i="185"/>
  <c r="AL23" i="185"/>
  <c r="AJ23" i="185"/>
  <c r="AH23" i="185"/>
  <c r="K23" i="185"/>
  <c r="I23" i="185"/>
  <c r="BD22" i="185"/>
  <c r="BB22" i="185"/>
  <c r="AZ22" i="185"/>
  <c r="AX22" i="185"/>
  <c r="AV22" i="185"/>
  <c r="AT22" i="185"/>
  <c r="AR22" i="185"/>
  <c r="AP22" i="185"/>
  <c r="AN22" i="185"/>
  <c r="AL22" i="185"/>
  <c r="AJ22" i="185"/>
  <c r="AH22" i="185"/>
  <c r="K22" i="185"/>
  <c r="G22" i="185"/>
  <c r="BD21" i="185"/>
  <c r="BB21" i="185"/>
  <c r="AZ21" i="185"/>
  <c r="AX21" i="185"/>
  <c r="AV21" i="185"/>
  <c r="AT21" i="185"/>
  <c r="AR21" i="185"/>
  <c r="AP21" i="185"/>
  <c r="AN21" i="185"/>
  <c r="AL21" i="185"/>
  <c r="AJ21" i="185"/>
  <c r="AH21" i="185"/>
  <c r="BD20" i="185"/>
  <c r="BB20" i="185"/>
  <c r="AZ20" i="185"/>
  <c r="AX20" i="185"/>
  <c r="AV20" i="185"/>
  <c r="AT20" i="185"/>
  <c r="AR20" i="185"/>
  <c r="AP20" i="185"/>
  <c r="AN20" i="185"/>
  <c r="AL20" i="185"/>
  <c r="AJ20" i="185"/>
  <c r="AH20" i="185"/>
  <c r="Q20" i="185"/>
  <c r="O20" i="185"/>
  <c r="BD19" i="185"/>
  <c r="BB19" i="185"/>
  <c r="AZ19" i="185"/>
  <c r="AX19" i="185"/>
  <c r="AV19" i="185"/>
  <c r="AT19" i="185"/>
  <c r="AR19" i="185"/>
  <c r="AP19" i="185"/>
  <c r="AN19" i="185"/>
  <c r="AL19" i="185"/>
  <c r="AJ19" i="185"/>
  <c r="AH19" i="185"/>
  <c r="BD18" i="185"/>
  <c r="BB18" i="185"/>
  <c r="AZ18" i="185"/>
  <c r="AX18" i="185"/>
  <c r="AV18" i="185"/>
  <c r="AT18" i="185"/>
  <c r="AR18" i="185"/>
  <c r="AP18" i="185"/>
  <c r="AN18" i="185"/>
  <c r="AL18" i="185"/>
  <c r="AJ18" i="185"/>
  <c r="AH18" i="185"/>
  <c r="G18" i="185"/>
  <c r="E18" i="185"/>
  <c r="C18" i="185" s="1"/>
  <c r="BD17" i="185"/>
  <c r="BB17" i="185"/>
  <c r="AZ17" i="185"/>
  <c r="AX17" i="185"/>
  <c r="AV17" i="185"/>
  <c r="AT17" i="185"/>
  <c r="AR17" i="185"/>
  <c r="AP17" i="185"/>
  <c r="AN17" i="185"/>
  <c r="AL17" i="185"/>
  <c r="AJ17" i="185"/>
  <c r="AH17" i="185"/>
  <c r="BD16" i="185"/>
  <c r="BB16" i="185"/>
  <c r="AZ16" i="185"/>
  <c r="AX16" i="185"/>
  <c r="AV16" i="185"/>
  <c r="AT16" i="185"/>
  <c r="AR16" i="185"/>
  <c r="AP16" i="185"/>
  <c r="AN16" i="185"/>
  <c r="AL16" i="185"/>
  <c r="AJ16" i="185"/>
  <c r="AH16" i="185"/>
  <c r="BD15" i="185"/>
  <c r="BB15" i="185"/>
  <c r="AZ15" i="185"/>
  <c r="AX15" i="185"/>
  <c r="AV15" i="185"/>
  <c r="AT15" i="185"/>
  <c r="AR15" i="185"/>
  <c r="AP15" i="185"/>
  <c r="AN15" i="185"/>
  <c r="AL15" i="185"/>
  <c r="AJ15" i="185"/>
  <c r="AH15" i="185"/>
  <c r="E15" i="185"/>
  <c r="C15" i="185" s="1"/>
  <c r="BD14" i="185"/>
  <c r="BB14" i="185"/>
  <c r="AZ14" i="185"/>
  <c r="AX14" i="185"/>
  <c r="AV14" i="185"/>
  <c r="AT14" i="185"/>
  <c r="AR14" i="185"/>
  <c r="AP14" i="185"/>
  <c r="AN14" i="185"/>
  <c r="AL14" i="185"/>
  <c r="AJ14" i="185"/>
  <c r="AH14" i="185"/>
  <c r="BD13" i="185"/>
  <c r="BB13" i="185"/>
  <c r="AZ13" i="185"/>
  <c r="AX13" i="185"/>
  <c r="AV13" i="185"/>
  <c r="AT13" i="185"/>
  <c r="AR13" i="185"/>
  <c r="AP13" i="185"/>
  <c r="AN13" i="185"/>
  <c r="AL13" i="185"/>
  <c r="AJ13" i="185"/>
  <c r="AH13" i="185"/>
  <c r="BD12" i="185"/>
  <c r="BB12" i="185"/>
  <c r="AZ12" i="185"/>
  <c r="AX12" i="185"/>
  <c r="AV12" i="185"/>
  <c r="AT12" i="185"/>
  <c r="AR12" i="185"/>
  <c r="AP12" i="185"/>
  <c r="AN12" i="185"/>
  <c r="AL12" i="185"/>
  <c r="AJ12" i="185"/>
  <c r="AH12" i="185"/>
  <c r="E12" i="185"/>
  <c r="C12" i="185"/>
  <c r="BD11" i="185"/>
  <c r="BB11" i="185"/>
  <c r="AZ11" i="185"/>
  <c r="AX11" i="185"/>
  <c r="AV11" i="185"/>
  <c r="AT11" i="185"/>
  <c r="AR11" i="185"/>
  <c r="AP11" i="185"/>
  <c r="AN11" i="185"/>
  <c r="AL11" i="185"/>
  <c r="AJ11" i="185"/>
  <c r="AH11" i="185"/>
  <c r="I11" i="185"/>
  <c r="G11" i="185"/>
  <c r="G19" i="185" s="1"/>
  <c r="BD10" i="185"/>
  <c r="BB10" i="185"/>
  <c r="AZ10" i="185"/>
  <c r="AX10" i="185"/>
  <c r="AV10" i="185"/>
  <c r="AT10" i="185"/>
  <c r="AR10" i="185"/>
  <c r="AP10" i="185"/>
  <c r="AN10" i="185"/>
  <c r="AL10" i="185"/>
  <c r="AJ10" i="185"/>
  <c r="AH10" i="185"/>
  <c r="E10" i="185"/>
  <c r="C10" i="185" s="1"/>
  <c r="BD9" i="185"/>
  <c r="BB9" i="185"/>
  <c r="AZ9" i="185"/>
  <c r="AX9" i="185"/>
  <c r="AV9" i="185"/>
  <c r="AT9" i="185"/>
  <c r="AR9" i="185"/>
  <c r="AP9" i="185"/>
  <c r="AN9" i="185"/>
  <c r="AL9" i="185"/>
  <c r="AJ9" i="185"/>
  <c r="AH9" i="185"/>
  <c r="BD8" i="185"/>
  <c r="BB8" i="185"/>
  <c r="AZ8" i="185"/>
  <c r="AX8" i="185"/>
  <c r="AV8" i="185"/>
  <c r="AT8" i="185"/>
  <c r="AR8" i="185"/>
  <c r="AP8" i="185"/>
  <c r="AN8" i="185"/>
  <c r="AL8" i="185"/>
  <c r="AJ8" i="185"/>
  <c r="AH8" i="185"/>
  <c r="BD7" i="185"/>
  <c r="BB7" i="185"/>
  <c r="AZ7" i="185"/>
  <c r="AX7" i="185"/>
  <c r="AV7" i="185"/>
  <c r="AT7" i="185"/>
  <c r="AR7" i="185"/>
  <c r="AP7" i="185"/>
  <c r="AN7" i="185"/>
  <c r="AL7" i="185"/>
  <c r="AJ7" i="185"/>
  <c r="AH7" i="185"/>
  <c r="O7" i="185"/>
  <c r="K7" i="185"/>
  <c r="I7" i="185"/>
  <c r="BD6" i="185"/>
  <c r="BB6" i="185"/>
  <c r="AZ6" i="185"/>
  <c r="AX6" i="185"/>
  <c r="AV6" i="185"/>
  <c r="AT6" i="185"/>
  <c r="AR6" i="185"/>
  <c r="AP6" i="185"/>
  <c r="AN6" i="185"/>
  <c r="AL6" i="185"/>
  <c r="AJ6" i="185"/>
  <c r="AH6" i="185"/>
  <c r="I6" i="185"/>
  <c r="G6" i="185"/>
  <c r="BD5" i="185"/>
  <c r="BB5" i="185"/>
  <c r="AZ5" i="185"/>
  <c r="AX5" i="185"/>
  <c r="AV5" i="185"/>
  <c r="AT5" i="185"/>
  <c r="AR5" i="185"/>
  <c r="AP5" i="185"/>
  <c r="AN5" i="185"/>
  <c r="AL5" i="185"/>
  <c r="AJ5" i="185"/>
  <c r="AH5" i="185"/>
  <c r="BD4" i="185"/>
  <c r="BB4" i="185"/>
  <c r="AZ4" i="185"/>
  <c r="AX4" i="185"/>
  <c r="AV4" i="185"/>
  <c r="AT4" i="185"/>
  <c r="AR4" i="185"/>
  <c r="AP4" i="185"/>
  <c r="AN4" i="185"/>
  <c r="AL4" i="185"/>
  <c r="AJ4" i="185"/>
  <c r="AH4" i="185"/>
  <c r="BD3" i="185"/>
  <c r="BB3" i="185"/>
  <c r="AZ3" i="185"/>
  <c r="AX3" i="185"/>
  <c r="AV3" i="185"/>
  <c r="AT3" i="185"/>
  <c r="AR3" i="185"/>
  <c r="AP3" i="185"/>
  <c r="AN3" i="185"/>
  <c r="AL3" i="185"/>
  <c r="AJ3" i="185"/>
  <c r="AH3" i="185"/>
  <c r="E3" i="185"/>
  <c r="C3" i="185"/>
  <c r="BD2" i="185"/>
  <c r="BB2" i="185"/>
  <c r="AZ2" i="185"/>
  <c r="AX2" i="185"/>
  <c r="AV2" i="185"/>
  <c r="AT2" i="185"/>
  <c r="AR2" i="185"/>
  <c r="AP2" i="185"/>
  <c r="AN2" i="185"/>
  <c r="AL2" i="185"/>
  <c r="AJ2" i="185"/>
  <c r="AH2" i="185"/>
  <c r="E2" i="185"/>
  <c r="G1" i="185"/>
  <c r="AG4" i="247"/>
  <c r="AE4" i="247"/>
  <c r="AC4" i="247"/>
  <c r="AA4" i="247"/>
  <c r="Y4" i="247"/>
  <c r="W4" i="247"/>
  <c r="U4" i="247"/>
  <c r="K4" i="247"/>
  <c r="E4" i="247" s="1"/>
  <c r="C4" i="247" s="1"/>
  <c r="AG3" i="247"/>
  <c r="AE3" i="247"/>
  <c r="AC3" i="247"/>
  <c r="AA3" i="247"/>
  <c r="Y3" i="247"/>
  <c r="W3" i="247"/>
  <c r="U3" i="247"/>
  <c r="E3" i="247"/>
  <c r="C3" i="247"/>
  <c r="AG2" i="247"/>
  <c r="AE2" i="247"/>
  <c r="AC2" i="247"/>
  <c r="AA2" i="247"/>
  <c r="Y2" i="247"/>
  <c r="W2" i="247"/>
  <c r="U2" i="247"/>
  <c r="G1" i="247"/>
  <c r="AG11" i="173"/>
  <c r="AE11" i="173"/>
  <c r="AC11" i="173"/>
  <c r="AA11" i="173"/>
  <c r="Y11" i="173"/>
  <c r="W11" i="173"/>
  <c r="U11" i="173"/>
  <c r="E11" i="173"/>
  <c r="C11" i="173" s="1"/>
  <c r="CR10" i="173"/>
  <c r="CP10" i="173"/>
  <c r="CN10" i="173"/>
  <c r="CL10" i="173"/>
  <c r="CJ10" i="173"/>
  <c r="CH10" i="173"/>
  <c r="CF10" i="173"/>
  <c r="CD10" i="173"/>
  <c r="CB10" i="173"/>
  <c r="BV10" i="173"/>
  <c r="BT10" i="173"/>
  <c r="BR10" i="173"/>
  <c r="BP10" i="173"/>
  <c r="BN10" i="173"/>
  <c r="BL10" i="173"/>
  <c r="BI10" i="173"/>
  <c r="BG10" i="173"/>
  <c r="BE10" i="173"/>
  <c r="BC10" i="173"/>
  <c r="AY10" i="173"/>
  <c r="AW10" i="173"/>
  <c r="AU10" i="173"/>
  <c r="AS10" i="173"/>
  <c r="AQ10" i="173"/>
  <c r="AO10" i="173"/>
  <c r="AM10" i="173"/>
  <c r="AG9" i="173"/>
  <c r="AE9" i="173"/>
  <c r="AC9" i="173"/>
  <c r="AA9" i="173"/>
  <c r="Y9" i="173"/>
  <c r="W9" i="173"/>
  <c r="U9" i="173"/>
  <c r="E9" i="173"/>
  <c r="C9" i="173" s="1"/>
  <c r="DB8" i="173"/>
  <c r="CZ8" i="173"/>
  <c r="CX8" i="173"/>
  <c r="CV8" i="173"/>
  <c r="CT8" i="173"/>
  <c r="CR8" i="173"/>
  <c r="CP8" i="173"/>
  <c r="CN8" i="173"/>
  <c r="CL8" i="173"/>
  <c r="CJ8" i="173"/>
  <c r="CH8" i="173"/>
  <c r="CF8" i="173"/>
  <c r="CD8" i="173"/>
  <c r="CB8" i="173"/>
  <c r="BV8" i="173"/>
  <c r="BT8" i="173"/>
  <c r="BR8" i="173"/>
  <c r="BP8" i="173"/>
  <c r="BN8" i="173"/>
  <c r="BK8" i="173"/>
  <c r="BI8" i="173"/>
  <c r="BG8" i="173"/>
  <c r="BE8" i="173"/>
  <c r="BC8" i="173"/>
  <c r="BA8" i="173"/>
  <c r="AY8" i="173"/>
  <c r="AW8" i="173"/>
  <c r="AU8" i="173"/>
  <c r="AS8" i="173"/>
  <c r="AQ8" i="173"/>
  <c r="AO8" i="173"/>
  <c r="AM8" i="173"/>
  <c r="AK8" i="173"/>
  <c r="G8" i="173"/>
  <c r="E8" i="173"/>
  <c r="C8" i="173"/>
  <c r="CR7" i="173"/>
  <c r="CP7" i="173"/>
  <c r="CN7" i="173"/>
  <c r="CL7" i="173"/>
  <c r="CJ7" i="173"/>
  <c r="CH7" i="173"/>
  <c r="CF7" i="173"/>
  <c r="CD7" i="173"/>
  <c r="CB7" i="173"/>
  <c r="BV7" i="173"/>
  <c r="BT7" i="173"/>
  <c r="BR7" i="173"/>
  <c r="BP7" i="173"/>
  <c r="BN7" i="173"/>
  <c r="BL7" i="173"/>
  <c r="BI7" i="173"/>
  <c r="BG7" i="173"/>
  <c r="BE7" i="173"/>
  <c r="BC7" i="173"/>
  <c r="AY7" i="173"/>
  <c r="AW7" i="173"/>
  <c r="AU7" i="173"/>
  <c r="AS7" i="173"/>
  <c r="AQ7" i="173"/>
  <c r="AO7" i="173"/>
  <c r="AM7" i="173"/>
  <c r="AG6" i="173"/>
  <c r="AE6" i="173"/>
  <c r="AC6" i="173"/>
  <c r="AA6" i="173"/>
  <c r="Y6" i="173"/>
  <c r="W6" i="173"/>
  <c r="U6" i="173"/>
  <c r="E6" i="173"/>
  <c r="C6" i="173" s="1"/>
  <c r="CR5" i="173"/>
  <c r="CP5" i="173"/>
  <c r="CN5" i="173"/>
  <c r="CL5" i="173"/>
  <c r="CJ5" i="173"/>
  <c r="CH5" i="173"/>
  <c r="CF5" i="173"/>
  <c r="CD5" i="173"/>
  <c r="CB5" i="173"/>
  <c r="BZ5" i="173"/>
  <c r="BX5" i="173"/>
  <c r="BV5" i="173"/>
  <c r="BT5" i="173"/>
  <c r="BR5" i="173"/>
  <c r="BP5" i="173"/>
  <c r="BN5" i="173"/>
  <c r="BL5" i="173"/>
  <c r="BI5" i="173"/>
  <c r="BG5" i="173"/>
  <c r="BE5" i="173"/>
  <c r="BC5" i="173"/>
  <c r="AY5" i="173"/>
  <c r="AW5" i="173"/>
  <c r="AU5" i="173"/>
  <c r="AS5" i="173"/>
  <c r="AQ5" i="173"/>
  <c r="AO5" i="173"/>
  <c r="AM5" i="173"/>
  <c r="DB4" i="173"/>
  <c r="CZ4" i="173"/>
  <c r="CX4" i="173"/>
  <c r="CV4" i="173"/>
  <c r="CT4" i="173"/>
  <c r="CR4" i="173"/>
  <c r="CP4" i="173"/>
  <c r="CN4" i="173"/>
  <c r="CL4" i="173"/>
  <c r="CJ4" i="173"/>
  <c r="CH4" i="173"/>
  <c r="CF4" i="173"/>
  <c r="CD4" i="173"/>
  <c r="CB4" i="173"/>
  <c r="BZ4" i="173"/>
  <c r="BX4" i="173"/>
  <c r="BV4" i="173"/>
  <c r="BT4" i="173"/>
  <c r="BR4" i="173"/>
  <c r="BP4" i="173"/>
  <c r="BN4" i="173"/>
  <c r="BK4" i="173"/>
  <c r="BK12" i="173" s="1"/>
  <c r="BI4" i="173"/>
  <c r="BG4" i="173"/>
  <c r="BE4" i="173"/>
  <c r="BC4" i="173"/>
  <c r="BA4" i="173"/>
  <c r="AY4" i="173"/>
  <c r="AW4" i="173"/>
  <c r="AU4" i="173"/>
  <c r="AS4" i="173"/>
  <c r="AQ4" i="173"/>
  <c r="AO4" i="173"/>
  <c r="AM4" i="173"/>
  <c r="AK4" i="173"/>
  <c r="G4" i="173"/>
  <c r="E4" i="173"/>
  <c r="C4" i="173"/>
  <c r="AG3" i="173"/>
  <c r="AE3" i="173"/>
  <c r="AC3" i="173"/>
  <c r="AA3" i="173"/>
  <c r="Y3" i="173"/>
  <c r="W3" i="173"/>
  <c r="U3" i="173"/>
  <c r="E3" i="173"/>
  <c r="C3" i="173" s="1"/>
  <c r="AG2" i="173"/>
  <c r="AE2" i="173"/>
  <c r="AC2" i="173"/>
  <c r="AA2" i="173"/>
  <c r="Y2" i="173"/>
  <c r="W2" i="173"/>
  <c r="U2" i="173"/>
  <c r="G1" i="173"/>
  <c r="BK5" i="146"/>
  <c r="AK4" i="146"/>
  <c r="AI4" i="146"/>
  <c r="AG4" i="146"/>
  <c r="AE4" i="146"/>
  <c r="AC4" i="146"/>
  <c r="AA4" i="146"/>
  <c r="Y4" i="146"/>
  <c r="W4" i="146"/>
  <c r="U4" i="146"/>
  <c r="S4" i="146"/>
  <c r="E4" i="146"/>
  <c r="C4" i="146" s="1"/>
  <c r="AK3" i="146"/>
  <c r="AI3" i="146"/>
  <c r="AG3" i="146"/>
  <c r="AE3" i="146"/>
  <c r="AC3" i="146"/>
  <c r="AA3" i="146"/>
  <c r="Y3" i="146"/>
  <c r="W3" i="146"/>
  <c r="U3" i="146"/>
  <c r="S3" i="146"/>
  <c r="E3" i="146"/>
  <c r="C3" i="146" s="1"/>
  <c r="AK2" i="146"/>
  <c r="AI2" i="146"/>
  <c r="AG2" i="146"/>
  <c r="AE2" i="146"/>
  <c r="AC2" i="146"/>
  <c r="AA2" i="146"/>
  <c r="Y2" i="146"/>
  <c r="W2" i="146"/>
  <c r="U2" i="146"/>
  <c r="S2" i="146"/>
  <c r="C2" i="146"/>
  <c r="G1" i="146"/>
  <c r="CI5" i="145"/>
  <c r="P5" i="145"/>
  <c r="BJ4" i="145"/>
  <c r="BH4" i="145"/>
  <c r="BF4" i="145"/>
  <c r="BD4" i="145"/>
  <c r="BB4" i="145"/>
  <c r="AZ4" i="145"/>
  <c r="AX4" i="145"/>
  <c r="AV4" i="145"/>
  <c r="AT4" i="145"/>
  <c r="AR4" i="145"/>
  <c r="AP4" i="145"/>
  <c r="AN4" i="145"/>
  <c r="AL4" i="145"/>
  <c r="AJ4" i="145"/>
  <c r="S4" i="145"/>
  <c r="O4" i="145"/>
  <c r="K4" i="145"/>
  <c r="E4" i="145" s="1"/>
  <c r="C4" i="145" s="1"/>
  <c r="I4" i="145"/>
  <c r="BJ3" i="145"/>
  <c r="BH3" i="145"/>
  <c r="BF3" i="145"/>
  <c r="BD3" i="145"/>
  <c r="BB3" i="145"/>
  <c r="AZ3" i="145"/>
  <c r="AX3" i="145"/>
  <c r="AV3" i="145"/>
  <c r="AT3" i="145"/>
  <c r="AR3" i="145"/>
  <c r="AP3" i="145"/>
  <c r="AN3" i="145"/>
  <c r="AL3" i="145"/>
  <c r="AJ3" i="145"/>
  <c r="E3" i="145"/>
  <c r="C3" i="145" s="1"/>
  <c r="BJ2" i="145"/>
  <c r="BH2" i="145"/>
  <c r="BF2" i="145"/>
  <c r="BD2" i="145"/>
  <c r="BB2" i="145"/>
  <c r="AZ2" i="145"/>
  <c r="AX2" i="145"/>
  <c r="AV2" i="145"/>
  <c r="AT2" i="145"/>
  <c r="AR2" i="145"/>
  <c r="AP2" i="145"/>
  <c r="AN2" i="145"/>
  <c r="AL2" i="145"/>
  <c r="AJ2" i="145"/>
  <c r="C2" i="145"/>
  <c r="G1" i="145"/>
  <c r="CI6" i="144"/>
  <c r="BA5" i="144"/>
  <c r="AY5" i="144"/>
  <c r="AW5" i="144"/>
  <c r="AU5" i="144"/>
  <c r="AS5" i="144"/>
  <c r="AQ5" i="144"/>
  <c r="AO5" i="144"/>
  <c r="AM5" i="144"/>
  <c r="AK5" i="144"/>
  <c r="Q5" i="144"/>
  <c r="O5" i="144"/>
  <c r="BA4" i="144"/>
  <c r="AY4" i="144"/>
  <c r="AW4" i="144"/>
  <c r="AU4" i="144"/>
  <c r="AS4" i="144"/>
  <c r="AQ4" i="144"/>
  <c r="AO4" i="144"/>
  <c r="AM4" i="144"/>
  <c r="AK4" i="144"/>
  <c r="Q4" i="144"/>
  <c r="O4" i="144"/>
  <c r="BA3" i="144"/>
  <c r="AY3" i="144"/>
  <c r="AW3" i="144"/>
  <c r="AU3" i="144"/>
  <c r="AS3" i="144"/>
  <c r="AQ3" i="144"/>
  <c r="AO3" i="144"/>
  <c r="AM3" i="144"/>
  <c r="AK3" i="144"/>
  <c r="E3" i="144"/>
  <c r="C3" i="144"/>
  <c r="BA2" i="144"/>
  <c r="AY2" i="144"/>
  <c r="AW2" i="144"/>
  <c r="AU2" i="144"/>
  <c r="AS2" i="144"/>
  <c r="AQ2" i="144"/>
  <c r="AO2" i="144"/>
  <c r="AM2" i="144"/>
  <c r="AK2" i="144"/>
  <c r="C2" i="144"/>
  <c r="G1" i="144"/>
  <c r="CI5" i="143"/>
  <c r="AN5" i="143"/>
  <c r="AL5" i="143"/>
  <c r="BA4" i="143"/>
  <c r="AY4" i="143"/>
  <c r="AW4" i="143"/>
  <c r="AU4" i="143"/>
  <c r="AS4" i="143"/>
  <c r="AQ4" i="143"/>
  <c r="AO4" i="143"/>
  <c r="AM4" i="143"/>
  <c r="AK4" i="143"/>
  <c r="M4" i="143"/>
  <c r="I4" i="143"/>
  <c r="BA3" i="143"/>
  <c r="AY3" i="143"/>
  <c r="AW3" i="143"/>
  <c r="AU3" i="143"/>
  <c r="AS3" i="143"/>
  <c r="AQ3" i="143"/>
  <c r="AO3" i="143"/>
  <c r="AM3" i="143"/>
  <c r="AK3" i="143"/>
  <c r="E3" i="143"/>
  <c r="C3" i="143"/>
  <c r="BA2" i="143"/>
  <c r="AY2" i="143"/>
  <c r="AW2" i="143"/>
  <c r="AU2" i="143"/>
  <c r="AS2" i="143"/>
  <c r="AQ2" i="143"/>
  <c r="AO2" i="143"/>
  <c r="AM2" i="143"/>
  <c r="AK2" i="143"/>
  <c r="C2" i="143"/>
  <c r="G1" i="143"/>
  <c r="BV7" i="241"/>
  <c r="AZ7" i="241"/>
  <c r="AR7" i="241"/>
  <c r="AP7" i="241"/>
  <c r="AN7" i="241"/>
  <c r="AM7" i="241"/>
  <c r="AK7" i="241"/>
  <c r="AQ5" i="241"/>
  <c r="AO5" i="241"/>
  <c r="AL5" i="241"/>
  <c r="AH5" i="241"/>
  <c r="G5" i="241"/>
  <c r="E5" i="241" s="1"/>
  <c r="C5" i="241" s="1"/>
  <c r="AQ4" i="241"/>
  <c r="AO4" i="241"/>
  <c r="AL4" i="241"/>
  <c r="AH4" i="241"/>
  <c r="E4" i="241"/>
  <c r="C4" i="241"/>
  <c r="AQ3" i="241"/>
  <c r="AO3" i="241"/>
  <c r="AL3" i="241"/>
  <c r="AH3" i="241"/>
  <c r="E3" i="241"/>
  <c r="C3" i="241" s="1"/>
  <c r="AQ2" i="241"/>
  <c r="AO2" i="241"/>
  <c r="AL2" i="241"/>
  <c r="AH2" i="241"/>
  <c r="C2" i="241"/>
  <c r="G1" i="241"/>
  <c r="BV9" i="178"/>
  <c r="AZ9" i="178"/>
  <c r="AR9" i="178"/>
  <c r="AP9" i="178"/>
  <c r="AN9" i="178"/>
  <c r="AM9" i="178"/>
  <c r="AK9" i="178"/>
  <c r="AQ7" i="178"/>
  <c r="AO7" i="178"/>
  <c r="AL7" i="178"/>
  <c r="AH7" i="178"/>
  <c r="AQ6" i="178"/>
  <c r="AO6" i="178"/>
  <c r="AL6" i="178"/>
  <c r="AH6" i="178"/>
  <c r="AQ5" i="178"/>
  <c r="AO5" i="178"/>
  <c r="AL5" i="178"/>
  <c r="AH5" i="178"/>
  <c r="G5" i="178"/>
  <c r="AQ4" i="178"/>
  <c r="AO4" i="178"/>
  <c r="AL4" i="178"/>
  <c r="AH4" i="178"/>
  <c r="E4" i="178"/>
  <c r="C4" i="178" s="1"/>
  <c r="AQ3" i="178"/>
  <c r="AO3" i="178"/>
  <c r="AL3" i="178"/>
  <c r="AH3" i="178"/>
  <c r="E3" i="178"/>
  <c r="C3" i="178"/>
  <c r="AQ2" i="178"/>
  <c r="AO2" i="178"/>
  <c r="AL2" i="178"/>
  <c r="AH2" i="178"/>
  <c r="C2" i="178"/>
  <c r="G1" i="178"/>
  <c r="I11" i="177"/>
  <c r="G11" i="177"/>
  <c r="E11" i="177" s="1"/>
  <c r="C11" i="177"/>
  <c r="AH9" i="177"/>
  <c r="AD9" i="177"/>
  <c r="AB9" i="177"/>
  <c r="X9" i="177"/>
  <c r="AO8" i="177"/>
  <c r="AM8" i="177"/>
  <c r="AK8" i="177"/>
  <c r="AI8" i="177"/>
  <c r="AG8" i="177"/>
  <c r="AE8" i="177"/>
  <c r="AC8" i="177"/>
  <c r="AA8" i="177"/>
  <c r="Y8" i="177"/>
  <c r="W8" i="177"/>
  <c r="AO7" i="177"/>
  <c r="AM7" i="177"/>
  <c r="AK7" i="177"/>
  <c r="AI7" i="177"/>
  <c r="AG7" i="177"/>
  <c r="AE7" i="177"/>
  <c r="AC7" i="177"/>
  <c r="AA7" i="177"/>
  <c r="Y7" i="177"/>
  <c r="W7" i="177"/>
  <c r="AO6" i="177"/>
  <c r="AM6" i="177"/>
  <c r="AK6" i="177"/>
  <c r="AI6" i="177"/>
  <c r="AG6" i="177"/>
  <c r="AE6" i="177"/>
  <c r="AC6" i="177"/>
  <c r="AA6" i="177"/>
  <c r="Y6" i="177"/>
  <c r="W6" i="177"/>
  <c r="AO5" i="177"/>
  <c r="AM5" i="177"/>
  <c r="AK5" i="177"/>
  <c r="AI5" i="177"/>
  <c r="AG5" i="177"/>
  <c r="AE5" i="177"/>
  <c r="AC5" i="177"/>
  <c r="AA5" i="177"/>
  <c r="Y5" i="177"/>
  <c r="W5" i="177"/>
  <c r="AO4" i="177"/>
  <c r="AM4" i="177"/>
  <c r="AK4" i="177"/>
  <c r="AI4" i="177"/>
  <c r="AG4" i="177"/>
  <c r="AE4" i="177"/>
  <c r="AC4" i="177"/>
  <c r="AA4" i="177"/>
  <c r="Y4" i="177"/>
  <c r="W4" i="177"/>
  <c r="E4" i="177"/>
  <c r="C4" i="177"/>
  <c r="AO3" i="177"/>
  <c r="AM3" i="177"/>
  <c r="AK3" i="177"/>
  <c r="AI3" i="177"/>
  <c r="AG3" i="177"/>
  <c r="AE3" i="177"/>
  <c r="AC3" i="177"/>
  <c r="AA3" i="177"/>
  <c r="Y3" i="177"/>
  <c r="W3" i="177"/>
  <c r="E3" i="177"/>
  <c r="C3" i="177"/>
  <c r="AO2" i="177"/>
  <c r="AM2" i="177"/>
  <c r="AK2" i="177"/>
  <c r="AI2" i="177"/>
  <c r="AG2" i="177"/>
  <c r="AE2" i="177"/>
  <c r="AC2" i="177"/>
  <c r="AA2" i="177"/>
  <c r="Y2" i="177"/>
  <c r="W2" i="177"/>
  <c r="C2" i="177"/>
  <c r="G1" i="177"/>
  <c r="G141" i="164"/>
  <c r="I134" i="164" s="1"/>
  <c r="K6" i="164" s="1"/>
  <c r="G140" i="164"/>
  <c r="I137" i="164"/>
  <c r="J136" i="164"/>
  <c r="H136" i="164"/>
  <c r="I21" i="164" s="1"/>
  <c r="J135" i="164"/>
  <c r="K20" i="164" s="1"/>
  <c r="H135" i="164"/>
  <c r="G135" i="164"/>
  <c r="J134" i="164"/>
  <c r="Q6" i="164" s="1"/>
  <c r="H134" i="164"/>
  <c r="G134" i="164"/>
  <c r="BR128" i="164"/>
  <c r="BN128" i="164"/>
  <c r="BI128" i="164"/>
  <c r="E128" i="164"/>
  <c r="E122" i="164"/>
  <c r="C122" i="164" s="1"/>
  <c r="K116" i="164"/>
  <c r="K115" i="164"/>
  <c r="G114" i="164"/>
  <c r="E114" i="164"/>
  <c r="C114" i="164" s="1"/>
  <c r="G113" i="164"/>
  <c r="E113" i="164" s="1"/>
  <c r="C113" i="164" s="1"/>
  <c r="E112" i="164"/>
  <c r="C112" i="164"/>
  <c r="E109" i="164"/>
  <c r="C109" i="164" s="1"/>
  <c r="G108" i="164"/>
  <c r="E108" i="164"/>
  <c r="C108" i="164" s="1"/>
  <c r="E106" i="164"/>
  <c r="C106" i="164" s="1"/>
  <c r="I104" i="164"/>
  <c r="G104" i="164"/>
  <c r="K102" i="164"/>
  <c r="I102" i="164"/>
  <c r="K100" i="164"/>
  <c r="G100" i="164"/>
  <c r="G98" i="164"/>
  <c r="E98" i="164" s="1"/>
  <c r="C98" i="164" s="1"/>
  <c r="E97" i="164"/>
  <c r="C97" i="164" s="1"/>
  <c r="G96" i="164"/>
  <c r="E95" i="164"/>
  <c r="G94" i="164"/>
  <c r="E92" i="164"/>
  <c r="C92" i="164" s="1"/>
  <c r="G90" i="164"/>
  <c r="E90" i="164" s="1"/>
  <c r="C90" i="164" s="1"/>
  <c r="G88" i="164"/>
  <c r="E88" i="164" s="1"/>
  <c r="C88" i="164" s="1"/>
  <c r="E86" i="164"/>
  <c r="C86" i="164"/>
  <c r="M85" i="164"/>
  <c r="E83" i="164"/>
  <c r="E82" i="164"/>
  <c r="C82" i="164"/>
  <c r="E79" i="164"/>
  <c r="E78" i="164"/>
  <c r="C78" i="164"/>
  <c r="K76" i="164"/>
  <c r="I76" i="164"/>
  <c r="E74" i="164"/>
  <c r="E73" i="164"/>
  <c r="C73" i="164" s="1"/>
  <c r="K71" i="164"/>
  <c r="I71" i="164"/>
  <c r="E69" i="164"/>
  <c r="E68" i="164"/>
  <c r="C68" i="164" s="1"/>
  <c r="K66" i="164"/>
  <c r="I66" i="164"/>
  <c r="E64" i="164"/>
  <c r="E63" i="164"/>
  <c r="C63" i="164"/>
  <c r="K61" i="164"/>
  <c r="I61" i="164"/>
  <c r="E59" i="164"/>
  <c r="E58" i="164"/>
  <c r="C58" i="164"/>
  <c r="G57" i="164"/>
  <c r="K56" i="164"/>
  <c r="I56" i="164"/>
  <c r="BU55" i="164"/>
  <c r="BS55" i="164"/>
  <c r="BQ55" i="164"/>
  <c r="BO55" i="164"/>
  <c r="BM55" i="164"/>
  <c r="BK55" i="164"/>
  <c r="BH55" i="164"/>
  <c r="BF55" i="164"/>
  <c r="BD55" i="164"/>
  <c r="BB55" i="164"/>
  <c r="AZ55" i="164"/>
  <c r="AX55" i="164"/>
  <c r="AV55" i="164"/>
  <c r="AT55" i="164"/>
  <c r="AR55" i="164"/>
  <c r="AP55" i="164"/>
  <c r="AN55" i="164"/>
  <c r="AL55" i="164"/>
  <c r="AJ55" i="164"/>
  <c r="BU54" i="164"/>
  <c r="BS54" i="164"/>
  <c r="BQ54" i="164"/>
  <c r="BO54" i="164"/>
  <c r="BM54" i="164"/>
  <c r="BK54" i="164"/>
  <c r="BH54" i="164"/>
  <c r="BF54" i="164"/>
  <c r="BD54" i="164"/>
  <c r="BB54" i="164"/>
  <c r="AZ54" i="164"/>
  <c r="AX54" i="164"/>
  <c r="AV54" i="164"/>
  <c r="AT54" i="164"/>
  <c r="AR54" i="164"/>
  <c r="AP54" i="164"/>
  <c r="AN54" i="164"/>
  <c r="AL54" i="164"/>
  <c r="AJ54" i="164"/>
  <c r="E54" i="164"/>
  <c r="BU53" i="164"/>
  <c r="BS53" i="164"/>
  <c r="BQ53" i="164"/>
  <c r="BO53" i="164"/>
  <c r="BM53" i="164"/>
  <c r="BK53" i="164"/>
  <c r="BH53" i="164"/>
  <c r="BF53" i="164"/>
  <c r="BD53" i="164"/>
  <c r="BB53" i="164"/>
  <c r="AZ53" i="164"/>
  <c r="AX53" i="164"/>
  <c r="AV53" i="164"/>
  <c r="AT53" i="164"/>
  <c r="AR53" i="164"/>
  <c r="AP53" i="164"/>
  <c r="AN53" i="164"/>
  <c r="AL53" i="164"/>
  <c r="AJ53" i="164"/>
  <c r="E53" i="164"/>
  <c r="C53" i="164"/>
  <c r="BU52" i="164"/>
  <c r="BS52" i="164"/>
  <c r="BQ52" i="164"/>
  <c r="BO52" i="164"/>
  <c r="BM52" i="164"/>
  <c r="BK52" i="164"/>
  <c r="BH52" i="164"/>
  <c r="BF52" i="164"/>
  <c r="BD52" i="164"/>
  <c r="BB52" i="164"/>
  <c r="AZ52" i="164"/>
  <c r="AX52" i="164"/>
  <c r="AV52" i="164"/>
  <c r="AT52" i="164"/>
  <c r="AR52" i="164"/>
  <c r="AP52" i="164"/>
  <c r="AN52" i="164"/>
  <c r="AL52" i="164"/>
  <c r="AJ52" i="164"/>
  <c r="I52" i="164"/>
  <c r="BU51" i="164"/>
  <c r="BS51" i="164"/>
  <c r="BQ51" i="164"/>
  <c r="BO51" i="164"/>
  <c r="BM51" i="164"/>
  <c r="BK51" i="164"/>
  <c r="BH51" i="164"/>
  <c r="BF51" i="164"/>
  <c r="BD51" i="164"/>
  <c r="BB51" i="164"/>
  <c r="AZ51" i="164"/>
  <c r="AX51" i="164"/>
  <c r="AV51" i="164"/>
  <c r="AT51" i="164"/>
  <c r="AR51" i="164"/>
  <c r="AP51" i="164"/>
  <c r="AN51" i="164"/>
  <c r="AL51" i="164"/>
  <c r="AJ51" i="164"/>
  <c r="I51" i="164"/>
  <c r="BU50" i="164"/>
  <c r="BS50" i="164"/>
  <c r="BQ50" i="164"/>
  <c r="BO50" i="164"/>
  <c r="BM50" i="164"/>
  <c r="BK50" i="164"/>
  <c r="BH50" i="164"/>
  <c r="BF50" i="164"/>
  <c r="BD50" i="164"/>
  <c r="BB50" i="164"/>
  <c r="AZ50" i="164"/>
  <c r="AX50" i="164"/>
  <c r="AV50" i="164"/>
  <c r="AT50" i="164"/>
  <c r="AR50" i="164"/>
  <c r="AP50" i="164"/>
  <c r="AN50" i="164"/>
  <c r="AL50" i="164"/>
  <c r="AJ50" i="164"/>
  <c r="I50" i="164"/>
  <c r="BU49" i="164"/>
  <c r="BS49" i="164"/>
  <c r="BQ49" i="164"/>
  <c r="BO49" i="164"/>
  <c r="BM49" i="164"/>
  <c r="BK49" i="164"/>
  <c r="BH49" i="164"/>
  <c r="BF49" i="164"/>
  <c r="BD49" i="164"/>
  <c r="BB49" i="164"/>
  <c r="AZ49" i="164"/>
  <c r="AX49" i="164"/>
  <c r="AV49" i="164"/>
  <c r="AT49" i="164"/>
  <c r="AR49" i="164"/>
  <c r="AP49" i="164"/>
  <c r="AN49" i="164"/>
  <c r="AL49" i="164"/>
  <c r="AJ49" i="164"/>
  <c r="I49" i="164"/>
  <c r="BU48" i="164"/>
  <c r="BS48" i="164"/>
  <c r="BQ48" i="164"/>
  <c r="BO48" i="164"/>
  <c r="BM48" i="164"/>
  <c r="BK48" i="164"/>
  <c r="BH48" i="164"/>
  <c r="BF48" i="164"/>
  <c r="BD48" i="164"/>
  <c r="BB48" i="164"/>
  <c r="AZ48" i="164"/>
  <c r="AX48" i="164"/>
  <c r="AV48" i="164"/>
  <c r="AT48" i="164"/>
  <c r="AR48" i="164"/>
  <c r="AP48" i="164"/>
  <c r="AN48" i="164"/>
  <c r="AL48" i="164"/>
  <c r="AJ48" i="164"/>
  <c r="I48" i="164"/>
  <c r="BU47" i="164"/>
  <c r="BS47" i="164"/>
  <c r="BQ47" i="164"/>
  <c r="BO47" i="164"/>
  <c r="BM47" i="164"/>
  <c r="BK47" i="164"/>
  <c r="BH47" i="164"/>
  <c r="BF47" i="164"/>
  <c r="BD47" i="164"/>
  <c r="BB47" i="164"/>
  <c r="AZ47" i="164"/>
  <c r="AX47" i="164"/>
  <c r="AV47" i="164"/>
  <c r="AT47" i="164"/>
  <c r="AR47" i="164"/>
  <c r="AP47" i="164"/>
  <c r="AN47" i="164"/>
  <c r="AL47" i="164"/>
  <c r="AJ47" i="164"/>
  <c r="I47" i="164"/>
  <c r="BU46" i="164"/>
  <c r="BS46" i="164"/>
  <c r="BQ46" i="164"/>
  <c r="BO46" i="164"/>
  <c r="BM46" i="164"/>
  <c r="BK46" i="164"/>
  <c r="BH46" i="164"/>
  <c r="BF46" i="164"/>
  <c r="BD46" i="164"/>
  <c r="BB46" i="164"/>
  <c r="AZ46" i="164"/>
  <c r="AX46" i="164"/>
  <c r="AV46" i="164"/>
  <c r="AT46" i="164"/>
  <c r="AR46" i="164"/>
  <c r="AP46" i="164"/>
  <c r="AN46" i="164"/>
  <c r="AL46" i="164"/>
  <c r="AJ46" i="164"/>
  <c r="I46" i="164"/>
  <c r="BU45" i="164"/>
  <c r="BS45" i="164"/>
  <c r="BQ45" i="164"/>
  <c r="BO45" i="164"/>
  <c r="BM45" i="164"/>
  <c r="BK45" i="164"/>
  <c r="BH45" i="164"/>
  <c r="BF45" i="164"/>
  <c r="BD45" i="164"/>
  <c r="BB45" i="164"/>
  <c r="AZ45" i="164"/>
  <c r="AX45" i="164"/>
  <c r="AV45" i="164"/>
  <c r="AT45" i="164"/>
  <c r="AR45" i="164"/>
  <c r="AP45" i="164"/>
  <c r="AN45" i="164"/>
  <c r="AL45" i="164"/>
  <c r="AJ45" i="164"/>
  <c r="I45" i="164"/>
  <c r="BU44" i="164"/>
  <c r="BS44" i="164"/>
  <c r="BQ44" i="164"/>
  <c r="BO44" i="164"/>
  <c r="BM44" i="164"/>
  <c r="BK44" i="164"/>
  <c r="BH44" i="164"/>
  <c r="BF44" i="164"/>
  <c r="BD44" i="164"/>
  <c r="BB44" i="164"/>
  <c r="AZ44" i="164"/>
  <c r="AX44" i="164"/>
  <c r="AV44" i="164"/>
  <c r="AT44" i="164"/>
  <c r="AR44" i="164"/>
  <c r="AP44" i="164"/>
  <c r="AN44" i="164"/>
  <c r="AL44" i="164"/>
  <c r="AJ44" i="164"/>
  <c r="U44" i="164"/>
  <c r="U45" i="164" s="1"/>
  <c r="U46" i="164" s="1"/>
  <c r="I44" i="164"/>
  <c r="BU43" i="164"/>
  <c r="BS43" i="164"/>
  <c r="BQ43" i="164"/>
  <c r="BO43" i="164"/>
  <c r="BM43" i="164"/>
  <c r="BK43" i="164"/>
  <c r="BH43" i="164"/>
  <c r="BF43" i="164"/>
  <c r="BD43" i="164"/>
  <c r="BB43" i="164"/>
  <c r="AZ43" i="164"/>
  <c r="AX43" i="164"/>
  <c r="AV43" i="164"/>
  <c r="AT43" i="164"/>
  <c r="AR43" i="164"/>
  <c r="AP43" i="164"/>
  <c r="AN43" i="164"/>
  <c r="AL43" i="164"/>
  <c r="AJ43" i="164"/>
  <c r="U43" i="164"/>
  <c r="I43" i="164"/>
  <c r="E43" i="164" s="1"/>
  <c r="C43" i="164" s="1"/>
  <c r="BU42" i="164"/>
  <c r="BS42" i="164"/>
  <c r="BQ42" i="164"/>
  <c r="BO42" i="164"/>
  <c r="BM42" i="164"/>
  <c r="BK42" i="164"/>
  <c r="BH42" i="164"/>
  <c r="BF42" i="164"/>
  <c r="BD42" i="164"/>
  <c r="BB42" i="164"/>
  <c r="AZ42" i="164"/>
  <c r="AX42" i="164"/>
  <c r="AV42" i="164"/>
  <c r="AT42" i="164"/>
  <c r="AR42" i="164"/>
  <c r="AP42" i="164"/>
  <c r="AN42" i="164"/>
  <c r="AL42" i="164"/>
  <c r="AJ42" i="164"/>
  <c r="S42" i="164"/>
  <c r="S43" i="164" s="1"/>
  <c r="S44" i="164" s="1"/>
  <c r="S45" i="164" s="1"/>
  <c r="S46" i="164" s="1"/>
  <c r="S47" i="164" s="1"/>
  <c r="I42" i="164"/>
  <c r="E42" i="164" s="1"/>
  <c r="C42" i="164" s="1"/>
  <c r="CX41" i="164"/>
  <c r="CV41" i="164"/>
  <c r="CT41" i="164"/>
  <c r="CR41" i="164"/>
  <c r="CP41" i="164"/>
  <c r="CN41" i="164"/>
  <c r="CL41" i="164"/>
  <c r="CH41" i="164"/>
  <c r="CF41" i="164"/>
  <c r="CD41" i="164"/>
  <c r="CB41" i="164"/>
  <c r="BZ41" i="164"/>
  <c r="BX41" i="164"/>
  <c r="BV41" i="164"/>
  <c r="BT41" i="164"/>
  <c r="BR41" i="164"/>
  <c r="BP41" i="164"/>
  <c r="BP128" i="164" s="1"/>
  <c r="BN41" i="164"/>
  <c r="BL41" i="164"/>
  <c r="BL128" i="164" s="1"/>
  <c r="BI41" i="164"/>
  <c r="BG41" i="164"/>
  <c r="BE41" i="164"/>
  <c r="BC41" i="164"/>
  <c r="AY41" i="164"/>
  <c r="AW41" i="164"/>
  <c r="AU41" i="164"/>
  <c r="AS41" i="164"/>
  <c r="AQ41" i="164"/>
  <c r="AO41" i="164"/>
  <c r="AM41" i="164"/>
  <c r="BU40" i="164"/>
  <c r="BS40" i="164"/>
  <c r="BQ40" i="164"/>
  <c r="BO40" i="164"/>
  <c r="BM40" i="164"/>
  <c r="BK40" i="164"/>
  <c r="BH40" i="164"/>
  <c r="BF40" i="164"/>
  <c r="BD40" i="164"/>
  <c r="BB40" i="164"/>
  <c r="AZ40" i="164"/>
  <c r="AX40" i="164"/>
  <c r="AV40" i="164"/>
  <c r="AT40" i="164"/>
  <c r="AR40" i="164"/>
  <c r="AP40" i="164"/>
  <c r="AN40" i="164"/>
  <c r="AL40" i="164"/>
  <c r="AJ40" i="164"/>
  <c r="I40" i="164"/>
  <c r="E40" i="164" s="1"/>
  <c r="C40" i="164" s="1"/>
  <c r="BU39" i="164"/>
  <c r="BS39" i="164"/>
  <c r="BQ39" i="164"/>
  <c r="BO39" i="164"/>
  <c r="BM39" i="164"/>
  <c r="BK39" i="164"/>
  <c r="BH39" i="164"/>
  <c r="BF39" i="164"/>
  <c r="BD39" i="164"/>
  <c r="BB39" i="164"/>
  <c r="AZ39" i="164"/>
  <c r="AX39" i="164"/>
  <c r="AV39" i="164"/>
  <c r="AT39" i="164"/>
  <c r="AR39" i="164"/>
  <c r="AP39" i="164"/>
  <c r="AN39" i="164"/>
  <c r="AL39" i="164"/>
  <c r="AJ39" i="164"/>
  <c r="E38" i="164"/>
  <c r="E37" i="164"/>
  <c r="C37" i="164" s="1"/>
  <c r="BU36" i="164"/>
  <c r="BS36" i="164"/>
  <c r="BQ36" i="164"/>
  <c r="BO36" i="164"/>
  <c r="BM36" i="164"/>
  <c r="BK36" i="164"/>
  <c r="BH36" i="164"/>
  <c r="BF36" i="164"/>
  <c r="BD36" i="164"/>
  <c r="BB36" i="164"/>
  <c r="AZ36" i="164"/>
  <c r="AX36" i="164"/>
  <c r="AV36" i="164"/>
  <c r="AT36" i="164"/>
  <c r="AR36" i="164"/>
  <c r="AP36" i="164"/>
  <c r="AN36" i="164"/>
  <c r="AL36" i="164"/>
  <c r="AJ36" i="164"/>
  <c r="H36" i="164"/>
  <c r="BU35" i="164"/>
  <c r="BS35" i="164"/>
  <c r="BQ35" i="164"/>
  <c r="BO35" i="164"/>
  <c r="BM35" i="164"/>
  <c r="BK35" i="164"/>
  <c r="BH35" i="164"/>
  <c r="BF35" i="164"/>
  <c r="BD35" i="164"/>
  <c r="BB35" i="164"/>
  <c r="AZ35" i="164"/>
  <c r="AX35" i="164"/>
  <c r="AV35" i="164"/>
  <c r="AT35" i="164"/>
  <c r="AR35" i="164"/>
  <c r="AP35" i="164"/>
  <c r="AN35" i="164"/>
  <c r="AL35" i="164"/>
  <c r="AJ35" i="164"/>
  <c r="H35" i="164"/>
  <c r="BU34" i="164"/>
  <c r="BS34" i="164"/>
  <c r="BQ34" i="164"/>
  <c r="BO34" i="164"/>
  <c r="BM34" i="164"/>
  <c r="BK34" i="164"/>
  <c r="BH34" i="164"/>
  <c r="BF34" i="164"/>
  <c r="BD34" i="164"/>
  <c r="BB34" i="164"/>
  <c r="AZ34" i="164"/>
  <c r="AX34" i="164"/>
  <c r="AV34" i="164"/>
  <c r="AT34" i="164"/>
  <c r="AR34" i="164"/>
  <c r="AP34" i="164"/>
  <c r="AN34" i="164"/>
  <c r="AL34" i="164"/>
  <c r="AJ34" i="164"/>
  <c r="H34" i="164"/>
  <c r="BU33" i="164"/>
  <c r="BS33" i="164"/>
  <c r="BQ33" i="164"/>
  <c r="BO33" i="164"/>
  <c r="BM33" i="164"/>
  <c r="BK33" i="164"/>
  <c r="BH33" i="164"/>
  <c r="BF33" i="164"/>
  <c r="BD33" i="164"/>
  <c r="BB33" i="164"/>
  <c r="AZ33" i="164"/>
  <c r="AX33" i="164"/>
  <c r="AV33" i="164"/>
  <c r="AT33" i="164"/>
  <c r="AR33" i="164"/>
  <c r="AP33" i="164"/>
  <c r="AN33" i="164"/>
  <c r="AL33" i="164"/>
  <c r="AJ33" i="164"/>
  <c r="H33" i="164"/>
  <c r="BU32" i="164"/>
  <c r="BS32" i="164"/>
  <c r="BQ32" i="164"/>
  <c r="BO32" i="164"/>
  <c r="BM32" i="164"/>
  <c r="BK32" i="164"/>
  <c r="BH32" i="164"/>
  <c r="BF32" i="164"/>
  <c r="BD32" i="164"/>
  <c r="BB32" i="164"/>
  <c r="AZ32" i="164"/>
  <c r="AX32" i="164"/>
  <c r="AV32" i="164"/>
  <c r="AT32" i="164"/>
  <c r="AR32" i="164"/>
  <c r="AP32" i="164"/>
  <c r="AN32" i="164"/>
  <c r="AL32" i="164"/>
  <c r="AJ32" i="164"/>
  <c r="H32" i="164"/>
  <c r="BU31" i="164"/>
  <c r="BS31" i="164"/>
  <c r="BQ31" i="164"/>
  <c r="BO31" i="164"/>
  <c r="BM31" i="164"/>
  <c r="BK31" i="164"/>
  <c r="BH31" i="164"/>
  <c r="BF31" i="164"/>
  <c r="BD31" i="164"/>
  <c r="BB31" i="164"/>
  <c r="AZ31" i="164"/>
  <c r="AX31" i="164"/>
  <c r="AV31" i="164"/>
  <c r="AT31" i="164"/>
  <c r="AR31" i="164"/>
  <c r="AP31" i="164"/>
  <c r="AN31" i="164"/>
  <c r="AL31" i="164"/>
  <c r="AJ31" i="164"/>
  <c r="H31" i="164"/>
  <c r="BU30" i="164"/>
  <c r="BS30" i="164"/>
  <c r="BQ30" i="164"/>
  <c r="BO30" i="164"/>
  <c r="BM30" i="164"/>
  <c r="BK30" i="164"/>
  <c r="BH30" i="164"/>
  <c r="BF30" i="164"/>
  <c r="BD30" i="164"/>
  <c r="BB30" i="164"/>
  <c r="AZ30" i="164"/>
  <c r="AX30" i="164"/>
  <c r="AV30" i="164"/>
  <c r="AT30" i="164"/>
  <c r="AR30" i="164"/>
  <c r="AP30" i="164"/>
  <c r="AN30" i="164"/>
  <c r="AL30" i="164"/>
  <c r="AJ30" i="164"/>
  <c r="H30" i="164"/>
  <c r="BU29" i="164"/>
  <c r="BS29" i="164"/>
  <c r="BQ29" i="164"/>
  <c r="BO29" i="164"/>
  <c r="BM29" i="164"/>
  <c r="BK29" i="164"/>
  <c r="BH29" i="164"/>
  <c r="BF29" i="164"/>
  <c r="BD29" i="164"/>
  <c r="BB29" i="164"/>
  <c r="AZ29" i="164"/>
  <c r="AX29" i="164"/>
  <c r="AV29" i="164"/>
  <c r="AT29" i="164"/>
  <c r="AR29" i="164"/>
  <c r="AP29" i="164"/>
  <c r="AN29" i="164"/>
  <c r="AL29" i="164"/>
  <c r="AJ29" i="164"/>
  <c r="H29" i="164"/>
  <c r="BU28" i="164"/>
  <c r="BS28" i="164"/>
  <c r="BQ28" i="164"/>
  <c r="BO28" i="164"/>
  <c r="BM28" i="164"/>
  <c r="BK28" i="164"/>
  <c r="BH28" i="164"/>
  <c r="BF28" i="164"/>
  <c r="BD28" i="164"/>
  <c r="BB28" i="164"/>
  <c r="AZ28" i="164"/>
  <c r="AX28" i="164"/>
  <c r="AV28" i="164"/>
  <c r="AT28" i="164"/>
  <c r="AR28" i="164"/>
  <c r="AP28" i="164"/>
  <c r="AN28" i="164"/>
  <c r="AL28" i="164"/>
  <c r="AJ28" i="164"/>
  <c r="G28" i="164"/>
  <c r="BU27" i="164"/>
  <c r="BS27" i="164"/>
  <c r="BQ27" i="164"/>
  <c r="BO27" i="164"/>
  <c r="BM27" i="164"/>
  <c r="BK27" i="164"/>
  <c r="BH27" i="164"/>
  <c r="BF27" i="164"/>
  <c r="BD27" i="164"/>
  <c r="BB27" i="164"/>
  <c r="AZ27" i="164"/>
  <c r="AX27" i="164"/>
  <c r="AV27" i="164"/>
  <c r="AT27" i="164"/>
  <c r="AR27" i="164"/>
  <c r="AP27" i="164"/>
  <c r="AN27" i="164"/>
  <c r="AL27" i="164"/>
  <c r="AJ27" i="164"/>
  <c r="R27" i="164"/>
  <c r="L27" i="164"/>
  <c r="E27" i="164"/>
  <c r="C27" i="164"/>
  <c r="BU26" i="164"/>
  <c r="BS26" i="164"/>
  <c r="BQ26" i="164"/>
  <c r="BO26" i="164"/>
  <c r="BM26" i="164"/>
  <c r="BK26" i="164"/>
  <c r="BH26" i="164"/>
  <c r="BF26" i="164"/>
  <c r="BD26" i="164"/>
  <c r="BB26" i="164"/>
  <c r="AZ26" i="164"/>
  <c r="AX26" i="164"/>
  <c r="AV26" i="164"/>
  <c r="AT26" i="164"/>
  <c r="AR26" i="164"/>
  <c r="AP26" i="164"/>
  <c r="AN26" i="164"/>
  <c r="AL26" i="164"/>
  <c r="AJ26" i="164"/>
  <c r="L26" i="164"/>
  <c r="BU25" i="164"/>
  <c r="BS25" i="164"/>
  <c r="BQ25" i="164"/>
  <c r="BO25" i="164"/>
  <c r="BM25" i="164"/>
  <c r="BK25" i="164"/>
  <c r="BH25" i="164"/>
  <c r="BF25" i="164"/>
  <c r="BD25" i="164"/>
  <c r="BB25" i="164"/>
  <c r="AZ25" i="164"/>
  <c r="AX25" i="164"/>
  <c r="AV25" i="164"/>
  <c r="AT25" i="164"/>
  <c r="AR25" i="164"/>
  <c r="AP25" i="164"/>
  <c r="AN25" i="164"/>
  <c r="AL25" i="164"/>
  <c r="AJ25" i="164"/>
  <c r="L25" i="164"/>
  <c r="R25" i="164" s="1"/>
  <c r="BU24" i="164"/>
  <c r="BS24" i="164"/>
  <c r="BQ24" i="164"/>
  <c r="BO24" i="164"/>
  <c r="BM24" i="164"/>
  <c r="BK24" i="164"/>
  <c r="BH24" i="164"/>
  <c r="BF24" i="164"/>
  <c r="BD24" i="164"/>
  <c r="BB24" i="164"/>
  <c r="AZ24" i="164"/>
  <c r="AX24" i="164"/>
  <c r="AV24" i="164"/>
  <c r="AT24" i="164"/>
  <c r="AR24" i="164"/>
  <c r="AP24" i="164"/>
  <c r="AN24" i="164"/>
  <c r="AL24" i="164"/>
  <c r="AJ24" i="164"/>
  <c r="E24" i="164"/>
  <c r="C24" i="164" s="1"/>
  <c r="BU23" i="164"/>
  <c r="BS23" i="164"/>
  <c r="BQ23" i="164"/>
  <c r="BO23" i="164"/>
  <c r="BM23" i="164"/>
  <c r="BK23" i="164"/>
  <c r="BH23" i="164"/>
  <c r="BF23" i="164"/>
  <c r="BD23" i="164"/>
  <c r="BB23" i="164"/>
  <c r="AZ23" i="164"/>
  <c r="AX23" i="164"/>
  <c r="AV23" i="164"/>
  <c r="AT23" i="164"/>
  <c r="AR23" i="164"/>
  <c r="AP23" i="164"/>
  <c r="AN23" i="164"/>
  <c r="AL23" i="164"/>
  <c r="AJ23" i="164"/>
  <c r="G23" i="164"/>
  <c r="E23" i="164" s="1"/>
  <c r="C23" i="164"/>
  <c r="BU22" i="164"/>
  <c r="BS22" i="164"/>
  <c r="BQ22" i="164"/>
  <c r="BO22" i="164"/>
  <c r="BM22" i="164"/>
  <c r="BK22" i="164"/>
  <c r="BH22" i="164"/>
  <c r="BF22" i="164"/>
  <c r="BD22" i="164"/>
  <c r="BB22" i="164"/>
  <c r="AZ22" i="164"/>
  <c r="AX22" i="164"/>
  <c r="AV22" i="164"/>
  <c r="AT22" i="164"/>
  <c r="AR22" i="164"/>
  <c r="AP22" i="164"/>
  <c r="AN22" i="164"/>
  <c r="AL22" i="164"/>
  <c r="AJ22" i="164"/>
  <c r="O22" i="164"/>
  <c r="M22" i="164"/>
  <c r="BU21" i="164"/>
  <c r="BS21" i="164"/>
  <c r="BQ21" i="164"/>
  <c r="BO21" i="164"/>
  <c r="BM21" i="164"/>
  <c r="BK21" i="164"/>
  <c r="BH21" i="164"/>
  <c r="BF21" i="164"/>
  <c r="BD21" i="164"/>
  <c r="BB21" i="164"/>
  <c r="AZ21" i="164"/>
  <c r="AX21" i="164"/>
  <c r="AV21" i="164"/>
  <c r="AT21" i="164"/>
  <c r="AR21" i="164"/>
  <c r="AP21" i="164"/>
  <c r="AN21" i="164"/>
  <c r="AL21" i="164"/>
  <c r="AJ21" i="164"/>
  <c r="O21" i="164"/>
  <c r="K21" i="164"/>
  <c r="BU20" i="164"/>
  <c r="BS20" i="164"/>
  <c r="BQ20" i="164"/>
  <c r="BO20" i="164"/>
  <c r="BM20" i="164"/>
  <c r="BK20" i="164"/>
  <c r="BH20" i="164"/>
  <c r="BF20" i="164"/>
  <c r="BD20" i="164"/>
  <c r="BB20" i="164"/>
  <c r="AZ20" i="164"/>
  <c r="AX20" i="164"/>
  <c r="AV20" i="164"/>
  <c r="AT20" i="164"/>
  <c r="AR20" i="164"/>
  <c r="AP20" i="164"/>
  <c r="AN20" i="164"/>
  <c r="AL20" i="164"/>
  <c r="AJ20" i="164"/>
  <c r="O20" i="164"/>
  <c r="I20" i="164"/>
  <c r="BU19" i="164"/>
  <c r="BS19" i="164"/>
  <c r="BQ19" i="164"/>
  <c r="BO19" i="164"/>
  <c r="BM19" i="164"/>
  <c r="BK19" i="164"/>
  <c r="BH19" i="164"/>
  <c r="BF19" i="164"/>
  <c r="BD19" i="164"/>
  <c r="BB19" i="164"/>
  <c r="AZ19" i="164"/>
  <c r="AX19" i="164"/>
  <c r="AV19" i="164"/>
  <c r="AT19" i="164"/>
  <c r="AR19" i="164"/>
  <c r="AP19" i="164"/>
  <c r="AN19" i="164"/>
  <c r="AL19" i="164"/>
  <c r="AJ19" i="164"/>
  <c r="E19" i="164"/>
  <c r="C19" i="164"/>
  <c r="BU18" i="164"/>
  <c r="BS18" i="164"/>
  <c r="BQ18" i="164"/>
  <c r="BO18" i="164"/>
  <c r="BM18" i="164"/>
  <c r="BK18" i="164"/>
  <c r="BH18" i="164"/>
  <c r="BF18" i="164"/>
  <c r="BD18" i="164"/>
  <c r="BB18" i="164"/>
  <c r="AZ18" i="164"/>
  <c r="AX18" i="164"/>
  <c r="AV18" i="164"/>
  <c r="AT18" i="164"/>
  <c r="AR18" i="164"/>
  <c r="AP18" i="164"/>
  <c r="AN18" i="164"/>
  <c r="AL18" i="164"/>
  <c r="AJ18" i="164"/>
  <c r="BU17" i="164"/>
  <c r="BS17" i="164"/>
  <c r="BQ17" i="164"/>
  <c r="BO17" i="164"/>
  <c r="BM17" i="164"/>
  <c r="BK17" i="164"/>
  <c r="BH17" i="164"/>
  <c r="BF17" i="164"/>
  <c r="BD17" i="164"/>
  <c r="BB17" i="164"/>
  <c r="AZ17" i="164"/>
  <c r="AX17" i="164"/>
  <c r="AV17" i="164"/>
  <c r="AT17" i="164"/>
  <c r="AR17" i="164"/>
  <c r="AP17" i="164"/>
  <c r="AN17" i="164"/>
  <c r="AL17" i="164"/>
  <c r="AJ17" i="164"/>
  <c r="E17" i="164"/>
  <c r="BU16" i="164"/>
  <c r="BS16" i="164"/>
  <c r="BQ16" i="164"/>
  <c r="BO16" i="164"/>
  <c r="BM16" i="164"/>
  <c r="BK16" i="164"/>
  <c r="BH16" i="164"/>
  <c r="BF16" i="164"/>
  <c r="BD16" i="164"/>
  <c r="BB16" i="164"/>
  <c r="AZ16" i="164"/>
  <c r="AX16" i="164"/>
  <c r="AV16" i="164"/>
  <c r="AT16" i="164"/>
  <c r="AR16" i="164"/>
  <c r="AP16" i="164"/>
  <c r="AN16" i="164"/>
  <c r="AL16" i="164"/>
  <c r="AJ16" i="164"/>
  <c r="BU15" i="164"/>
  <c r="BS15" i="164"/>
  <c r="BQ15" i="164"/>
  <c r="BO15" i="164"/>
  <c r="BM15" i="164"/>
  <c r="BK15" i="164"/>
  <c r="BH15" i="164"/>
  <c r="BF15" i="164"/>
  <c r="BD15" i="164"/>
  <c r="BB15" i="164"/>
  <c r="AZ15" i="164"/>
  <c r="AX15" i="164"/>
  <c r="AV15" i="164"/>
  <c r="AT15" i="164"/>
  <c r="AR15" i="164"/>
  <c r="AP15" i="164"/>
  <c r="AN15" i="164"/>
  <c r="AL15" i="164"/>
  <c r="AJ15" i="164"/>
  <c r="BU14" i="164"/>
  <c r="BS14" i="164"/>
  <c r="BQ14" i="164"/>
  <c r="BO14" i="164"/>
  <c r="BM14" i="164"/>
  <c r="BK14" i="164"/>
  <c r="BH14" i="164"/>
  <c r="BF14" i="164"/>
  <c r="BD14" i="164"/>
  <c r="BB14" i="164"/>
  <c r="AZ14" i="164"/>
  <c r="AX14" i="164"/>
  <c r="AV14" i="164"/>
  <c r="AT14" i="164"/>
  <c r="AR14" i="164"/>
  <c r="AP14" i="164"/>
  <c r="AN14" i="164"/>
  <c r="AL14" i="164"/>
  <c r="AJ14" i="164"/>
  <c r="E14" i="164"/>
  <c r="C14" i="164" s="1"/>
  <c r="BU13" i="164"/>
  <c r="BS13" i="164"/>
  <c r="BQ13" i="164"/>
  <c r="BO13" i="164"/>
  <c r="BM13" i="164"/>
  <c r="BK13" i="164"/>
  <c r="BH13" i="164"/>
  <c r="BF13" i="164"/>
  <c r="BD13" i="164"/>
  <c r="BB13" i="164"/>
  <c r="AZ13" i="164"/>
  <c r="AX13" i="164"/>
  <c r="AV13" i="164"/>
  <c r="AT13" i="164"/>
  <c r="AR13" i="164"/>
  <c r="AP13" i="164"/>
  <c r="AN13" i="164"/>
  <c r="AL13" i="164"/>
  <c r="AJ13" i="164"/>
  <c r="G13" i="164"/>
  <c r="BU12" i="164"/>
  <c r="BS12" i="164"/>
  <c r="BQ12" i="164"/>
  <c r="BO12" i="164"/>
  <c r="BM12" i="164"/>
  <c r="BK12" i="164"/>
  <c r="BH12" i="164"/>
  <c r="BF12" i="164"/>
  <c r="BD12" i="164"/>
  <c r="BB12" i="164"/>
  <c r="AZ12" i="164"/>
  <c r="AX12" i="164"/>
  <c r="AV12" i="164"/>
  <c r="AT12" i="164"/>
  <c r="AR12" i="164"/>
  <c r="AP12" i="164"/>
  <c r="AN12" i="164"/>
  <c r="AL12" i="164"/>
  <c r="AJ12" i="164"/>
  <c r="I12" i="164"/>
  <c r="E12" i="164" s="1"/>
  <c r="C12" i="164" s="1"/>
  <c r="BU11" i="164"/>
  <c r="BS11" i="164"/>
  <c r="BQ11" i="164"/>
  <c r="BO11" i="164"/>
  <c r="BM11" i="164"/>
  <c r="BK11" i="164"/>
  <c r="BH11" i="164"/>
  <c r="BF11" i="164"/>
  <c r="BD11" i="164"/>
  <c r="BB11" i="164"/>
  <c r="AZ11" i="164"/>
  <c r="AX11" i="164"/>
  <c r="AV11" i="164"/>
  <c r="AT11" i="164"/>
  <c r="AR11" i="164"/>
  <c r="AP11" i="164"/>
  <c r="AN11" i="164"/>
  <c r="AL11" i="164"/>
  <c r="AJ11" i="164"/>
  <c r="E11" i="164"/>
  <c r="C11" i="164"/>
  <c r="BU10" i="164"/>
  <c r="BS10" i="164"/>
  <c r="BQ10" i="164"/>
  <c r="BO10" i="164"/>
  <c r="BM10" i="164"/>
  <c r="BK10" i="164"/>
  <c r="BH10" i="164"/>
  <c r="BF10" i="164"/>
  <c r="BD10" i="164"/>
  <c r="BB10" i="164"/>
  <c r="AZ10" i="164"/>
  <c r="AX10" i="164"/>
  <c r="AV10" i="164"/>
  <c r="AT10" i="164"/>
  <c r="AR10" i="164"/>
  <c r="AP10" i="164"/>
  <c r="AN10" i="164"/>
  <c r="AL10" i="164"/>
  <c r="AJ10" i="164"/>
  <c r="BU9" i="164"/>
  <c r="BS9" i="164"/>
  <c r="BQ9" i="164"/>
  <c r="BO9" i="164"/>
  <c r="BM9" i="164"/>
  <c r="BK9" i="164"/>
  <c r="BH9" i="164"/>
  <c r="BF9" i="164"/>
  <c r="BD9" i="164"/>
  <c r="BB9" i="164"/>
  <c r="AZ9" i="164"/>
  <c r="AX9" i="164"/>
  <c r="AV9" i="164"/>
  <c r="AT9" i="164"/>
  <c r="AR9" i="164"/>
  <c r="AP9" i="164"/>
  <c r="AN9" i="164"/>
  <c r="AL9" i="164"/>
  <c r="AJ9" i="164"/>
  <c r="BU8" i="164"/>
  <c r="BS8" i="164"/>
  <c r="BQ8" i="164"/>
  <c r="BO8" i="164"/>
  <c r="BM8" i="164"/>
  <c r="BK8" i="164"/>
  <c r="BH8" i="164"/>
  <c r="BF8" i="164"/>
  <c r="BD8" i="164"/>
  <c r="BB8" i="164"/>
  <c r="AZ8" i="164"/>
  <c r="AX8" i="164"/>
  <c r="AV8" i="164"/>
  <c r="AT8" i="164"/>
  <c r="AR8" i="164"/>
  <c r="AP8" i="164"/>
  <c r="AN8" i="164"/>
  <c r="AL8" i="164"/>
  <c r="AJ8" i="164"/>
  <c r="O8" i="164"/>
  <c r="K8" i="164"/>
  <c r="I8" i="164"/>
  <c r="BU7" i="164"/>
  <c r="BS7" i="164"/>
  <c r="BQ7" i="164"/>
  <c r="BO7" i="164"/>
  <c r="BM7" i="164"/>
  <c r="BK7" i="164"/>
  <c r="BH7" i="164"/>
  <c r="BF7" i="164"/>
  <c r="BD7" i="164"/>
  <c r="BB7" i="164"/>
  <c r="AZ7" i="164"/>
  <c r="AX7" i="164"/>
  <c r="AV7" i="164"/>
  <c r="AT7" i="164"/>
  <c r="AR7" i="164"/>
  <c r="AP7" i="164"/>
  <c r="AN7" i="164"/>
  <c r="AL7" i="164"/>
  <c r="AJ7" i="164"/>
  <c r="I7" i="164"/>
  <c r="G7" i="164"/>
  <c r="BU6" i="164"/>
  <c r="BS6" i="164"/>
  <c r="BQ6" i="164"/>
  <c r="BO6" i="164"/>
  <c r="BM6" i="164"/>
  <c r="BK6" i="164"/>
  <c r="BH6" i="164"/>
  <c r="BF6" i="164"/>
  <c r="BD6" i="164"/>
  <c r="BB6" i="164"/>
  <c r="AZ6" i="164"/>
  <c r="AX6" i="164"/>
  <c r="AV6" i="164"/>
  <c r="AT6" i="164"/>
  <c r="AR6" i="164"/>
  <c r="AP6" i="164"/>
  <c r="AN6" i="164"/>
  <c r="AL6" i="164"/>
  <c r="AJ6" i="164"/>
  <c r="BU5" i="164"/>
  <c r="BS5" i="164"/>
  <c r="BQ5" i="164"/>
  <c r="BO5" i="164"/>
  <c r="BM5" i="164"/>
  <c r="BK5" i="164"/>
  <c r="BH5" i="164"/>
  <c r="BF5" i="164"/>
  <c r="BD5" i="164"/>
  <c r="BB5" i="164"/>
  <c r="AZ5" i="164"/>
  <c r="AX5" i="164"/>
  <c r="AV5" i="164"/>
  <c r="AT5" i="164"/>
  <c r="AR5" i="164"/>
  <c r="AP5" i="164"/>
  <c r="AN5" i="164"/>
  <c r="AL5" i="164"/>
  <c r="AJ5" i="164"/>
  <c r="I5" i="164"/>
  <c r="I6" i="164" s="1"/>
  <c r="BU4" i="164"/>
  <c r="BS4" i="164"/>
  <c r="BQ4" i="164"/>
  <c r="BO4" i="164"/>
  <c r="BM4" i="164"/>
  <c r="BK4" i="164"/>
  <c r="BH4" i="164"/>
  <c r="BF4" i="164"/>
  <c r="BD4" i="164"/>
  <c r="BB4" i="164"/>
  <c r="AZ4" i="164"/>
  <c r="AX4" i="164"/>
  <c r="AV4" i="164"/>
  <c r="AT4" i="164"/>
  <c r="AR4" i="164"/>
  <c r="AP4" i="164"/>
  <c r="AN4" i="164"/>
  <c r="AL4" i="164"/>
  <c r="AJ4" i="164"/>
  <c r="E4" i="164"/>
  <c r="C4" i="164"/>
  <c r="BU3" i="164"/>
  <c r="BS3" i="164"/>
  <c r="BQ3" i="164"/>
  <c r="BO3" i="164"/>
  <c r="BM3" i="164"/>
  <c r="BK3" i="164"/>
  <c r="BH3" i="164"/>
  <c r="BF3" i="164"/>
  <c r="BD3" i="164"/>
  <c r="BB3" i="164"/>
  <c r="AZ3" i="164"/>
  <c r="AX3" i="164"/>
  <c r="AV3" i="164"/>
  <c r="AT3" i="164"/>
  <c r="AR3" i="164"/>
  <c r="AP3" i="164"/>
  <c r="AN3" i="164"/>
  <c r="AL3" i="164"/>
  <c r="AJ3" i="164"/>
  <c r="BU2" i="164"/>
  <c r="BS2" i="164"/>
  <c r="BQ2" i="164"/>
  <c r="BO2" i="164"/>
  <c r="BM2" i="164"/>
  <c r="BK2" i="164"/>
  <c r="BH2" i="164"/>
  <c r="BF2" i="164"/>
  <c r="BD2" i="164"/>
  <c r="BB2" i="164"/>
  <c r="AZ2" i="164"/>
  <c r="AX2" i="164"/>
  <c r="AV2" i="164"/>
  <c r="AT2" i="164"/>
  <c r="AR2" i="164"/>
  <c r="AP2" i="164"/>
  <c r="AN2" i="164"/>
  <c r="AL2" i="164"/>
  <c r="AJ2" i="164"/>
  <c r="E2" i="164"/>
  <c r="C2" i="164"/>
  <c r="G1" i="164"/>
  <c r="G67" i="160"/>
  <c r="I62" i="160" s="1"/>
  <c r="M19" i="160" s="1"/>
  <c r="G66" i="160"/>
  <c r="J63" i="160"/>
  <c r="K20" i="160" s="1"/>
  <c r="J62" i="160"/>
  <c r="K19" i="160" s="1"/>
  <c r="H62" i="160"/>
  <c r="I19" i="160" s="1"/>
  <c r="G62" i="160"/>
  <c r="I61" i="160"/>
  <c r="M18" i="160" s="1"/>
  <c r="H61" i="160"/>
  <c r="I18" i="160" s="1"/>
  <c r="G61" i="160"/>
  <c r="J60" i="160"/>
  <c r="H60" i="160"/>
  <c r="I4" i="160" s="1"/>
  <c r="I5" i="160" s="1"/>
  <c r="G60" i="160"/>
  <c r="E54" i="160"/>
  <c r="BR53" i="160"/>
  <c r="BP53" i="160"/>
  <c r="BN53" i="160"/>
  <c r="BL53" i="160"/>
  <c r="BJ53" i="160"/>
  <c r="BH53" i="160"/>
  <c r="BF53" i="160"/>
  <c r="BD53" i="160"/>
  <c r="BB53" i="160"/>
  <c r="AZ53" i="160"/>
  <c r="AX53" i="160"/>
  <c r="AV53" i="160"/>
  <c r="AT53" i="160"/>
  <c r="AR53" i="160"/>
  <c r="AP53" i="160"/>
  <c r="AM53" i="160"/>
  <c r="AK53" i="160"/>
  <c r="AI53" i="160"/>
  <c r="AE53" i="160"/>
  <c r="AC53" i="160"/>
  <c r="AA53" i="160"/>
  <c r="Y53" i="160"/>
  <c r="G53" i="160"/>
  <c r="E53" i="160" s="1"/>
  <c r="C53" i="160" s="1"/>
  <c r="BR52" i="160"/>
  <c r="BP52" i="160"/>
  <c r="BN52" i="160"/>
  <c r="BL52" i="160"/>
  <c r="BJ52" i="160"/>
  <c r="BH52" i="160"/>
  <c r="BF52" i="160"/>
  <c r="BD52" i="160"/>
  <c r="BB52" i="160"/>
  <c r="AZ52" i="160"/>
  <c r="AX52" i="160"/>
  <c r="AV52" i="160"/>
  <c r="AT52" i="160"/>
  <c r="AR52" i="160"/>
  <c r="AP52" i="160"/>
  <c r="AM52" i="160"/>
  <c r="AK52" i="160"/>
  <c r="AI52" i="160"/>
  <c r="AE52" i="160"/>
  <c r="AC52" i="160"/>
  <c r="AA52" i="160"/>
  <c r="Y52" i="160"/>
  <c r="BR51" i="160"/>
  <c r="BP51" i="160"/>
  <c r="BN51" i="160"/>
  <c r="BL51" i="160"/>
  <c r="BJ51" i="160"/>
  <c r="BH51" i="160"/>
  <c r="BF51" i="160"/>
  <c r="BD51" i="160"/>
  <c r="BB51" i="160"/>
  <c r="AZ51" i="160"/>
  <c r="AX51" i="160"/>
  <c r="AV51" i="160"/>
  <c r="AT51" i="160"/>
  <c r="AR51" i="160"/>
  <c r="AP51" i="160"/>
  <c r="AM51" i="160"/>
  <c r="AK51" i="160"/>
  <c r="AI51" i="160"/>
  <c r="AE51" i="160"/>
  <c r="AC51" i="160"/>
  <c r="AA51" i="160"/>
  <c r="Y51" i="160"/>
  <c r="BR50" i="160"/>
  <c r="BP50" i="160"/>
  <c r="BN50" i="160"/>
  <c r="BL50" i="160"/>
  <c r="BJ50" i="160"/>
  <c r="BH50" i="160"/>
  <c r="BF50" i="160"/>
  <c r="BD50" i="160"/>
  <c r="BB50" i="160"/>
  <c r="AZ50" i="160"/>
  <c r="AX50" i="160"/>
  <c r="AV50" i="160"/>
  <c r="AT50" i="160"/>
  <c r="AR50" i="160"/>
  <c r="AP50" i="160"/>
  <c r="AM50" i="160"/>
  <c r="AK50" i="160"/>
  <c r="AI50" i="160"/>
  <c r="AE50" i="160"/>
  <c r="AC50" i="160"/>
  <c r="AA50" i="160"/>
  <c r="Y50" i="160"/>
  <c r="E50" i="160"/>
  <c r="C50" i="160"/>
  <c r="BR49" i="160"/>
  <c r="BP49" i="160"/>
  <c r="BN49" i="160"/>
  <c r="BL49" i="160"/>
  <c r="BJ49" i="160"/>
  <c r="BH49" i="160"/>
  <c r="BF49" i="160"/>
  <c r="BD49" i="160"/>
  <c r="BB49" i="160"/>
  <c r="AZ49" i="160"/>
  <c r="AX49" i="160"/>
  <c r="AV49" i="160"/>
  <c r="AT49" i="160"/>
  <c r="AR49" i="160"/>
  <c r="AP49" i="160"/>
  <c r="AM49" i="160"/>
  <c r="AK49" i="160"/>
  <c r="AI49" i="160"/>
  <c r="AE49" i="160"/>
  <c r="AC49" i="160"/>
  <c r="AA49" i="160"/>
  <c r="Y49" i="160"/>
  <c r="BR48" i="160"/>
  <c r="BP48" i="160"/>
  <c r="BN48" i="160"/>
  <c r="BL48" i="160"/>
  <c r="BJ48" i="160"/>
  <c r="BH48" i="160"/>
  <c r="BF48" i="160"/>
  <c r="BD48" i="160"/>
  <c r="BB48" i="160"/>
  <c r="AZ48" i="160"/>
  <c r="AX48" i="160"/>
  <c r="AV48" i="160"/>
  <c r="AT48" i="160"/>
  <c r="AR48" i="160"/>
  <c r="AP48" i="160"/>
  <c r="AM48" i="160"/>
  <c r="AK48" i="160"/>
  <c r="AI48" i="160"/>
  <c r="AE48" i="160"/>
  <c r="AC48" i="160"/>
  <c r="AA48" i="160"/>
  <c r="Y48" i="160"/>
  <c r="BR47" i="160"/>
  <c r="BP47" i="160"/>
  <c r="BN47" i="160"/>
  <c r="BL47" i="160"/>
  <c r="BJ47" i="160"/>
  <c r="BH47" i="160"/>
  <c r="BF47" i="160"/>
  <c r="BD47" i="160"/>
  <c r="BB47" i="160"/>
  <c r="AZ47" i="160"/>
  <c r="AX47" i="160"/>
  <c r="AV47" i="160"/>
  <c r="AT47" i="160"/>
  <c r="AR47" i="160"/>
  <c r="AP47" i="160"/>
  <c r="AM47" i="160"/>
  <c r="AK47" i="160"/>
  <c r="AI47" i="160"/>
  <c r="AE47" i="160"/>
  <c r="AC47" i="160"/>
  <c r="AA47" i="160"/>
  <c r="Y47" i="160"/>
  <c r="BR46" i="160"/>
  <c r="BP46" i="160"/>
  <c r="BN46" i="160"/>
  <c r="BL46" i="160"/>
  <c r="BJ46" i="160"/>
  <c r="BH46" i="160"/>
  <c r="BF46" i="160"/>
  <c r="BD46" i="160"/>
  <c r="BB46" i="160"/>
  <c r="AZ46" i="160"/>
  <c r="AX46" i="160"/>
  <c r="AV46" i="160"/>
  <c r="AT46" i="160"/>
  <c r="AR46" i="160"/>
  <c r="AP46" i="160"/>
  <c r="AM46" i="160"/>
  <c r="AK46" i="160"/>
  <c r="AI46" i="160"/>
  <c r="AE46" i="160"/>
  <c r="AC46" i="160"/>
  <c r="AA46" i="160"/>
  <c r="Y46" i="160"/>
  <c r="M46" i="160"/>
  <c r="K46" i="160"/>
  <c r="BR45" i="160"/>
  <c r="BP45" i="160"/>
  <c r="BN45" i="160"/>
  <c r="BL45" i="160"/>
  <c r="BJ45" i="160"/>
  <c r="BH45" i="160"/>
  <c r="BF45" i="160"/>
  <c r="BD45" i="160"/>
  <c r="BB45" i="160"/>
  <c r="AZ45" i="160"/>
  <c r="AX45" i="160"/>
  <c r="AV45" i="160"/>
  <c r="AT45" i="160"/>
  <c r="AR45" i="160"/>
  <c r="AP45" i="160"/>
  <c r="AM45" i="160"/>
  <c r="AK45" i="160"/>
  <c r="AI45" i="160"/>
  <c r="AE45" i="160"/>
  <c r="AC45" i="160"/>
  <c r="AA45" i="160"/>
  <c r="Y45" i="160"/>
  <c r="O45" i="160"/>
  <c r="M45" i="160"/>
  <c r="K45" i="160"/>
  <c r="BR44" i="160"/>
  <c r="BP44" i="160"/>
  <c r="BN44" i="160"/>
  <c r="BL44" i="160"/>
  <c r="BJ44" i="160"/>
  <c r="BH44" i="160"/>
  <c r="BF44" i="160"/>
  <c r="BD44" i="160"/>
  <c r="BB44" i="160"/>
  <c r="AZ44" i="160"/>
  <c r="AX44" i="160"/>
  <c r="AV44" i="160"/>
  <c r="AT44" i="160"/>
  <c r="AR44" i="160"/>
  <c r="AP44" i="160"/>
  <c r="AM44" i="160"/>
  <c r="AK44" i="160"/>
  <c r="AI44" i="160"/>
  <c r="AE44" i="160"/>
  <c r="AC44" i="160"/>
  <c r="AA44" i="160"/>
  <c r="Y44" i="160"/>
  <c r="BR43" i="160"/>
  <c r="BP43" i="160"/>
  <c r="BN43" i="160"/>
  <c r="BL43" i="160"/>
  <c r="BJ43" i="160"/>
  <c r="BH43" i="160"/>
  <c r="BF43" i="160"/>
  <c r="BD43" i="160"/>
  <c r="BB43" i="160"/>
  <c r="AZ43" i="160"/>
  <c r="AX43" i="160"/>
  <c r="AV43" i="160"/>
  <c r="AT43" i="160"/>
  <c r="AR43" i="160"/>
  <c r="AP43" i="160"/>
  <c r="AM43" i="160"/>
  <c r="AK43" i="160"/>
  <c r="AI43" i="160"/>
  <c r="AE43" i="160"/>
  <c r="AC43" i="160"/>
  <c r="AA43" i="160"/>
  <c r="Y43" i="160"/>
  <c r="BR42" i="160"/>
  <c r="BP42" i="160"/>
  <c r="BN42" i="160"/>
  <c r="BL42" i="160"/>
  <c r="BJ42" i="160"/>
  <c r="BH42" i="160"/>
  <c r="BF42" i="160"/>
  <c r="BD42" i="160"/>
  <c r="BB42" i="160"/>
  <c r="AZ42" i="160"/>
  <c r="AX42" i="160"/>
  <c r="AV42" i="160"/>
  <c r="AT42" i="160"/>
  <c r="AR42" i="160"/>
  <c r="AP42" i="160"/>
  <c r="AM42" i="160"/>
  <c r="AK42" i="160"/>
  <c r="AI42" i="160"/>
  <c r="AE42" i="160"/>
  <c r="AC42" i="160"/>
  <c r="AA42" i="160"/>
  <c r="Y42" i="160"/>
  <c r="BR41" i="160"/>
  <c r="BP41" i="160"/>
  <c r="BN41" i="160"/>
  <c r="BL41" i="160"/>
  <c r="BJ41" i="160"/>
  <c r="BH41" i="160"/>
  <c r="BF41" i="160"/>
  <c r="BD41" i="160"/>
  <c r="BB41" i="160"/>
  <c r="AZ41" i="160"/>
  <c r="AX41" i="160"/>
  <c r="AV41" i="160"/>
  <c r="AT41" i="160"/>
  <c r="AR41" i="160"/>
  <c r="AP41" i="160"/>
  <c r="AM41" i="160"/>
  <c r="AK41" i="160"/>
  <c r="AI41" i="160"/>
  <c r="AE41" i="160"/>
  <c r="AC41" i="160"/>
  <c r="AA41" i="160"/>
  <c r="Y41" i="160"/>
  <c r="BR40" i="160"/>
  <c r="BP40" i="160"/>
  <c r="BN40" i="160"/>
  <c r="BL40" i="160"/>
  <c r="BJ40" i="160"/>
  <c r="BH40" i="160"/>
  <c r="BF40" i="160"/>
  <c r="BD40" i="160"/>
  <c r="BB40" i="160"/>
  <c r="AZ40" i="160"/>
  <c r="AX40" i="160"/>
  <c r="AV40" i="160"/>
  <c r="AT40" i="160"/>
  <c r="AR40" i="160"/>
  <c r="AP40" i="160"/>
  <c r="AM40" i="160"/>
  <c r="AK40" i="160"/>
  <c r="AI40" i="160"/>
  <c r="AE40" i="160"/>
  <c r="AC40" i="160"/>
  <c r="AA40" i="160"/>
  <c r="Y40" i="160"/>
  <c r="BR39" i="160"/>
  <c r="BP39" i="160"/>
  <c r="BN39" i="160"/>
  <c r="BL39" i="160"/>
  <c r="BJ39" i="160"/>
  <c r="BH39" i="160"/>
  <c r="BF39" i="160"/>
  <c r="BD39" i="160"/>
  <c r="BB39" i="160"/>
  <c r="AZ39" i="160"/>
  <c r="AX39" i="160"/>
  <c r="AV39" i="160"/>
  <c r="AT39" i="160"/>
  <c r="AR39" i="160"/>
  <c r="AP39" i="160"/>
  <c r="AM39" i="160"/>
  <c r="AK39" i="160"/>
  <c r="AI39" i="160"/>
  <c r="AE39" i="160"/>
  <c r="AC39" i="160"/>
  <c r="AA39" i="160"/>
  <c r="Y39" i="160"/>
  <c r="BR38" i="160"/>
  <c r="BP38" i="160"/>
  <c r="BN38" i="160"/>
  <c r="BL38" i="160"/>
  <c r="BJ38" i="160"/>
  <c r="BH38" i="160"/>
  <c r="BF38" i="160"/>
  <c r="BD38" i="160"/>
  <c r="BB38" i="160"/>
  <c r="AZ38" i="160"/>
  <c r="AX38" i="160"/>
  <c r="AV38" i="160"/>
  <c r="AT38" i="160"/>
  <c r="AR38" i="160"/>
  <c r="AP38" i="160"/>
  <c r="AM38" i="160"/>
  <c r="AK38" i="160"/>
  <c r="AI38" i="160"/>
  <c r="AE38" i="160"/>
  <c r="AC38" i="160"/>
  <c r="AA38" i="160"/>
  <c r="Y38" i="160"/>
  <c r="BR37" i="160"/>
  <c r="BP37" i="160"/>
  <c r="BN37" i="160"/>
  <c r="BL37" i="160"/>
  <c r="BJ37" i="160"/>
  <c r="BH37" i="160"/>
  <c r="BF37" i="160"/>
  <c r="BD37" i="160"/>
  <c r="BB37" i="160"/>
  <c r="AZ37" i="160"/>
  <c r="AX37" i="160"/>
  <c r="AV37" i="160"/>
  <c r="AT37" i="160"/>
  <c r="AR37" i="160"/>
  <c r="AP37" i="160"/>
  <c r="AM37" i="160"/>
  <c r="AK37" i="160"/>
  <c r="AI37" i="160"/>
  <c r="AE37" i="160"/>
  <c r="AC37" i="160"/>
  <c r="AA37" i="160"/>
  <c r="Y37" i="160"/>
  <c r="E37" i="160"/>
  <c r="C37" i="160"/>
  <c r="BR36" i="160"/>
  <c r="BP36" i="160"/>
  <c r="BN36" i="160"/>
  <c r="BL36" i="160"/>
  <c r="BJ36" i="160"/>
  <c r="BH36" i="160"/>
  <c r="BF36" i="160"/>
  <c r="BD36" i="160"/>
  <c r="BB36" i="160"/>
  <c r="AZ36" i="160"/>
  <c r="AX36" i="160"/>
  <c r="AV36" i="160"/>
  <c r="AT36" i="160"/>
  <c r="AR36" i="160"/>
  <c r="AP36" i="160"/>
  <c r="AM36" i="160"/>
  <c r="AK36" i="160"/>
  <c r="AI36" i="160"/>
  <c r="AE36" i="160"/>
  <c r="AC36" i="160"/>
  <c r="AA36" i="160"/>
  <c r="Y36" i="160"/>
  <c r="BR35" i="160"/>
  <c r="BP35" i="160"/>
  <c r="BN35" i="160"/>
  <c r="BL35" i="160"/>
  <c r="BJ35" i="160"/>
  <c r="BH35" i="160"/>
  <c r="BF35" i="160"/>
  <c r="BD35" i="160"/>
  <c r="BB35" i="160"/>
  <c r="AZ35" i="160"/>
  <c r="AX35" i="160"/>
  <c r="AV35" i="160"/>
  <c r="AT35" i="160"/>
  <c r="AR35" i="160"/>
  <c r="AP35" i="160"/>
  <c r="AM35" i="160"/>
  <c r="AK35" i="160"/>
  <c r="AI35" i="160"/>
  <c r="AE35" i="160"/>
  <c r="AC35" i="160"/>
  <c r="AA35" i="160"/>
  <c r="Y35" i="160"/>
  <c r="BR34" i="160"/>
  <c r="BP34" i="160"/>
  <c r="BN34" i="160"/>
  <c r="BL34" i="160"/>
  <c r="BJ34" i="160"/>
  <c r="BH34" i="160"/>
  <c r="BF34" i="160"/>
  <c r="BD34" i="160"/>
  <c r="BB34" i="160"/>
  <c r="AZ34" i="160"/>
  <c r="AX34" i="160"/>
  <c r="AV34" i="160"/>
  <c r="AT34" i="160"/>
  <c r="AR34" i="160"/>
  <c r="AP34" i="160"/>
  <c r="AM34" i="160"/>
  <c r="AK34" i="160"/>
  <c r="AI34" i="160"/>
  <c r="AE34" i="160"/>
  <c r="AC34" i="160"/>
  <c r="AA34" i="160"/>
  <c r="Y34" i="160"/>
  <c r="E34" i="160"/>
  <c r="C34" i="160"/>
  <c r="BR33" i="160"/>
  <c r="BP33" i="160"/>
  <c r="BN33" i="160"/>
  <c r="BL33" i="160"/>
  <c r="BJ33" i="160"/>
  <c r="BH33" i="160"/>
  <c r="BF33" i="160"/>
  <c r="BD33" i="160"/>
  <c r="BB33" i="160"/>
  <c r="AZ33" i="160"/>
  <c r="AX33" i="160"/>
  <c r="AV33" i="160"/>
  <c r="AT33" i="160"/>
  <c r="AR33" i="160"/>
  <c r="AP33" i="160"/>
  <c r="AM33" i="160"/>
  <c r="AK33" i="160"/>
  <c r="AI33" i="160"/>
  <c r="AE33" i="160"/>
  <c r="AC33" i="160"/>
  <c r="AA33" i="160"/>
  <c r="Y33" i="160"/>
  <c r="BR32" i="160"/>
  <c r="BP32" i="160"/>
  <c r="BN32" i="160"/>
  <c r="BL32" i="160"/>
  <c r="BJ32" i="160"/>
  <c r="BH32" i="160"/>
  <c r="BF32" i="160"/>
  <c r="BD32" i="160"/>
  <c r="BB32" i="160"/>
  <c r="AZ32" i="160"/>
  <c r="AX32" i="160"/>
  <c r="AV32" i="160"/>
  <c r="AT32" i="160"/>
  <c r="AR32" i="160"/>
  <c r="AP32" i="160"/>
  <c r="AM32" i="160"/>
  <c r="AK32" i="160"/>
  <c r="AI32" i="160"/>
  <c r="AE32" i="160"/>
  <c r="AC32" i="160"/>
  <c r="AA32" i="160"/>
  <c r="Y32" i="160"/>
  <c r="BR31" i="160"/>
  <c r="BP31" i="160"/>
  <c r="BN31" i="160"/>
  <c r="BL31" i="160"/>
  <c r="BJ31" i="160"/>
  <c r="BH31" i="160"/>
  <c r="BF31" i="160"/>
  <c r="BD31" i="160"/>
  <c r="BB31" i="160"/>
  <c r="AZ31" i="160"/>
  <c r="AX31" i="160"/>
  <c r="AV31" i="160"/>
  <c r="AT31" i="160"/>
  <c r="AR31" i="160"/>
  <c r="AP31" i="160"/>
  <c r="AM31" i="160"/>
  <c r="AK31" i="160"/>
  <c r="AI31" i="160"/>
  <c r="AE31" i="160"/>
  <c r="AC31" i="160"/>
  <c r="AA31" i="160"/>
  <c r="Y31" i="160"/>
  <c r="E31" i="160"/>
  <c r="C31" i="160" s="1"/>
  <c r="BR30" i="160"/>
  <c r="BP30" i="160"/>
  <c r="BN30" i="160"/>
  <c r="BL30" i="160"/>
  <c r="BJ30" i="160"/>
  <c r="BH30" i="160"/>
  <c r="BF30" i="160"/>
  <c r="BD30" i="160"/>
  <c r="BB30" i="160"/>
  <c r="AZ30" i="160"/>
  <c r="AX30" i="160"/>
  <c r="AV30" i="160"/>
  <c r="AT30" i="160"/>
  <c r="AR30" i="160"/>
  <c r="AP30" i="160"/>
  <c r="AM30" i="160"/>
  <c r="AK30" i="160"/>
  <c r="AI30" i="160"/>
  <c r="AE30" i="160"/>
  <c r="AC30" i="160"/>
  <c r="AA30" i="160"/>
  <c r="Y30" i="160"/>
  <c r="BR29" i="160"/>
  <c r="BP29" i="160"/>
  <c r="BN29" i="160"/>
  <c r="BL29" i="160"/>
  <c r="BJ29" i="160"/>
  <c r="BH29" i="160"/>
  <c r="BF29" i="160"/>
  <c r="BD29" i="160"/>
  <c r="BB29" i="160"/>
  <c r="AZ29" i="160"/>
  <c r="AX29" i="160"/>
  <c r="AV29" i="160"/>
  <c r="AT29" i="160"/>
  <c r="AR29" i="160"/>
  <c r="AP29" i="160"/>
  <c r="AM29" i="160"/>
  <c r="AK29" i="160"/>
  <c r="AI29" i="160"/>
  <c r="AE29" i="160"/>
  <c r="AC29" i="160"/>
  <c r="AA29" i="160"/>
  <c r="Y29" i="160"/>
  <c r="I29" i="160"/>
  <c r="G29" i="160"/>
  <c r="BR28" i="160"/>
  <c r="BP28" i="160"/>
  <c r="BN28" i="160"/>
  <c r="BL28" i="160"/>
  <c r="BJ28" i="160"/>
  <c r="BH28" i="160"/>
  <c r="BF28" i="160"/>
  <c r="BD28" i="160"/>
  <c r="BB28" i="160"/>
  <c r="AZ28" i="160"/>
  <c r="AX28" i="160"/>
  <c r="AV28" i="160"/>
  <c r="AT28" i="160"/>
  <c r="AR28" i="160"/>
  <c r="AP28" i="160"/>
  <c r="AM28" i="160"/>
  <c r="AK28" i="160"/>
  <c r="AI28" i="160"/>
  <c r="AE28" i="160"/>
  <c r="AC28" i="160"/>
  <c r="AA28" i="160"/>
  <c r="Y28" i="160"/>
  <c r="BR27" i="160"/>
  <c r="BP27" i="160"/>
  <c r="BN27" i="160"/>
  <c r="BL27" i="160"/>
  <c r="BJ27" i="160"/>
  <c r="BH27" i="160"/>
  <c r="BF27" i="160"/>
  <c r="BD27" i="160"/>
  <c r="BB27" i="160"/>
  <c r="AZ27" i="160"/>
  <c r="AX27" i="160"/>
  <c r="AV27" i="160"/>
  <c r="AT27" i="160"/>
  <c r="AR27" i="160"/>
  <c r="AP27" i="160"/>
  <c r="AM27" i="160"/>
  <c r="AK27" i="160"/>
  <c r="AI27" i="160"/>
  <c r="AE27" i="160"/>
  <c r="AC27" i="160"/>
  <c r="AA27" i="160"/>
  <c r="Y27" i="160"/>
  <c r="K27" i="160"/>
  <c r="I27" i="160"/>
  <c r="BR26" i="160"/>
  <c r="BP26" i="160"/>
  <c r="BN26" i="160"/>
  <c r="BL26" i="160"/>
  <c r="BJ26" i="160"/>
  <c r="BH26" i="160"/>
  <c r="BF26" i="160"/>
  <c r="BD26" i="160"/>
  <c r="BB26" i="160"/>
  <c r="AZ26" i="160"/>
  <c r="AX26" i="160"/>
  <c r="AV26" i="160"/>
  <c r="AT26" i="160"/>
  <c r="AR26" i="160"/>
  <c r="AP26" i="160"/>
  <c r="AM26" i="160"/>
  <c r="AK26" i="160"/>
  <c r="AI26" i="160"/>
  <c r="AE26" i="160"/>
  <c r="AC26" i="160"/>
  <c r="AA26" i="160"/>
  <c r="Y26" i="160"/>
  <c r="BR25" i="160"/>
  <c r="BP25" i="160"/>
  <c r="BN25" i="160"/>
  <c r="BL25" i="160"/>
  <c r="BJ25" i="160"/>
  <c r="BH25" i="160"/>
  <c r="BF25" i="160"/>
  <c r="BD25" i="160"/>
  <c r="BB25" i="160"/>
  <c r="AZ25" i="160"/>
  <c r="AX25" i="160"/>
  <c r="AV25" i="160"/>
  <c r="AT25" i="160"/>
  <c r="AR25" i="160"/>
  <c r="AP25" i="160"/>
  <c r="AM25" i="160"/>
  <c r="AK25" i="160"/>
  <c r="AI25" i="160"/>
  <c r="AE25" i="160"/>
  <c r="AC25" i="160"/>
  <c r="AA25" i="160"/>
  <c r="Y25" i="160"/>
  <c r="K25" i="160"/>
  <c r="G25" i="160"/>
  <c r="BR24" i="160"/>
  <c r="BP24" i="160"/>
  <c r="BN24" i="160"/>
  <c r="BL24" i="160"/>
  <c r="BJ24" i="160"/>
  <c r="BH24" i="160"/>
  <c r="BF24" i="160"/>
  <c r="BD24" i="160"/>
  <c r="BB24" i="160"/>
  <c r="AZ24" i="160"/>
  <c r="AX24" i="160"/>
  <c r="AV24" i="160"/>
  <c r="AT24" i="160"/>
  <c r="AR24" i="160"/>
  <c r="AP24" i="160"/>
  <c r="AM24" i="160"/>
  <c r="AK24" i="160"/>
  <c r="AI24" i="160"/>
  <c r="AE24" i="160"/>
  <c r="AC24" i="160"/>
  <c r="AA24" i="160"/>
  <c r="Y24" i="160"/>
  <c r="BR23" i="160"/>
  <c r="BP23" i="160"/>
  <c r="BN23" i="160"/>
  <c r="BL23" i="160"/>
  <c r="BJ23" i="160"/>
  <c r="BH23" i="160"/>
  <c r="BF23" i="160"/>
  <c r="BD23" i="160"/>
  <c r="BB23" i="160"/>
  <c r="AZ23" i="160"/>
  <c r="AX23" i="160"/>
  <c r="AV23" i="160"/>
  <c r="AT23" i="160"/>
  <c r="AR23" i="160"/>
  <c r="AP23" i="160"/>
  <c r="AM23" i="160"/>
  <c r="AK23" i="160"/>
  <c r="AI23" i="160"/>
  <c r="AE23" i="160"/>
  <c r="AC23" i="160"/>
  <c r="AA23" i="160"/>
  <c r="Y23" i="160"/>
  <c r="E23" i="160"/>
  <c r="C23" i="160"/>
  <c r="BR22" i="160"/>
  <c r="BP22" i="160"/>
  <c r="BN22" i="160"/>
  <c r="BL22" i="160"/>
  <c r="BJ22" i="160"/>
  <c r="BH22" i="160"/>
  <c r="BF22" i="160"/>
  <c r="BD22" i="160"/>
  <c r="BB22" i="160"/>
  <c r="AZ22" i="160"/>
  <c r="AX22" i="160"/>
  <c r="AV22" i="160"/>
  <c r="AT22" i="160"/>
  <c r="AR22" i="160"/>
  <c r="AP22" i="160"/>
  <c r="AM22" i="160"/>
  <c r="AK22" i="160"/>
  <c r="AI22" i="160"/>
  <c r="AE22" i="160"/>
  <c r="AC22" i="160"/>
  <c r="AA22" i="160"/>
  <c r="Y22" i="160"/>
  <c r="I22" i="160"/>
  <c r="BR21" i="160"/>
  <c r="BP21" i="160"/>
  <c r="BN21" i="160"/>
  <c r="BL21" i="160"/>
  <c r="BJ21" i="160"/>
  <c r="BH21" i="160"/>
  <c r="BF21" i="160"/>
  <c r="BD21" i="160"/>
  <c r="BB21" i="160"/>
  <c r="AZ21" i="160"/>
  <c r="AX21" i="160"/>
  <c r="AV21" i="160"/>
  <c r="AT21" i="160"/>
  <c r="AR21" i="160"/>
  <c r="AP21" i="160"/>
  <c r="AM21" i="160"/>
  <c r="AK21" i="160"/>
  <c r="AI21" i="160"/>
  <c r="AE21" i="160"/>
  <c r="AC21" i="160"/>
  <c r="AA21" i="160"/>
  <c r="Y21" i="160"/>
  <c r="E21" i="160"/>
  <c r="C21" i="160"/>
  <c r="BR20" i="160"/>
  <c r="BP20" i="160"/>
  <c r="BN20" i="160"/>
  <c r="BL20" i="160"/>
  <c r="BJ20" i="160"/>
  <c r="BH20" i="160"/>
  <c r="BF20" i="160"/>
  <c r="BD20" i="160"/>
  <c r="BB20" i="160"/>
  <c r="AZ20" i="160"/>
  <c r="AX20" i="160"/>
  <c r="AV20" i="160"/>
  <c r="AT20" i="160"/>
  <c r="AR20" i="160"/>
  <c r="AP20" i="160"/>
  <c r="AM20" i="160"/>
  <c r="AK20" i="160"/>
  <c r="AI20" i="160"/>
  <c r="AE20" i="160"/>
  <c r="AC20" i="160"/>
  <c r="AA20" i="160"/>
  <c r="Y20" i="160"/>
  <c r="O20" i="160"/>
  <c r="BR19" i="160"/>
  <c r="BP19" i="160"/>
  <c r="BN19" i="160"/>
  <c r="BL19" i="160"/>
  <c r="BJ19" i="160"/>
  <c r="BH19" i="160"/>
  <c r="BF19" i="160"/>
  <c r="BD19" i="160"/>
  <c r="BB19" i="160"/>
  <c r="AZ19" i="160"/>
  <c r="AX19" i="160"/>
  <c r="AV19" i="160"/>
  <c r="AT19" i="160"/>
  <c r="AR19" i="160"/>
  <c r="AP19" i="160"/>
  <c r="AM19" i="160"/>
  <c r="AK19" i="160"/>
  <c r="AI19" i="160"/>
  <c r="AE19" i="160"/>
  <c r="AC19" i="160"/>
  <c r="AA19" i="160"/>
  <c r="Y19" i="160"/>
  <c r="O19" i="160"/>
  <c r="BR18" i="160"/>
  <c r="BP18" i="160"/>
  <c r="BN18" i="160"/>
  <c r="BL18" i="160"/>
  <c r="BJ18" i="160"/>
  <c r="BH18" i="160"/>
  <c r="BF18" i="160"/>
  <c r="BD18" i="160"/>
  <c r="BB18" i="160"/>
  <c r="AZ18" i="160"/>
  <c r="AX18" i="160"/>
  <c r="AV18" i="160"/>
  <c r="AT18" i="160"/>
  <c r="AR18" i="160"/>
  <c r="AP18" i="160"/>
  <c r="AM18" i="160"/>
  <c r="AK18" i="160"/>
  <c r="AI18" i="160"/>
  <c r="AE18" i="160"/>
  <c r="AC18" i="160"/>
  <c r="AA18" i="160"/>
  <c r="Y18" i="160"/>
  <c r="O18" i="160"/>
  <c r="BR17" i="160"/>
  <c r="BP17" i="160"/>
  <c r="BN17" i="160"/>
  <c r="BL17" i="160"/>
  <c r="BJ17" i="160"/>
  <c r="BH17" i="160"/>
  <c r="BF17" i="160"/>
  <c r="BD17" i="160"/>
  <c r="BB17" i="160"/>
  <c r="AZ17" i="160"/>
  <c r="AX17" i="160"/>
  <c r="AV17" i="160"/>
  <c r="AT17" i="160"/>
  <c r="AR17" i="160"/>
  <c r="AP17" i="160"/>
  <c r="AM17" i="160"/>
  <c r="AK17" i="160"/>
  <c r="AI17" i="160"/>
  <c r="AE17" i="160"/>
  <c r="AC17" i="160"/>
  <c r="AA17" i="160"/>
  <c r="Y17" i="160"/>
  <c r="E17" i="160"/>
  <c r="C17" i="160" s="1"/>
  <c r="BR16" i="160"/>
  <c r="BP16" i="160"/>
  <c r="BN16" i="160"/>
  <c r="BL16" i="160"/>
  <c r="BJ16" i="160"/>
  <c r="BH16" i="160"/>
  <c r="BF16" i="160"/>
  <c r="BD16" i="160"/>
  <c r="BB16" i="160"/>
  <c r="AZ16" i="160"/>
  <c r="AX16" i="160"/>
  <c r="AV16" i="160"/>
  <c r="AT16" i="160"/>
  <c r="AR16" i="160"/>
  <c r="AP16" i="160"/>
  <c r="AM16" i="160"/>
  <c r="AK16" i="160"/>
  <c r="AI16" i="160"/>
  <c r="AE16" i="160"/>
  <c r="AC16" i="160"/>
  <c r="AA16" i="160"/>
  <c r="Y16" i="160"/>
  <c r="BR15" i="160"/>
  <c r="BP15" i="160"/>
  <c r="BN15" i="160"/>
  <c r="BL15" i="160"/>
  <c r="BJ15" i="160"/>
  <c r="BH15" i="160"/>
  <c r="BF15" i="160"/>
  <c r="BD15" i="160"/>
  <c r="BB15" i="160"/>
  <c r="AZ15" i="160"/>
  <c r="AX15" i="160"/>
  <c r="AV15" i="160"/>
  <c r="AT15" i="160"/>
  <c r="AR15" i="160"/>
  <c r="AP15" i="160"/>
  <c r="AM15" i="160"/>
  <c r="AK15" i="160"/>
  <c r="AI15" i="160"/>
  <c r="AE15" i="160"/>
  <c r="AC15" i="160"/>
  <c r="AA15" i="160"/>
  <c r="Y15" i="160"/>
  <c r="E15" i="160"/>
  <c r="BR14" i="160"/>
  <c r="BP14" i="160"/>
  <c r="BN14" i="160"/>
  <c r="BL14" i="160"/>
  <c r="BJ14" i="160"/>
  <c r="BH14" i="160"/>
  <c r="BF14" i="160"/>
  <c r="BD14" i="160"/>
  <c r="BB14" i="160"/>
  <c r="AZ14" i="160"/>
  <c r="AX14" i="160"/>
  <c r="AV14" i="160"/>
  <c r="AT14" i="160"/>
  <c r="AR14" i="160"/>
  <c r="AP14" i="160"/>
  <c r="AM14" i="160"/>
  <c r="AK14" i="160"/>
  <c r="AI14" i="160"/>
  <c r="AE14" i="160"/>
  <c r="AC14" i="160"/>
  <c r="AA14" i="160"/>
  <c r="Y14" i="160"/>
  <c r="BR13" i="160"/>
  <c r="BP13" i="160"/>
  <c r="BN13" i="160"/>
  <c r="BL13" i="160"/>
  <c r="BJ13" i="160"/>
  <c r="BH13" i="160"/>
  <c r="BF13" i="160"/>
  <c r="BD13" i="160"/>
  <c r="BB13" i="160"/>
  <c r="AZ13" i="160"/>
  <c r="AX13" i="160"/>
  <c r="AV13" i="160"/>
  <c r="AT13" i="160"/>
  <c r="AR13" i="160"/>
  <c r="AP13" i="160"/>
  <c r="AM13" i="160"/>
  <c r="AK13" i="160"/>
  <c r="AI13" i="160"/>
  <c r="AE13" i="160"/>
  <c r="AC13" i="160"/>
  <c r="AA13" i="160"/>
  <c r="Y13" i="160"/>
  <c r="E13" i="160"/>
  <c r="C13" i="160" s="1"/>
  <c r="BR12" i="160"/>
  <c r="BP12" i="160"/>
  <c r="BN12" i="160"/>
  <c r="BL12" i="160"/>
  <c r="BJ12" i="160"/>
  <c r="BH12" i="160"/>
  <c r="BF12" i="160"/>
  <c r="BD12" i="160"/>
  <c r="BB12" i="160"/>
  <c r="AZ12" i="160"/>
  <c r="AX12" i="160"/>
  <c r="AV12" i="160"/>
  <c r="AT12" i="160"/>
  <c r="AR12" i="160"/>
  <c r="AP12" i="160"/>
  <c r="AM12" i="160"/>
  <c r="AK12" i="160"/>
  <c r="AI12" i="160"/>
  <c r="AE12" i="160"/>
  <c r="AC12" i="160"/>
  <c r="AA12" i="160"/>
  <c r="Y12" i="160"/>
  <c r="G12" i="160"/>
  <c r="BR11" i="160"/>
  <c r="BP11" i="160"/>
  <c r="BN11" i="160"/>
  <c r="BL11" i="160"/>
  <c r="BJ11" i="160"/>
  <c r="BH11" i="160"/>
  <c r="BF11" i="160"/>
  <c r="BD11" i="160"/>
  <c r="BB11" i="160"/>
  <c r="AZ11" i="160"/>
  <c r="AX11" i="160"/>
  <c r="AV11" i="160"/>
  <c r="AT11" i="160"/>
  <c r="AR11" i="160"/>
  <c r="AP11" i="160"/>
  <c r="AM11" i="160"/>
  <c r="AK11" i="160"/>
  <c r="AI11" i="160"/>
  <c r="AE11" i="160"/>
  <c r="AC11" i="160"/>
  <c r="AA11" i="160"/>
  <c r="Y11" i="160"/>
  <c r="I11" i="160"/>
  <c r="G11" i="160"/>
  <c r="G22" i="160" s="1"/>
  <c r="G24" i="160" s="1"/>
  <c r="BR10" i="160"/>
  <c r="BP10" i="160"/>
  <c r="BN10" i="160"/>
  <c r="BL10" i="160"/>
  <c r="BJ10" i="160"/>
  <c r="BH10" i="160"/>
  <c r="BF10" i="160"/>
  <c r="BD10" i="160"/>
  <c r="BB10" i="160"/>
  <c r="AZ10" i="160"/>
  <c r="AX10" i="160"/>
  <c r="AV10" i="160"/>
  <c r="AT10" i="160"/>
  <c r="AR10" i="160"/>
  <c r="AP10" i="160"/>
  <c r="AM10" i="160"/>
  <c r="AK10" i="160"/>
  <c r="AI10" i="160"/>
  <c r="AE10" i="160"/>
  <c r="AC10" i="160"/>
  <c r="AA10" i="160"/>
  <c r="Y10" i="160"/>
  <c r="E10" i="160"/>
  <c r="C10" i="160" s="1"/>
  <c r="BR9" i="160"/>
  <c r="BP9" i="160"/>
  <c r="BN9" i="160"/>
  <c r="BL9" i="160"/>
  <c r="BJ9" i="160"/>
  <c r="BH9" i="160"/>
  <c r="BF9" i="160"/>
  <c r="BD9" i="160"/>
  <c r="BB9" i="160"/>
  <c r="AZ9" i="160"/>
  <c r="AX9" i="160"/>
  <c r="AV9" i="160"/>
  <c r="AT9" i="160"/>
  <c r="AR9" i="160"/>
  <c r="AP9" i="160"/>
  <c r="AM9" i="160"/>
  <c r="AK9" i="160"/>
  <c r="AI9" i="160"/>
  <c r="AE9" i="160"/>
  <c r="AC9" i="160"/>
  <c r="AA9" i="160"/>
  <c r="Y9" i="160"/>
  <c r="BR8" i="160"/>
  <c r="BP8" i="160"/>
  <c r="BN8" i="160"/>
  <c r="BL8" i="160"/>
  <c r="BJ8" i="160"/>
  <c r="BH8" i="160"/>
  <c r="BF8" i="160"/>
  <c r="BD8" i="160"/>
  <c r="BB8" i="160"/>
  <c r="AZ8" i="160"/>
  <c r="AX8" i="160"/>
  <c r="AV8" i="160"/>
  <c r="AT8" i="160"/>
  <c r="AR8" i="160"/>
  <c r="AP8" i="160"/>
  <c r="AM8" i="160"/>
  <c r="AK8" i="160"/>
  <c r="AI8" i="160"/>
  <c r="AE8" i="160"/>
  <c r="AC8" i="160"/>
  <c r="AA8" i="160"/>
  <c r="Y8" i="160"/>
  <c r="BR7" i="160"/>
  <c r="BP7" i="160"/>
  <c r="BN7" i="160"/>
  <c r="BL7" i="160"/>
  <c r="BJ7" i="160"/>
  <c r="BH7" i="160"/>
  <c r="BF7" i="160"/>
  <c r="BD7" i="160"/>
  <c r="BB7" i="160"/>
  <c r="AZ7" i="160"/>
  <c r="AX7" i="160"/>
  <c r="AV7" i="160"/>
  <c r="AT7" i="160"/>
  <c r="AR7" i="160"/>
  <c r="AP7" i="160"/>
  <c r="AM7" i="160"/>
  <c r="AK7" i="160"/>
  <c r="AI7" i="160"/>
  <c r="AE7" i="160"/>
  <c r="AC7" i="160"/>
  <c r="AA7" i="160"/>
  <c r="Y7" i="160"/>
  <c r="O7" i="160"/>
  <c r="K7" i="160"/>
  <c r="I7" i="160"/>
  <c r="BR6" i="160"/>
  <c r="BP6" i="160"/>
  <c r="BN6" i="160"/>
  <c r="BL6" i="160"/>
  <c r="BJ6" i="160"/>
  <c r="BH6" i="160"/>
  <c r="BF6" i="160"/>
  <c r="BD6" i="160"/>
  <c r="BB6" i="160"/>
  <c r="AZ6" i="160"/>
  <c r="AX6" i="160"/>
  <c r="AV6" i="160"/>
  <c r="AT6" i="160"/>
  <c r="AR6" i="160"/>
  <c r="AP6" i="160"/>
  <c r="AM6" i="160"/>
  <c r="AK6" i="160"/>
  <c r="AI6" i="160"/>
  <c r="AE6" i="160"/>
  <c r="AC6" i="160"/>
  <c r="AA6" i="160"/>
  <c r="Y6" i="160"/>
  <c r="I6" i="160"/>
  <c r="G6" i="160"/>
  <c r="BR5" i="160"/>
  <c r="BP5" i="160"/>
  <c r="BN5" i="160"/>
  <c r="BL5" i="160"/>
  <c r="BJ5" i="160"/>
  <c r="BH5" i="160"/>
  <c r="BF5" i="160"/>
  <c r="BD5" i="160"/>
  <c r="BB5" i="160"/>
  <c r="AZ5" i="160"/>
  <c r="AX5" i="160"/>
  <c r="AV5" i="160"/>
  <c r="AT5" i="160"/>
  <c r="AR5" i="160"/>
  <c r="AP5" i="160"/>
  <c r="AM5" i="160"/>
  <c r="AK5" i="160"/>
  <c r="AI5" i="160"/>
  <c r="AE5" i="160"/>
  <c r="AC5" i="160"/>
  <c r="AA5" i="160"/>
  <c r="Y5" i="160"/>
  <c r="Q5" i="160"/>
  <c r="BR4" i="160"/>
  <c r="BP4" i="160"/>
  <c r="BN4" i="160"/>
  <c r="BL4" i="160"/>
  <c r="BJ4" i="160"/>
  <c r="BH4" i="160"/>
  <c r="BF4" i="160"/>
  <c r="BD4" i="160"/>
  <c r="BB4" i="160"/>
  <c r="AZ4" i="160"/>
  <c r="AX4" i="160"/>
  <c r="AV4" i="160"/>
  <c r="AT4" i="160"/>
  <c r="AR4" i="160"/>
  <c r="AP4" i="160"/>
  <c r="AM4" i="160"/>
  <c r="AK4" i="160"/>
  <c r="AI4" i="160"/>
  <c r="AE4" i="160"/>
  <c r="AC4" i="160"/>
  <c r="AA4" i="160"/>
  <c r="Y4" i="160"/>
  <c r="G4" i="160"/>
  <c r="BR3" i="160"/>
  <c r="BP3" i="160"/>
  <c r="BN3" i="160"/>
  <c r="BL3" i="160"/>
  <c r="BJ3" i="160"/>
  <c r="BH3" i="160"/>
  <c r="BF3" i="160"/>
  <c r="BD3" i="160"/>
  <c r="BB3" i="160"/>
  <c r="AZ3" i="160"/>
  <c r="AX3" i="160"/>
  <c r="AV3" i="160"/>
  <c r="AT3" i="160"/>
  <c r="AR3" i="160"/>
  <c r="AP3" i="160"/>
  <c r="AM3" i="160"/>
  <c r="AK3" i="160"/>
  <c r="AI3" i="160"/>
  <c r="AE3" i="160"/>
  <c r="AC3" i="160"/>
  <c r="AA3" i="160"/>
  <c r="Y3" i="160"/>
  <c r="E3" i="160"/>
  <c r="C3" i="160" s="1"/>
  <c r="BR2" i="160"/>
  <c r="BP2" i="160"/>
  <c r="BN2" i="160"/>
  <c r="BL2" i="160"/>
  <c r="BJ2" i="160"/>
  <c r="BH2" i="160"/>
  <c r="BF2" i="160"/>
  <c r="BD2" i="160"/>
  <c r="BB2" i="160"/>
  <c r="AZ2" i="160"/>
  <c r="AX2" i="160"/>
  <c r="AV2" i="160"/>
  <c r="AT2" i="160"/>
  <c r="AR2" i="160"/>
  <c r="AP2" i="160"/>
  <c r="AM2" i="160"/>
  <c r="AK2" i="160"/>
  <c r="AI2" i="160"/>
  <c r="AE2" i="160"/>
  <c r="AC2" i="160"/>
  <c r="AA2" i="160"/>
  <c r="Y2" i="160"/>
  <c r="E2" i="160"/>
  <c r="C2" i="160"/>
  <c r="G1" i="160"/>
  <c r="G84" i="156" a="1"/>
  <c r="G84" i="156"/>
  <c r="G81" i="156" a="1"/>
  <c r="G81" i="156"/>
  <c r="F73" i="156"/>
  <c r="F74" i="156" s="1"/>
  <c r="G70" i="156"/>
  <c r="G68" i="156"/>
  <c r="G69" i="156" s="1"/>
  <c r="G67" i="156"/>
  <c r="J62" i="156" s="1"/>
  <c r="K18" i="156" s="1"/>
  <c r="J64" i="156"/>
  <c r="I64" i="156"/>
  <c r="H64" i="156"/>
  <c r="I20" i="156" s="1"/>
  <c r="J63" i="156"/>
  <c r="K19" i="156" s="1"/>
  <c r="I63" i="156"/>
  <c r="M19" i="156" s="1"/>
  <c r="H63" i="156"/>
  <c r="I62" i="156"/>
  <c r="H62" i="156"/>
  <c r="I18" i="156" s="1"/>
  <c r="G62" i="156"/>
  <c r="G4" i="156" s="1"/>
  <c r="E4" i="156" s="1"/>
  <c r="C4" i="156" s="1"/>
  <c r="J61" i="156"/>
  <c r="I61" i="156"/>
  <c r="K5" i="156" s="1"/>
  <c r="H61" i="156"/>
  <c r="I4" i="156" s="1"/>
  <c r="G61" i="156"/>
  <c r="E55" i="156"/>
  <c r="CB54" i="156"/>
  <c r="BZ54" i="156"/>
  <c r="BX54" i="156"/>
  <c r="BV54" i="156"/>
  <c r="BT54" i="156"/>
  <c r="BR54" i="156"/>
  <c r="BP54" i="156"/>
  <c r="BN54" i="156"/>
  <c r="BL54" i="156"/>
  <c r="BJ54" i="156"/>
  <c r="BH54" i="156"/>
  <c r="BF54" i="156"/>
  <c r="BD54" i="156"/>
  <c r="BB54" i="156"/>
  <c r="AZ54" i="156"/>
  <c r="AX54" i="156"/>
  <c r="AV54" i="156"/>
  <c r="AT54" i="156"/>
  <c r="AR54" i="156"/>
  <c r="AP54" i="156"/>
  <c r="AN54" i="156"/>
  <c r="AL54" i="156"/>
  <c r="AJ54" i="156"/>
  <c r="G54" i="156"/>
  <c r="E54" i="156" s="1"/>
  <c r="C54" i="156" s="1"/>
  <c r="CB53" i="156"/>
  <c r="BZ53" i="156"/>
  <c r="BX53" i="156"/>
  <c r="BV53" i="156"/>
  <c r="BT53" i="156"/>
  <c r="BR53" i="156"/>
  <c r="BP53" i="156"/>
  <c r="BN53" i="156"/>
  <c r="BL53" i="156"/>
  <c r="BJ53" i="156"/>
  <c r="BH53" i="156"/>
  <c r="BF53" i="156"/>
  <c r="BD53" i="156"/>
  <c r="BB53" i="156"/>
  <c r="AZ53" i="156"/>
  <c r="AX53" i="156"/>
  <c r="AV53" i="156"/>
  <c r="AT53" i="156"/>
  <c r="AR53" i="156"/>
  <c r="AP53" i="156"/>
  <c r="AN53" i="156"/>
  <c r="AL53" i="156"/>
  <c r="AJ53" i="156"/>
  <c r="CB52" i="156"/>
  <c r="BZ52" i="156"/>
  <c r="BX52" i="156"/>
  <c r="BV52" i="156"/>
  <c r="BT52" i="156"/>
  <c r="BR52" i="156"/>
  <c r="BP52" i="156"/>
  <c r="BN52" i="156"/>
  <c r="BL52" i="156"/>
  <c r="BJ52" i="156"/>
  <c r="BH52" i="156"/>
  <c r="BF52" i="156"/>
  <c r="BD52" i="156"/>
  <c r="BB52" i="156"/>
  <c r="AZ52" i="156"/>
  <c r="AX52" i="156"/>
  <c r="AV52" i="156"/>
  <c r="AT52" i="156"/>
  <c r="AR52" i="156"/>
  <c r="AP52" i="156"/>
  <c r="AN52" i="156"/>
  <c r="AL52" i="156"/>
  <c r="AJ52" i="156"/>
  <c r="I52" i="156"/>
  <c r="E52" i="156"/>
  <c r="C52" i="156" s="1"/>
  <c r="CB51" i="156"/>
  <c r="BZ51" i="156"/>
  <c r="BX51" i="156"/>
  <c r="BV51" i="156"/>
  <c r="BT51" i="156"/>
  <c r="BR51" i="156"/>
  <c r="BP51" i="156"/>
  <c r="BN51" i="156"/>
  <c r="BL51" i="156"/>
  <c r="BJ51" i="156"/>
  <c r="BH51" i="156"/>
  <c r="BF51" i="156"/>
  <c r="BD51" i="156"/>
  <c r="BB51" i="156"/>
  <c r="AZ51" i="156"/>
  <c r="AX51" i="156"/>
  <c r="AV51" i="156"/>
  <c r="AT51" i="156"/>
  <c r="AR51" i="156"/>
  <c r="AP51" i="156"/>
  <c r="AN51" i="156"/>
  <c r="AL51" i="156"/>
  <c r="AJ51" i="156"/>
  <c r="CB50" i="156"/>
  <c r="BZ50" i="156"/>
  <c r="BX50" i="156"/>
  <c r="BV50" i="156"/>
  <c r="BT50" i="156"/>
  <c r="BR50" i="156"/>
  <c r="BP50" i="156"/>
  <c r="BN50" i="156"/>
  <c r="BL50" i="156"/>
  <c r="BJ50" i="156"/>
  <c r="BH50" i="156"/>
  <c r="BF50" i="156"/>
  <c r="BD50" i="156"/>
  <c r="BB50" i="156"/>
  <c r="AZ50" i="156"/>
  <c r="AX50" i="156"/>
  <c r="AV50" i="156"/>
  <c r="AT50" i="156"/>
  <c r="AR50" i="156"/>
  <c r="AP50" i="156"/>
  <c r="AN50" i="156"/>
  <c r="AL50" i="156"/>
  <c r="AJ50" i="156"/>
  <c r="G50" i="156"/>
  <c r="E50" i="156" s="1"/>
  <c r="C50" i="156" s="1"/>
  <c r="CB49" i="156"/>
  <c r="BZ49" i="156"/>
  <c r="BX49" i="156"/>
  <c r="BV49" i="156"/>
  <c r="BT49" i="156"/>
  <c r="BR49" i="156"/>
  <c r="BP49" i="156"/>
  <c r="BN49" i="156"/>
  <c r="BL49" i="156"/>
  <c r="BJ49" i="156"/>
  <c r="BH49" i="156"/>
  <c r="BF49" i="156"/>
  <c r="BD49" i="156"/>
  <c r="BB49" i="156"/>
  <c r="AZ49" i="156"/>
  <c r="AX49" i="156"/>
  <c r="AV49" i="156"/>
  <c r="AT49" i="156"/>
  <c r="AR49" i="156"/>
  <c r="AP49" i="156"/>
  <c r="AN49" i="156"/>
  <c r="AL49" i="156"/>
  <c r="AJ49" i="156"/>
  <c r="E49" i="156"/>
  <c r="C49" i="156" s="1"/>
  <c r="CB48" i="156"/>
  <c r="BZ48" i="156"/>
  <c r="BX48" i="156"/>
  <c r="BV48" i="156"/>
  <c r="BT48" i="156"/>
  <c r="BR48" i="156"/>
  <c r="BP48" i="156"/>
  <c r="BN48" i="156"/>
  <c r="BL48" i="156"/>
  <c r="BJ48" i="156"/>
  <c r="BH48" i="156"/>
  <c r="BF48" i="156"/>
  <c r="BD48" i="156"/>
  <c r="BB48" i="156"/>
  <c r="AZ48" i="156"/>
  <c r="AX48" i="156"/>
  <c r="AV48" i="156"/>
  <c r="AT48" i="156"/>
  <c r="AR48" i="156"/>
  <c r="AP48" i="156"/>
  <c r="AN48" i="156"/>
  <c r="AL48" i="156"/>
  <c r="AJ48" i="156"/>
  <c r="G48" i="156"/>
  <c r="E48" i="156" s="1"/>
  <c r="C48" i="156" s="1"/>
  <c r="CR47" i="156"/>
  <c r="CP47" i="156"/>
  <c r="CN47" i="156"/>
  <c r="CL47" i="156"/>
  <c r="CJ47" i="156"/>
  <c r="CH47" i="156"/>
  <c r="CF47" i="156"/>
  <c r="CD47" i="156"/>
  <c r="CB47" i="156"/>
  <c r="BZ47" i="156"/>
  <c r="BX47" i="156"/>
  <c r="BV47" i="156"/>
  <c r="BT47" i="156"/>
  <c r="BR47" i="156"/>
  <c r="BP47" i="156"/>
  <c r="BN47" i="156"/>
  <c r="BL47" i="156"/>
  <c r="BJ47" i="156"/>
  <c r="BH47" i="156"/>
  <c r="BF47" i="156"/>
  <c r="BD47" i="156"/>
  <c r="BB47" i="156"/>
  <c r="AZ47" i="156"/>
  <c r="AX47" i="156"/>
  <c r="AV47" i="156"/>
  <c r="AT47" i="156"/>
  <c r="AR47" i="156"/>
  <c r="AP47" i="156"/>
  <c r="AN47" i="156"/>
  <c r="AL47" i="156"/>
  <c r="AJ47" i="156"/>
  <c r="E47" i="156"/>
  <c r="C47" i="156"/>
  <c r="CR46" i="156"/>
  <c r="CP46" i="156"/>
  <c r="CN46" i="156"/>
  <c r="CL46" i="156"/>
  <c r="CJ46" i="156"/>
  <c r="CH46" i="156"/>
  <c r="CF46" i="156"/>
  <c r="CD46" i="156"/>
  <c r="CB46" i="156"/>
  <c r="BZ46" i="156"/>
  <c r="BX46" i="156"/>
  <c r="BV46" i="156"/>
  <c r="BT46" i="156"/>
  <c r="BR46" i="156"/>
  <c r="BP46" i="156"/>
  <c r="BN46" i="156"/>
  <c r="BL46" i="156"/>
  <c r="BJ46" i="156"/>
  <c r="BH46" i="156"/>
  <c r="BF46" i="156"/>
  <c r="BD46" i="156"/>
  <c r="BB46" i="156"/>
  <c r="AZ46" i="156"/>
  <c r="AX46" i="156"/>
  <c r="AV46" i="156"/>
  <c r="AT46" i="156"/>
  <c r="AR46" i="156"/>
  <c r="AP46" i="156"/>
  <c r="AN46" i="156"/>
  <c r="AL46" i="156"/>
  <c r="AJ46" i="156"/>
  <c r="CR45" i="156"/>
  <c r="CP45" i="156"/>
  <c r="CN45" i="156"/>
  <c r="CL45" i="156"/>
  <c r="CJ45" i="156"/>
  <c r="CH45" i="156"/>
  <c r="CF45" i="156"/>
  <c r="CD45" i="156"/>
  <c r="CB45" i="156"/>
  <c r="BZ45" i="156"/>
  <c r="BX45" i="156"/>
  <c r="BV45" i="156"/>
  <c r="BT45" i="156"/>
  <c r="BR45" i="156"/>
  <c r="BP45" i="156"/>
  <c r="BN45" i="156"/>
  <c r="BL45" i="156"/>
  <c r="BJ45" i="156"/>
  <c r="BH45" i="156"/>
  <c r="BF45" i="156"/>
  <c r="BD45" i="156"/>
  <c r="BB45" i="156"/>
  <c r="AZ45" i="156"/>
  <c r="AX45" i="156"/>
  <c r="AV45" i="156"/>
  <c r="AT45" i="156"/>
  <c r="AR45" i="156"/>
  <c r="AP45" i="156"/>
  <c r="AN45" i="156"/>
  <c r="AL45" i="156"/>
  <c r="AJ45" i="156"/>
  <c r="CR44" i="156"/>
  <c r="CP44" i="156"/>
  <c r="CN44" i="156"/>
  <c r="CL44" i="156"/>
  <c r="CJ44" i="156"/>
  <c r="CH44" i="156"/>
  <c r="CF44" i="156"/>
  <c r="CD44" i="156"/>
  <c r="CB44" i="156"/>
  <c r="BZ44" i="156"/>
  <c r="BX44" i="156"/>
  <c r="BV44" i="156"/>
  <c r="BT44" i="156"/>
  <c r="BR44" i="156"/>
  <c r="BP44" i="156"/>
  <c r="BN44" i="156"/>
  <c r="BL44" i="156"/>
  <c r="BJ44" i="156"/>
  <c r="BH44" i="156"/>
  <c r="BF44" i="156"/>
  <c r="BD44" i="156"/>
  <c r="BB44" i="156"/>
  <c r="AZ44" i="156"/>
  <c r="AX44" i="156"/>
  <c r="AV44" i="156"/>
  <c r="AT44" i="156"/>
  <c r="AR44" i="156"/>
  <c r="AP44" i="156"/>
  <c r="AN44" i="156"/>
  <c r="AL44" i="156"/>
  <c r="AJ44" i="156"/>
  <c r="CR43" i="156"/>
  <c r="CP43" i="156"/>
  <c r="CN43" i="156"/>
  <c r="CL43" i="156"/>
  <c r="CJ43" i="156"/>
  <c r="CH43" i="156"/>
  <c r="CF43" i="156"/>
  <c r="CD43" i="156"/>
  <c r="CB43" i="156"/>
  <c r="BZ43" i="156"/>
  <c r="BX43" i="156"/>
  <c r="BV43" i="156"/>
  <c r="BT43" i="156"/>
  <c r="BR43" i="156"/>
  <c r="BP43" i="156"/>
  <c r="BN43" i="156"/>
  <c r="BL43" i="156"/>
  <c r="BJ43" i="156"/>
  <c r="BH43" i="156"/>
  <c r="BF43" i="156"/>
  <c r="BD43" i="156"/>
  <c r="BB43" i="156"/>
  <c r="AZ43" i="156"/>
  <c r="AX43" i="156"/>
  <c r="AV43" i="156"/>
  <c r="AT43" i="156"/>
  <c r="AR43" i="156"/>
  <c r="AP43" i="156"/>
  <c r="AN43" i="156"/>
  <c r="AL43" i="156"/>
  <c r="AJ43" i="156"/>
  <c r="O43" i="156"/>
  <c r="M43" i="156"/>
  <c r="K43" i="156"/>
  <c r="CR42" i="156"/>
  <c r="CP42" i="156"/>
  <c r="CN42" i="156"/>
  <c r="CL42" i="156"/>
  <c r="CJ42" i="156"/>
  <c r="CH42" i="156"/>
  <c r="CF42" i="156"/>
  <c r="CD42" i="156"/>
  <c r="CB42" i="156"/>
  <c r="BZ42" i="156"/>
  <c r="BX42" i="156"/>
  <c r="BV42" i="156"/>
  <c r="BT42" i="156"/>
  <c r="BR42" i="156"/>
  <c r="BP42" i="156"/>
  <c r="BN42" i="156"/>
  <c r="BL42" i="156"/>
  <c r="BJ42" i="156"/>
  <c r="BH42" i="156"/>
  <c r="BF42" i="156"/>
  <c r="BD42" i="156"/>
  <c r="BB42" i="156"/>
  <c r="AZ42" i="156"/>
  <c r="AX42" i="156"/>
  <c r="AV42" i="156"/>
  <c r="AT42" i="156"/>
  <c r="AR42" i="156"/>
  <c r="AP42" i="156"/>
  <c r="AN42" i="156"/>
  <c r="AL42" i="156"/>
  <c r="AJ42" i="156"/>
  <c r="M42" i="156"/>
  <c r="K42" i="156"/>
  <c r="CR41" i="156"/>
  <c r="CP41" i="156"/>
  <c r="CN41" i="156"/>
  <c r="CL41" i="156"/>
  <c r="CJ41" i="156"/>
  <c r="CH41" i="156"/>
  <c r="CF41" i="156"/>
  <c r="CD41" i="156"/>
  <c r="CB41" i="156"/>
  <c r="BZ41" i="156"/>
  <c r="BX41" i="156"/>
  <c r="BV41" i="156"/>
  <c r="BT41" i="156"/>
  <c r="BR41" i="156"/>
  <c r="BP41" i="156"/>
  <c r="BN41" i="156"/>
  <c r="BL41" i="156"/>
  <c r="BJ41" i="156"/>
  <c r="BH41" i="156"/>
  <c r="BF41" i="156"/>
  <c r="BD41" i="156"/>
  <c r="BB41" i="156"/>
  <c r="AZ41" i="156"/>
  <c r="AX41" i="156"/>
  <c r="AV41" i="156"/>
  <c r="AT41" i="156"/>
  <c r="AR41" i="156"/>
  <c r="AP41" i="156"/>
  <c r="AN41" i="156"/>
  <c r="AL41" i="156"/>
  <c r="AJ41" i="156"/>
  <c r="CR40" i="156"/>
  <c r="CP40" i="156"/>
  <c r="CN40" i="156"/>
  <c r="CL40" i="156"/>
  <c r="CJ40" i="156"/>
  <c r="CH40" i="156"/>
  <c r="CF40" i="156"/>
  <c r="CD40" i="156"/>
  <c r="CB40" i="156"/>
  <c r="BZ40" i="156"/>
  <c r="BX40" i="156"/>
  <c r="BV40" i="156"/>
  <c r="BT40" i="156"/>
  <c r="BR40" i="156"/>
  <c r="BP40" i="156"/>
  <c r="BN40" i="156"/>
  <c r="BL40" i="156"/>
  <c r="BJ40" i="156"/>
  <c r="BH40" i="156"/>
  <c r="BF40" i="156"/>
  <c r="BD40" i="156"/>
  <c r="BB40" i="156"/>
  <c r="AZ40" i="156"/>
  <c r="AX40" i="156"/>
  <c r="AV40" i="156"/>
  <c r="AT40" i="156"/>
  <c r="AR40" i="156"/>
  <c r="AP40" i="156"/>
  <c r="AN40" i="156"/>
  <c r="AL40" i="156"/>
  <c r="AJ40" i="156"/>
  <c r="CR39" i="156"/>
  <c r="CP39" i="156"/>
  <c r="CN39" i="156"/>
  <c r="CL39" i="156"/>
  <c r="CJ39" i="156"/>
  <c r="CH39" i="156"/>
  <c r="CF39" i="156"/>
  <c r="CD39" i="156"/>
  <c r="CB39" i="156"/>
  <c r="BZ39" i="156"/>
  <c r="BX39" i="156"/>
  <c r="BV39" i="156"/>
  <c r="BT39" i="156"/>
  <c r="BR39" i="156"/>
  <c r="BP39" i="156"/>
  <c r="BN39" i="156"/>
  <c r="BL39" i="156"/>
  <c r="BJ39" i="156"/>
  <c r="BH39" i="156"/>
  <c r="BF39" i="156"/>
  <c r="BD39" i="156"/>
  <c r="BB39" i="156"/>
  <c r="AZ39" i="156"/>
  <c r="AX39" i="156"/>
  <c r="AV39" i="156"/>
  <c r="AT39" i="156"/>
  <c r="AR39" i="156"/>
  <c r="AP39" i="156"/>
  <c r="AN39" i="156"/>
  <c r="AL39" i="156"/>
  <c r="AJ39" i="156"/>
  <c r="CR38" i="156"/>
  <c r="CP38" i="156"/>
  <c r="CN38" i="156"/>
  <c r="CL38" i="156"/>
  <c r="CJ38" i="156"/>
  <c r="CH38" i="156"/>
  <c r="CF38" i="156"/>
  <c r="CD38" i="156"/>
  <c r="CB38" i="156"/>
  <c r="BZ38" i="156"/>
  <c r="BX38" i="156"/>
  <c r="BV38" i="156"/>
  <c r="BT38" i="156"/>
  <c r="BR38" i="156"/>
  <c r="BP38" i="156"/>
  <c r="BN38" i="156"/>
  <c r="BL38" i="156"/>
  <c r="BJ38" i="156"/>
  <c r="BH38" i="156"/>
  <c r="BF38" i="156"/>
  <c r="BD38" i="156"/>
  <c r="BB38" i="156"/>
  <c r="AZ38" i="156"/>
  <c r="AX38" i="156"/>
  <c r="AV38" i="156"/>
  <c r="AT38" i="156"/>
  <c r="AR38" i="156"/>
  <c r="AP38" i="156"/>
  <c r="AN38" i="156"/>
  <c r="AL38" i="156"/>
  <c r="AJ38" i="156"/>
  <c r="E38" i="156"/>
  <c r="C38" i="156"/>
  <c r="CR37" i="156"/>
  <c r="CP37" i="156"/>
  <c r="CN37" i="156"/>
  <c r="CL37" i="156"/>
  <c r="CJ37" i="156"/>
  <c r="CH37" i="156"/>
  <c r="CF37" i="156"/>
  <c r="CD37" i="156"/>
  <c r="CB37" i="156"/>
  <c r="BZ37" i="156"/>
  <c r="BX37" i="156"/>
  <c r="BV37" i="156"/>
  <c r="BT37" i="156"/>
  <c r="BR37" i="156"/>
  <c r="BP37" i="156"/>
  <c r="BN37" i="156"/>
  <c r="BL37" i="156"/>
  <c r="BJ37" i="156"/>
  <c r="BH37" i="156"/>
  <c r="BF37" i="156"/>
  <c r="BD37" i="156"/>
  <c r="BB37" i="156"/>
  <c r="AZ37" i="156"/>
  <c r="AX37" i="156"/>
  <c r="AV37" i="156"/>
  <c r="AT37" i="156"/>
  <c r="AR37" i="156"/>
  <c r="AP37" i="156"/>
  <c r="AN37" i="156"/>
  <c r="AL37" i="156"/>
  <c r="AJ37" i="156"/>
  <c r="CR36" i="156"/>
  <c r="CP36" i="156"/>
  <c r="CN36" i="156"/>
  <c r="CL36" i="156"/>
  <c r="CJ36" i="156"/>
  <c r="CH36" i="156"/>
  <c r="CF36" i="156"/>
  <c r="CD36" i="156"/>
  <c r="CB36" i="156"/>
  <c r="BZ36" i="156"/>
  <c r="BX36" i="156"/>
  <c r="BV36" i="156"/>
  <c r="BT36" i="156"/>
  <c r="BR36" i="156"/>
  <c r="BP36" i="156"/>
  <c r="BN36" i="156"/>
  <c r="BL36" i="156"/>
  <c r="BJ36" i="156"/>
  <c r="BH36" i="156"/>
  <c r="BF36" i="156"/>
  <c r="BD36" i="156"/>
  <c r="BB36" i="156"/>
  <c r="AZ36" i="156"/>
  <c r="AX36" i="156"/>
  <c r="AV36" i="156"/>
  <c r="AT36" i="156"/>
  <c r="AR36" i="156"/>
  <c r="AP36" i="156"/>
  <c r="AN36" i="156"/>
  <c r="AL36" i="156"/>
  <c r="AJ36" i="156"/>
  <c r="E36" i="156"/>
  <c r="C36" i="156" s="1"/>
  <c r="CR35" i="156"/>
  <c r="CP35" i="156"/>
  <c r="CN35" i="156"/>
  <c r="CL35" i="156"/>
  <c r="CJ35" i="156"/>
  <c r="CH35" i="156"/>
  <c r="CF35" i="156"/>
  <c r="CD35" i="156"/>
  <c r="CB35" i="156"/>
  <c r="BZ35" i="156"/>
  <c r="BX35" i="156"/>
  <c r="BV35" i="156"/>
  <c r="BT35" i="156"/>
  <c r="BR35" i="156"/>
  <c r="BP35" i="156"/>
  <c r="BN35" i="156"/>
  <c r="BL35" i="156"/>
  <c r="BJ35" i="156"/>
  <c r="BH35" i="156"/>
  <c r="BF35" i="156"/>
  <c r="BD35" i="156"/>
  <c r="BB35" i="156"/>
  <c r="AZ35" i="156"/>
  <c r="AX35" i="156"/>
  <c r="AV35" i="156"/>
  <c r="AT35" i="156"/>
  <c r="AR35" i="156"/>
  <c r="AP35" i="156"/>
  <c r="AN35" i="156"/>
  <c r="AL35" i="156"/>
  <c r="AJ35" i="156"/>
  <c r="CR34" i="156"/>
  <c r="CP34" i="156"/>
  <c r="CN34" i="156"/>
  <c r="CL34" i="156"/>
  <c r="CJ34" i="156"/>
  <c r="CH34" i="156"/>
  <c r="CF34" i="156"/>
  <c r="CD34" i="156"/>
  <c r="CB34" i="156"/>
  <c r="BZ34" i="156"/>
  <c r="BX34" i="156"/>
  <c r="BV34" i="156"/>
  <c r="BT34" i="156"/>
  <c r="BR34" i="156"/>
  <c r="BP34" i="156"/>
  <c r="BN34" i="156"/>
  <c r="BL34" i="156"/>
  <c r="BJ34" i="156"/>
  <c r="BH34" i="156"/>
  <c r="BF34" i="156"/>
  <c r="BD34" i="156"/>
  <c r="BB34" i="156"/>
  <c r="AZ34" i="156"/>
  <c r="AX34" i="156"/>
  <c r="AV34" i="156"/>
  <c r="AT34" i="156"/>
  <c r="AR34" i="156"/>
  <c r="AP34" i="156"/>
  <c r="AN34" i="156"/>
  <c r="AL34" i="156"/>
  <c r="AJ34" i="156"/>
  <c r="E34" i="156"/>
  <c r="C34" i="156" s="1"/>
  <c r="CR33" i="156"/>
  <c r="CP33" i="156"/>
  <c r="CN33" i="156"/>
  <c r="CL33" i="156"/>
  <c r="CJ33" i="156"/>
  <c r="CH33" i="156"/>
  <c r="CF33" i="156"/>
  <c r="CD33" i="156"/>
  <c r="CB33" i="156"/>
  <c r="BZ33" i="156"/>
  <c r="BX33" i="156"/>
  <c r="BV33" i="156"/>
  <c r="BT33" i="156"/>
  <c r="BR33" i="156"/>
  <c r="BP33" i="156"/>
  <c r="BN33" i="156"/>
  <c r="BL33" i="156"/>
  <c r="BJ33" i="156"/>
  <c r="BH33" i="156"/>
  <c r="BF33" i="156"/>
  <c r="BD33" i="156"/>
  <c r="BB33" i="156"/>
  <c r="AZ33" i="156"/>
  <c r="AX33" i="156"/>
  <c r="AV33" i="156"/>
  <c r="AT33" i="156"/>
  <c r="AR33" i="156"/>
  <c r="AP33" i="156"/>
  <c r="AN33" i="156"/>
  <c r="AL33" i="156"/>
  <c r="AJ33" i="156"/>
  <c r="E33" i="156"/>
  <c r="C33" i="156" s="1"/>
  <c r="CR32" i="156"/>
  <c r="CP32" i="156"/>
  <c r="CN32" i="156"/>
  <c r="CL32" i="156"/>
  <c r="CJ32" i="156"/>
  <c r="CH32" i="156"/>
  <c r="CF32" i="156"/>
  <c r="CD32" i="156"/>
  <c r="CB32" i="156"/>
  <c r="BZ32" i="156"/>
  <c r="BX32" i="156"/>
  <c r="BV32" i="156"/>
  <c r="BT32" i="156"/>
  <c r="BR32" i="156"/>
  <c r="BP32" i="156"/>
  <c r="BN32" i="156"/>
  <c r="BL32" i="156"/>
  <c r="BJ32" i="156"/>
  <c r="BH32" i="156"/>
  <c r="BF32" i="156"/>
  <c r="BD32" i="156"/>
  <c r="BB32" i="156"/>
  <c r="AZ32" i="156"/>
  <c r="AX32" i="156"/>
  <c r="AV32" i="156"/>
  <c r="AT32" i="156"/>
  <c r="AR32" i="156"/>
  <c r="AP32" i="156"/>
  <c r="AN32" i="156"/>
  <c r="AL32" i="156"/>
  <c r="AJ32" i="156"/>
  <c r="I32" i="156"/>
  <c r="G32" i="156"/>
  <c r="CR31" i="156"/>
  <c r="CP31" i="156"/>
  <c r="CN31" i="156"/>
  <c r="CL31" i="156"/>
  <c r="CJ31" i="156"/>
  <c r="CH31" i="156"/>
  <c r="CF31" i="156"/>
  <c r="CD31" i="156"/>
  <c r="CB31" i="156"/>
  <c r="BZ31" i="156"/>
  <c r="BX31" i="156"/>
  <c r="BV31" i="156"/>
  <c r="BT31" i="156"/>
  <c r="BR31" i="156"/>
  <c r="BP31" i="156"/>
  <c r="BN31" i="156"/>
  <c r="BL31" i="156"/>
  <c r="BI31" i="156"/>
  <c r="BG31" i="156"/>
  <c r="BE31" i="156"/>
  <c r="BC31" i="156"/>
  <c r="AY31" i="156"/>
  <c r="AW31" i="156"/>
  <c r="AU31" i="156"/>
  <c r="AS31" i="156"/>
  <c r="AQ31" i="156"/>
  <c r="AO31" i="156"/>
  <c r="AM31" i="156"/>
  <c r="CR30" i="156"/>
  <c r="CP30" i="156"/>
  <c r="CN30" i="156"/>
  <c r="CL30" i="156"/>
  <c r="CJ30" i="156"/>
  <c r="CH30" i="156"/>
  <c r="CF30" i="156"/>
  <c r="CD30" i="156"/>
  <c r="CB30" i="156"/>
  <c r="BZ30" i="156"/>
  <c r="BX30" i="156"/>
  <c r="BV30" i="156"/>
  <c r="BT30" i="156"/>
  <c r="BR30" i="156"/>
  <c r="BP30" i="156"/>
  <c r="BN30" i="156"/>
  <c r="BL30" i="156"/>
  <c r="BJ30" i="156"/>
  <c r="BH30" i="156"/>
  <c r="BF30" i="156"/>
  <c r="BD30" i="156"/>
  <c r="BB30" i="156"/>
  <c r="AZ30" i="156"/>
  <c r="AX30" i="156"/>
  <c r="AV30" i="156"/>
  <c r="AT30" i="156"/>
  <c r="AR30" i="156"/>
  <c r="AP30" i="156"/>
  <c r="AN30" i="156"/>
  <c r="AL30" i="156"/>
  <c r="AJ30" i="156"/>
  <c r="K30" i="156"/>
  <c r="I30" i="156"/>
  <c r="CR29" i="156"/>
  <c r="CP29" i="156"/>
  <c r="CN29" i="156"/>
  <c r="CL29" i="156"/>
  <c r="CJ29" i="156"/>
  <c r="CH29" i="156"/>
  <c r="CF29" i="156"/>
  <c r="CD29" i="156"/>
  <c r="CB29" i="156"/>
  <c r="BZ29" i="156"/>
  <c r="BX29" i="156"/>
  <c r="BV29" i="156"/>
  <c r="BT29" i="156"/>
  <c r="BR29" i="156"/>
  <c r="BP29" i="156"/>
  <c r="BN29" i="156"/>
  <c r="BL29" i="156"/>
  <c r="BI29" i="156"/>
  <c r="BG29" i="156"/>
  <c r="BE29" i="156"/>
  <c r="BC29" i="156"/>
  <c r="AY29" i="156"/>
  <c r="AW29" i="156"/>
  <c r="AU29" i="156"/>
  <c r="AS29" i="156"/>
  <c r="AQ29" i="156"/>
  <c r="AO29" i="156"/>
  <c r="AM29" i="156"/>
  <c r="CR28" i="156"/>
  <c r="CP28" i="156"/>
  <c r="CN28" i="156"/>
  <c r="CL28" i="156"/>
  <c r="CJ28" i="156"/>
  <c r="CH28" i="156"/>
  <c r="CF28" i="156"/>
  <c r="CD28" i="156"/>
  <c r="CB28" i="156"/>
  <c r="BZ28" i="156"/>
  <c r="BX28" i="156"/>
  <c r="BV28" i="156"/>
  <c r="BT28" i="156"/>
  <c r="BR28" i="156"/>
  <c r="BP28" i="156"/>
  <c r="BN28" i="156"/>
  <c r="BL28" i="156"/>
  <c r="BJ28" i="156"/>
  <c r="BH28" i="156"/>
  <c r="BF28" i="156"/>
  <c r="BD28" i="156"/>
  <c r="BB28" i="156"/>
  <c r="AZ28" i="156"/>
  <c r="AX28" i="156"/>
  <c r="AV28" i="156"/>
  <c r="AT28" i="156"/>
  <c r="AR28" i="156"/>
  <c r="AP28" i="156"/>
  <c r="AN28" i="156"/>
  <c r="AL28" i="156"/>
  <c r="AJ28" i="156"/>
  <c r="K28" i="156"/>
  <c r="G28" i="156"/>
  <c r="CR27" i="156"/>
  <c r="CP27" i="156"/>
  <c r="CN27" i="156"/>
  <c r="CL27" i="156"/>
  <c r="CJ27" i="156"/>
  <c r="CH27" i="156"/>
  <c r="CF27" i="156"/>
  <c r="CD27" i="156"/>
  <c r="CB27" i="156"/>
  <c r="BZ27" i="156"/>
  <c r="BX27" i="156"/>
  <c r="BV27" i="156"/>
  <c r="BT27" i="156"/>
  <c r="BR27" i="156"/>
  <c r="BP27" i="156"/>
  <c r="BN27" i="156"/>
  <c r="BL27" i="156"/>
  <c r="BI27" i="156"/>
  <c r="BG27" i="156"/>
  <c r="BE27" i="156"/>
  <c r="BC27" i="156"/>
  <c r="AY27" i="156"/>
  <c r="AW27" i="156"/>
  <c r="AU27" i="156"/>
  <c r="AS27" i="156"/>
  <c r="AQ27" i="156"/>
  <c r="AO27" i="156"/>
  <c r="AM27" i="156"/>
  <c r="CR26" i="156"/>
  <c r="CP26" i="156"/>
  <c r="CN26" i="156"/>
  <c r="CL26" i="156"/>
  <c r="CJ26" i="156"/>
  <c r="CH26" i="156"/>
  <c r="CF26" i="156"/>
  <c r="CD26" i="156"/>
  <c r="CB26" i="156"/>
  <c r="BZ26" i="156"/>
  <c r="BX26" i="156"/>
  <c r="BV26" i="156"/>
  <c r="BT26" i="156"/>
  <c r="BR26" i="156"/>
  <c r="BP26" i="156"/>
  <c r="BN26" i="156"/>
  <c r="BL26" i="156"/>
  <c r="BJ26" i="156"/>
  <c r="BH26" i="156"/>
  <c r="BF26" i="156"/>
  <c r="BD26" i="156"/>
  <c r="BB26" i="156"/>
  <c r="AZ26" i="156"/>
  <c r="AX26" i="156"/>
  <c r="AV26" i="156"/>
  <c r="AT26" i="156"/>
  <c r="AR26" i="156"/>
  <c r="AP26" i="156"/>
  <c r="AN26" i="156"/>
  <c r="AL26" i="156"/>
  <c r="AJ26" i="156"/>
  <c r="CR25" i="156"/>
  <c r="CP25" i="156"/>
  <c r="CN25" i="156"/>
  <c r="CL25" i="156"/>
  <c r="CJ25" i="156"/>
  <c r="CH25" i="156"/>
  <c r="CF25" i="156"/>
  <c r="CD25" i="156"/>
  <c r="CB25" i="156"/>
  <c r="BZ25" i="156"/>
  <c r="BX25" i="156"/>
  <c r="BV25" i="156"/>
  <c r="BT25" i="156"/>
  <c r="BR25" i="156"/>
  <c r="BP25" i="156"/>
  <c r="BN25" i="156"/>
  <c r="BL25" i="156"/>
  <c r="BJ25" i="156"/>
  <c r="BH25" i="156"/>
  <c r="BF25" i="156"/>
  <c r="BD25" i="156"/>
  <c r="BB25" i="156"/>
  <c r="AZ25" i="156"/>
  <c r="AX25" i="156"/>
  <c r="AV25" i="156"/>
  <c r="AT25" i="156"/>
  <c r="AR25" i="156"/>
  <c r="AP25" i="156"/>
  <c r="AN25" i="156"/>
  <c r="AL25" i="156"/>
  <c r="AJ25" i="156"/>
  <c r="Q25" i="156"/>
  <c r="O25" i="156"/>
  <c r="CT24" i="156"/>
  <c r="CR24" i="156"/>
  <c r="CP24" i="156"/>
  <c r="CN24" i="156"/>
  <c r="CL24" i="156"/>
  <c r="CJ24" i="156"/>
  <c r="CH24" i="156"/>
  <c r="CF24" i="156"/>
  <c r="CD24" i="156"/>
  <c r="CB24" i="156"/>
  <c r="BZ24" i="156"/>
  <c r="BX24" i="156"/>
  <c r="BV24" i="156"/>
  <c r="BT24" i="156"/>
  <c r="BR24" i="156"/>
  <c r="BP24" i="156"/>
  <c r="BN24" i="156"/>
  <c r="BL24" i="156"/>
  <c r="BI24" i="156"/>
  <c r="BG24" i="156"/>
  <c r="BE24" i="156"/>
  <c r="BC24" i="156"/>
  <c r="AY24" i="156"/>
  <c r="AW24" i="156"/>
  <c r="AU24" i="156"/>
  <c r="AS24" i="156"/>
  <c r="AQ24" i="156"/>
  <c r="AO24" i="156"/>
  <c r="AM24" i="156"/>
  <c r="CR23" i="156"/>
  <c r="CP23" i="156"/>
  <c r="CN23" i="156"/>
  <c r="CL23" i="156"/>
  <c r="CJ23" i="156"/>
  <c r="CH23" i="156"/>
  <c r="CF23" i="156"/>
  <c r="CD23" i="156"/>
  <c r="CB23" i="156"/>
  <c r="BZ23" i="156"/>
  <c r="BX23" i="156"/>
  <c r="BV23" i="156"/>
  <c r="BT23" i="156"/>
  <c r="BR23" i="156"/>
  <c r="BP23" i="156"/>
  <c r="BN23" i="156"/>
  <c r="BL23" i="156"/>
  <c r="BJ23" i="156"/>
  <c r="BH23" i="156"/>
  <c r="BF23" i="156"/>
  <c r="BD23" i="156"/>
  <c r="BB23" i="156"/>
  <c r="AZ23" i="156"/>
  <c r="AX23" i="156"/>
  <c r="AV23" i="156"/>
  <c r="AT23" i="156"/>
  <c r="AR23" i="156"/>
  <c r="AP23" i="156"/>
  <c r="AN23" i="156"/>
  <c r="AL23" i="156"/>
  <c r="AJ23" i="156"/>
  <c r="CR22" i="156"/>
  <c r="CP22" i="156"/>
  <c r="CN22" i="156"/>
  <c r="CL22" i="156"/>
  <c r="CJ22" i="156"/>
  <c r="CH22" i="156"/>
  <c r="CF22" i="156"/>
  <c r="CD22" i="156"/>
  <c r="CB22" i="156"/>
  <c r="BZ22" i="156"/>
  <c r="BX22" i="156"/>
  <c r="BV22" i="156"/>
  <c r="BT22" i="156"/>
  <c r="BR22" i="156"/>
  <c r="BP22" i="156"/>
  <c r="BN22" i="156"/>
  <c r="BL22" i="156"/>
  <c r="BJ22" i="156"/>
  <c r="BH22" i="156"/>
  <c r="BF22" i="156"/>
  <c r="BD22" i="156"/>
  <c r="BB22" i="156"/>
  <c r="AZ22" i="156"/>
  <c r="AX22" i="156"/>
  <c r="AV22" i="156"/>
  <c r="AT22" i="156"/>
  <c r="AR22" i="156"/>
  <c r="AP22" i="156"/>
  <c r="AN22" i="156"/>
  <c r="AL22" i="156"/>
  <c r="AJ22" i="156"/>
  <c r="E22" i="156"/>
  <c r="C22" i="156" s="1"/>
  <c r="CR21" i="156"/>
  <c r="CP21" i="156"/>
  <c r="CN21" i="156"/>
  <c r="CL21" i="156"/>
  <c r="CJ21" i="156"/>
  <c r="CH21" i="156"/>
  <c r="CF21" i="156"/>
  <c r="CD21" i="156"/>
  <c r="CB21" i="156"/>
  <c r="BZ21" i="156"/>
  <c r="BX21" i="156"/>
  <c r="BV21" i="156"/>
  <c r="BT21" i="156"/>
  <c r="BR21" i="156"/>
  <c r="BP21" i="156"/>
  <c r="BN21" i="156"/>
  <c r="BL21" i="156"/>
  <c r="BJ21" i="156"/>
  <c r="BH21" i="156"/>
  <c r="BF21" i="156"/>
  <c r="BD21" i="156"/>
  <c r="BB21" i="156"/>
  <c r="AZ21" i="156"/>
  <c r="AX21" i="156"/>
  <c r="AV21" i="156"/>
  <c r="AT21" i="156"/>
  <c r="AR21" i="156"/>
  <c r="AP21" i="156"/>
  <c r="AN21" i="156"/>
  <c r="AL21" i="156"/>
  <c r="AJ21" i="156"/>
  <c r="CR20" i="156"/>
  <c r="CP20" i="156"/>
  <c r="CN20" i="156"/>
  <c r="CL20" i="156"/>
  <c r="CJ20" i="156"/>
  <c r="CH20" i="156"/>
  <c r="CF20" i="156"/>
  <c r="CD20" i="156"/>
  <c r="CB20" i="156"/>
  <c r="BZ20" i="156"/>
  <c r="BX20" i="156"/>
  <c r="BV20" i="156"/>
  <c r="BT20" i="156"/>
  <c r="BR20" i="156"/>
  <c r="BP20" i="156"/>
  <c r="BN20" i="156"/>
  <c r="BL20" i="156"/>
  <c r="BJ20" i="156"/>
  <c r="BH20" i="156"/>
  <c r="BF20" i="156"/>
  <c r="BD20" i="156"/>
  <c r="BB20" i="156"/>
  <c r="AZ20" i="156"/>
  <c r="AX20" i="156"/>
  <c r="AV20" i="156"/>
  <c r="AT20" i="156"/>
  <c r="AR20" i="156"/>
  <c r="AP20" i="156"/>
  <c r="AN20" i="156"/>
  <c r="AL20" i="156"/>
  <c r="AJ20" i="156"/>
  <c r="O20" i="156"/>
  <c r="M20" i="156"/>
  <c r="K20" i="156"/>
  <c r="CR19" i="156"/>
  <c r="CP19" i="156"/>
  <c r="CN19" i="156"/>
  <c r="CL19" i="156"/>
  <c r="CJ19" i="156"/>
  <c r="CH19" i="156"/>
  <c r="CF19" i="156"/>
  <c r="CD19" i="156"/>
  <c r="CB19" i="156"/>
  <c r="BZ19" i="156"/>
  <c r="BX19" i="156"/>
  <c r="BV19" i="156"/>
  <c r="BT19" i="156"/>
  <c r="BR19" i="156"/>
  <c r="BP19" i="156"/>
  <c r="BN19" i="156"/>
  <c r="BL19" i="156"/>
  <c r="BJ19" i="156"/>
  <c r="BH19" i="156"/>
  <c r="BF19" i="156"/>
  <c r="BD19" i="156"/>
  <c r="BB19" i="156"/>
  <c r="AZ19" i="156"/>
  <c r="AX19" i="156"/>
  <c r="AV19" i="156"/>
  <c r="AT19" i="156"/>
  <c r="AR19" i="156"/>
  <c r="AP19" i="156"/>
  <c r="AN19" i="156"/>
  <c r="AL19" i="156"/>
  <c r="AJ19" i="156"/>
  <c r="O19" i="156"/>
  <c r="I19" i="156"/>
  <c r="CR18" i="156"/>
  <c r="CP18" i="156"/>
  <c r="CN18" i="156"/>
  <c r="CL18" i="156"/>
  <c r="CJ18" i="156"/>
  <c r="CH18" i="156"/>
  <c r="CF18" i="156"/>
  <c r="CD18" i="156"/>
  <c r="CB18" i="156"/>
  <c r="BZ18" i="156"/>
  <c r="BX18" i="156"/>
  <c r="BV18" i="156"/>
  <c r="BT18" i="156"/>
  <c r="BR18" i="156"/>
  <c r="BP18" i="156"/>
  <c r="BN18" i="156"/>
  <c r="BL18" i="156"/>
  <c r="BJ18" i="156"/>
  <c r="BH18" i="156"/>
  <c r="BF18" i="156"/>
  <c r="BD18" i="156"/>
  <c r="BB18" i="156"/>
  <c r="AZ18" i="156"/>
  <c r="AX18" i="156"/>
  <c r="AV18" i="156"/>
  <c r="AT18" i="156"/>
  <c r="AR18" i="156"/>
  <c r="AP18" i="156"/>
  <c r="AN18" i="156"/>
  <c r="AL18" i="156"/>
  <c r="AJ18" i="156"/>
  <c r="O18" i="156"/>
  <c r="M18" i="156"/>
  <c r="CR17" i="156"/>
  <c r="CP17" i="156"/>
  <c r="CN17" i="156"/>
  <c r="CL17" i="156"/>
  <c r="CJ17" i="156"/>
  <c r="CH17" i="156"/>
  <c r="CF17" i="156"/>
  <c r="CD17" i="156"/>
  <c r="CB17" i="156"/>
  <c r="BZ17" i="156"/>
  <c r="BX17" i="156"/>
  <c r="BV17" i="156"/>
  <c r="BT17" i="156"/>
  <c r="BR17" i="156"/>
  <c r="BP17" i="156"/>
  <c r="BN17" i="156"/>
  <c r="BL17" i="156"/>
  <c r="BJ17" i="156"/>
  <c r="BH17" i="156"/>
  <c r="BF17" i="156"/>
  <c r="BD17" i="156"/>
  <c r="BB17" i="156"/>
  <c r="AZ17" i="156"/>
  <c r="AX17" i="156"/>
  <c r="AV17" i="156"/>
  <c r="AT17" i="156"/>
  <c r="AR17" i="156"/>
  <c r="AP17" i="156"/>
  <c r="AN17" i="156"/>
  <c r="AL17" i="156"/>
  <c r="AJ17" i="156"/>
  <c r="E17" i="156"/>
  <c r="C17" i="156" s="1"/>
  <c r="CR16" i="156"/>
  <c r="CP16" i="156"/>
  <c r="CN16" i="156"/>
  <c r="CL16" i="156"/>
  <c r="CJ16" i="156"/>
  <c r="CH16" i="156"/>
  <c r="CF16" i="156"/>
  <c r="CD16" i="156"/>
  <c r="CB16" i="156"/>
  <c r="BZ16" i="156"/>
  <c r="BX16" i="156"/>
  <c r="BV16" i="156"/>
  <c r="BT16" i="156"/>
  <c r="BR16" i="156"/>
  <c r="BP16" i="156"/>
  <c r="BN16" i="156"/>
  <c r="BL16" i="156"/>
  <c r="BJ16" i="156"/>
  <c r="BH16" i="156"/>
  <c r="BF16" i="156"/>
  <c r="BD16" i="156"/>
  <c r="BB16" i="156"/>
  <c r="AZ16" i="156"/>
  <c r="AX16" i="156"/>
  <c r="AV16" i="156"/>
  <c r="AT16" i="156"/>
  <c r="AR16" i="156"/>
  <c r="AP16" i="156"/>
  <c r="AN16" i="156"/>
  <c r="AL16" i="156"/>
  <c r="AJ16" i="156"/>
  <c r="CR15" i="156"/>
  <c r="CP15" i="156"/>
  <c r="CN15" i="156"/>
  <c r="CL15" i="156"/>
  <c r="CJ15" i="156"/>
  <c r="CH15" i="156"/>
  <c r="CF15" i="156"/>
  <c r="CD15" i="156"/>
  <c r="CB15" i="156"/>
  <c r="BZ15" i="156"/>
  <c r="BX15" i="156"/>
  <c r="BV15" i="156"/>
  <c r="BT15" i="156"/>
  <c r="BR15" i="156"/>
  <c r="BP15" i="156"/>
  <c r="BN15" i="156"/>
  <c r="BL15" i="156"/>
  <c r="BJ15" i="156"/>
  <c r="BH15" i="156"/>
  <c r="BF15" i="156"/>
  <c r="BD15" i="156"/>
  <c r="BB15" i="156"/>
  <c r="AZ15" i="156"/>
  <c r="AX15" i="156"/>
  <c r="AV15" i="156"/>
  <c r="AT15" i="156"/>
  <c r="AR15" i="156"/>
  <c r="AP15" i="156"/>
  <c r="AN15" i="156"/>
  <c r="AL15" i="156"/>
  <c r="AJ15" i="156"/>
  <c r="E15" i="156"/>
  <c r="CR14" i="156"/>
  <c r="CP14" i="156"/>
  <c r="CN14" i="156"/>
  <c r="CL14" i="156"/>
  <c r="CJ14" i="156"/>
  <c r="CH14" i="156"/>
  <c r="CF14" i="156"/>
  <c r="CD14" i="156"/>
  <c r="CB14" i="156"/>
  <c r="BZ14" i="156"/>
  <c r="BX14" i="156"/>
  <c r="BV14" i="156"/>
  <c r="BT14" i="156"/>
  <c r="BR14" i="156"/>
  <c r="BP14" i="156"/>
  <c r="BN14" i="156"/>
  <c r="BL14" i="156"/>
  <c r="BJ14" i="156"/>
  <c r="BH14" i="156"/>
  <c r="BF14" i="156"/>
  <c r="BD14" i="156"/>
  <c r="BB14" i="156"/>
  <c r="AZ14" i="156"/>
  <c r="AX14" i="156"/>
  <c r="AV14" i="156"/>
  <c r="AT14" i="156"/>
  <c r="AR14" i="156"/>
  <c r="AP14" i="156"/>
  <c r="AN14" i="156"/>
  <c r="AL14" i="156"/>
  <c r="AJ14" i="156"/>
  <c r="CR13" i="156"/>
  <c r="CP13" i="156"/>
  <c r="CN13" i="156"/>
  <c r="CL13" i="156"/>
  <c r="CJ13" i="156"/>
  <c r="CH13" i="156"/>
  <c r="CF13" i="156"/>
  <c r="CD13" i="156"/>
  <c r="CB13" i="156"/>
  <c r="BZ13" i="156"/>
  <c r="BX13" i="156"/>
  <c r="BV13" i="156"/>
  <c r="BT13" i="156"/>
  <c r="BR13" i="156"/>
  <c r="BP13" i="156"/>
  <c r="BN13" i="156"/>
  <c r="BL13" i="156"/>
  <c r="BJ13" i="156"/>
  <c r="BH13" i="156"/>
  <c r="BF13" i="156"/>
  <c r="BD13" i="156"/>
  <c r="BB13" i="156"/>
  <c r="AZ13" i="156"/>
  <c r="AX13" i="156"/>
  <c r="AV13" i="156"/>
  <c r="AT13" i="156"/>
  <c r="AR13" i="156"/>
  <c r="AP13" i="156"/>
  <c r="AN13" i="156"/>
  <c r="AL13" i="156"/>
  <c r="AJ13" i="156"/>
  <c r="E13" i="156"/>
  <c r="C13" i="156"/>
  <c r="CR12" i="156"/>
  <c r="CP12" i="156"/>
  <c r="CN12" i="156"/>
  <c r="CL12" i="156"/>
  <c r="CJ12" i="156"/>
  <c r="CH12" i="156"/>
  <c r="CF12" i="156"/>
  <c r="CD12" i="156"/>
  <c r="CB12" i="156"/>
  <c r="BZ12" i="156"/>
  <c r="BX12" i="156"/>
  <c r="BV12" i="156"/>
  <c r="BT12" i="156"/>
  <c r="BR12" i="156"/>
  <c r="BP12" i="156"/>
  <c r="BN12" i="156"/>
  <c r="BL12" i="156"/>
  <c r="BJ12" i="156"/>
  <c r="BH12" i="156"/>
  <c r="BF12" i="156"/>
  <c r="BD12" i="156"/>
  <c r="BB12" i="156"/>
  <c r="AZ12" i="156"/>
  <c r="AX12" i="156"/>
  <c r="AV12" i="156"/>
  <c r="AT12" i="156"/>
  <c r="AR12" i="156"/>
  <c r="AP12" i="156"/>
  <c r="AN12" i="156"/>
  <c r="AL12" i="156"/>
  <c r="AJ12" i="156"/>
  <c r="CR11" i="156"/>
  <c r="CP11" i="156"/>
  <c r="CN11" i="156"/>
  <c r="CL11" i="156"/>
  <c r="CJ11" i="156"/>
  <c r="CH11" i="156"/>
  <c r="CF11" i="156"/>
  <c r="CD11" i="156"/>
  <c r="CB11" i="156"/>
  <c r="BZ11" i="156"/>
  <c r="BX11" i="156"/>
  <c r="BV11" i="156"/>
  <c r="BT11" i="156"/>
  <c r="BR11" i="156"/>
  <c r="BP11" i="156"/>
  <c r="BN11" i="156"/>
  <c r="BL11" i="156"/>
  <c r="BJ11" i="156"/>
  <c r="BH11" i="156"/>
  <c r="BF11" i="156"/>
  <c r="BD11" i="156"/>
  <c r="BB11" i="156"/>
  <c r="AZ11" i="156"/>
  <c r="AX11" i="156"/>
  <c r="AV11" i="156"/>
  <c r="AT11" i="156"/>
  <c r="AR11" i="156"/>
  <c r="AP11" i="156"/>
  <c r="AN11" i="156"/>
  <c r="AL11" i="156"/>
  <c r="AJ11" i="156"/>
  <c r="I11" i="156"/>
  <c r="G11" i="156"/>
  <c r="CR10" i="156"/>
  <c r="CP10" i="156"/>
  <c r="CN10" i="156"/>
  <c r="CL10" i="156"/>
  <c r="CJ10" i="156"/>
  <c r="CH10" i="156"/>
  <c r="CF10" i="156"/>
  <c r="CD10" i="156"/>
  <c r="CB10" i="156"/>
  <c r="BZ10" i="156"/>
  <c r="BX10" i="156"/>
  <c r="BV10" i="156"/>
  <c r="BT10" i="156"/>
  <c r="BR10" i="156"/>
  <c r="BP10" i="156"/>
  <c r="BN10" i="156"/>
  <c r="BL10" i="156"/>
  <c r="BJ10" i="156"/>
  <c r="BH10" i="156"/>
  <c r="BF10" i="156"/>
  <c r="BD10" i="156"/>
  <c r="BB10" i="156"/>
  <c r="AZ10" i="156"/>
  <c r="AX10" i="156"/>
  <c r="AV10" i="156"/>
  <c r="AT10" i="156"/>
  <c r="AR10" i="156"/>
  <c r="AP10" i="156"/>
  <c r="AN10" i="156"/>
  <c r="AL10" i="156"/>
  <c r="AJ10" i="156"/>
  <c r="E10" i="156"/>
  <c r="C10" i="156" s="1"/>
  <c r="CR9" i="156"/>
  <c r="CP9" i="156"/>
  <c r="CN9" i="156"/>
  <c r="CL9" i="156"/>
  <c r="CJ9" i="156"/>
  <c r="CH9" i="156"/>
  <c r="CF9" i="156"/>
  <c r="CD9" i="156"/>
  <c r="CB9" i="156"/>
  <c r="BZ9" i="156"/>
  <c r="BX9" i="156"/>
  <c r="BV9" i="156"/>
  <c r="BT9" i="156"/>
  <c r="BR9" i="156"/>
  <c r="BP9" i="156"/>
  <c r="BN9" i="156"/>
  <c r="BL9" i="156"/>
  <c r="BJ9" i="156"/>
  <c r="BH9" i="156"/>
  <c r="BF9" i="156"/>
  <c r="BD9" i="156"/>
  <c r="BB9" i="156"/>
  <c r="AZ9" i="156"/>
  <c r="AX9" i="156"/>
  <c r="AV9" i="156"/>
  <c r="AT9" i="156"/>
  <c r="AR9" i="156"/>
  <c r="AP9" i="156"/>
  <c r="AN9" i="156"/>
  <c r="AL9" i="156"/>
  <c r="AJ9" i="156"/>
  <c r="CR8" i="156"/>
  <c r="CP8" i="156"/>
  <c r="CN8" i="156"/>
  <c r="CL8" i="156"/>
  <c r="CJ8" i="156"/>
  <c r="CH8" i="156"/>
  <c r="CF8" i="156"/>
  <c r="CD8" i="156"/>
  <c r="CB8" i="156"/>
  <c r="BZ8" i="156"/>
  <c r="BX8" i="156"/>
  <c r="BV8" i="156"/>
  <c r="BT8" i="156"/>
  <c r="BR8" i="156"/>
  <c r="BP8" i="156"/>
  <c r="BN8" i="156"/>
  <c r="BL8" i="156"/>
  <c r="BJ8" i="156"/>
  <c r="BH8" i="156"/>
  <c r="BF8" i="156"/>
  <c r="BD8" i="156"/>
  <c r="BB8" i="156"/>
  <c r="AZ8" i="156"/>
  <c r="AX8" i="156"/>
  <c r="AV8" i="156"/>
  <c r="AT8" i="156"/>
  <c r="AR8" i="156"/>
  <c r="AP8" i="156"/>
  <c r="AN8" i="156"/>
  <c r="AL8" i="156"/>
  <c r="AJ8" i="156"/>
  <c r="E8" i="156"/>
  <c r="C8" i="156" s="1"/>
  <c r="CR7" i="156"/>
  <c r="CP7" i="156"/>
  <c r="CN7" i="156"/>
  <c r="CL7" i="156"/>
  <c r="CJ7" i="156"/>
  <c r="CH7" i="156"/>
  <c r="CF7" i="156"/>
  <c r="CD7" i="156"/>
  <c r="CB7" i="156"/>
  <c r="BZ7" i="156"/>
  <c r="BX7" i="156"/>
  <c r="BV7" i="156"/>
  <c r="BT7" i="156"/>
  <c r="BR7" i="156"/>
  <c r="BP7" i="156"/>
  <c r="BN7" i="156"/>
  <c r="BL7" i="156"/>
  <c r="BJ7" i="156"/>
  <c r="BH7" i="156"/>
  <c r="BF7" i="156"/>
  <c r="BD7" i="156"/>
  <c r="BB7" i="156"/>
  <c r="AZ7" i="156"/>
  <c r="AX7" i="156"/>
  <c r="AV7" i="156"/>
  <c r="AT7" i="156"/>
  <c r="AR7" i="156"/>
  <c r="AP7" i="156"/>
  <c r="AN7" i="156"/>
  <c r="AL7" i="156"/>
  <c r="AJ7" i="156"/>
  <c r="O7" i="156"/>
  <c r="K7" i="156"/>
  <c r="I7" i="156"/>
  <c r="CR6" i="156"/>
  <c r="CP6" i="156"/>
  <c r="CN6" i="156"/>
  <c r="CL6" i="156"/>
  <c r="CJ6" i="156"/>
  <c r="CH6" i="156"/>
  <c r="CF6" i="156"/>
  <c r="CD6" i="156"/>
  <c r="CB6" i="156"/>
  <c r="BZ6" i="156"/>
  <c r="BX6" i="156"/>
  <c r="BV6" i="156"/>
  <c r="BT6" i="156"/>
  <c r="BR6" i="156"/>
  <c r="BP6" i="156"/>
  <c r="BN6" i="156"/>
  <c r="BL6" i="156"/>
  <c r="BJ6" i="156"/>
  <c r="BH6" i="156"/>
  <c r="BF6" i="156"/>
  <c r="BD6" i="156"/>
  <c r="BB6" i="156"/>
  <c r="AZ6" i="156"/>
  <c r="AX6" i="156"/>
  <c r="AV6" i="156"/>
  <c r="AT6" i="156"/>
  <c r="AR6" i="156"/>
  <c r="AP6" i="156"/>
  <c r="AN6" i="156"/>
  <c r="AL6" i="156"/>
  <c r="AJ6" i="156"/>
  <c r="I6" i="156"/>
  <c r="G6" i="156"/>
  <c r="CR5" i="156"/>
  <c r="CP5" i="156"/>
  <c r="CN5" i="156"/>
  <c r="CL5" i="156"/>
  <c r="CJ5" i="156"/>
  <c r="CH5" i="156"/>
  <c r="CF5" i="156"/>
  <c r="CD5" i="156"/>
  <c r="CB5" i="156"/>
  <c r="BZ5" i="156"/>
  <c r="BX5" i="156"/>
  <c r="BV5" i="156"/>
  <c r="BT5" i="156"/>
  <c r="BR5" i="156"/>
  <c r="BP5" i="156"/>
  <c r="BN5" i="156"/>
  <c r="BL5" i="156"/>
  <c r="BJ5" i="156"/>
  <c r="BH5" i="156"/>
  <c r="BF5" i="156"/>
  <c r="BD5" i="156"/>
  <c r="BB5" i="156"/>
  <c r="AZ5" i="156"/>
  <c r="AX5" i="156"/>
  <c r="AV5" i="156"/>
  <c r="AT5" i="156"/>
  <c r="AR5" i="156"/>
  <c r="AP5" i="156"/>
  <c r="AN5" i="156"/>
  <c r="AL5" i="156"/>
  <c r="AJ5" i="156"/>
  <c r="Q5" i="156"/>
  <c r="I5" i="156"/>
  <c r="CR4" i="156"/>
  <c r="CP4" i="156"/>
  <c r="CN4" i="156"/>
  <c r="CL4" i="156"/>
  <c r="CJ4" i="156"/>
  <c r="CH4" i="156"/>
  <c r="CF4" i="156"/>
  <c r="CD4" i="156"/>
  <c r="CB4" i="156"/>
  <c r="BZ4" i="156"/>
  <c r="BX4" i="156"/>
  <c r="BV4" i="156"/>
  <c r="BT4" i="156"/>
  <c r="BR4" i="156"/>
  <c r="BP4" i="156"/>
  <c r="BN4" i="156"/>
  <c r="BL4" i="156"/>
  <c r="BJ4" i="156"/>
  <c r="BH4" i="156"/>
  <c r="BF4" i="156"/>
  <c r="BD4" i="156"/>
  <c r="BB4" i="156"/>
  <c r="AZ4" i="156"/>
  <c r="AX4" i="156"/>
  <c r="AV4" i="156"/>
  <c r="AT4" i="156"/>
  <c r="AR4" i="156"/>
  <c r="AP4" i="156"/>
  <c r="AN4" i="156"/>
  <c r="AL4" i="156"/>
  <c r="AJ4" i="156"/>
  <c r="CR3" i="156"/>
  <c r="CP3" i="156"/>
  <c r="CN3" i="156"/>
  <c r="CL3" i="156"/>
  <c r="CJ3" i="156"/>
  <c r="CH3" i="156"/>
  <c r="CF3" i="156"/>
  <c r="CD3" i="156"/>
  <c r="CB3" i="156"/>
  <c r="BZ3" i="156"/>
  <c r="BX3" i="156"/>
  <c r="BV3" i="156"/>
  <c r="BT3" i="156"/>
  <c r="BR3" i="156"/>
  <c r="BP3" i="156"/>
  <c r="BN3" i="156"/>
  <c r="BL3" i="156"/>
  <c r="BJ3" i="156"/>
  <c r="BH3" i="156"/>
  <c r="BF3" i="156"/>
  <c r="BD3" i="156"/>
  <c r="BB3" i="156"/>
  <c r="AZ3" i="156"/>
  <c r="AX3" i="156"/>
  <c r="AV3" i="156"/>
  <c r="AT3" i="156"/>
  <c r="AR3" i="156"/>
  <c r="AP3" i="156"/>
  <c r="AN3" i="156"/>
  <c r="AL3" i="156"/>
  <c r="AJ3" i="156"/>
  <c r="E3" i="156"/>
  <c r="C3" i="156"/>
  <c r="CR2" i="156"/>
  <c r="CP2" i="156"/>
  <c r="CN2" i="156"/>
  <c r="CL2" i="156"/>
  <c r="CJ2" i="156"/>
  <c r="CH2" i="156"/>
  <c r="CF2" i="156"/>
  <c r="CD2" i="156"/>
  <c r="CB2" i="156"/>
  <c r="BZ2" i="156"/>
  <c r="BX2" i="156"/>
  <c r="BV2" i="156"/>
  <c r="BT2" i="156"/>
  <c r="BR2" i="156"/>
  <c r="BP2" i="156"/>
  <c r="BN2" i="156"/>
  <c r="BL2" i="156"/>
  <c r="BJ2" i="156"/>
  <c r="BH2" i="156"/>
  <c r="BF2" i="156"/>
  <c r="BD2" i="156"/>
  <c r="BB2" i="156"/>
  <c r="AZ2" i="156"/>
  <c r="AX2" i="156"/>
  <c r="AV2" i="156"/>
  <c r="AT2" i="156"/>
  <c r="AR2" i="156"/>
  <c r="AP2" i="156"/>
  <c r="AN2" i="156"/>
  <c r="AL2" i="156"/>
  <c r="AJ2" i="156"/>
  <c r="E2" i="156"/>
  <c r="C2" i="156"/>
  <c r="G1" i="156"/>
  <c r="F91" i="155" a="1"/>
  <c r="F91" i="155"/>
  <c r="F88" i="155" a="1"/>
  <c r="F88" i="155"/>
  <c r="C87" i="155"/>
  <c r="C84" i="155"/>
  <c r="C85" i="155" s="1"/>
  <c r="C83" i="155"/>
  <c r="C82" i="155"/>
  <c r="E80" i="155"/>
  <c r="E81" i="155" s="1"/>
  <c r="C80" i="155"/>
  <c r="C81" i="155" s="1"/>
  <c r="C86" i="155" s="1"/>
  <c r="G78" i="155"/>
  <c r="I72" i="155" s="1"/>
  <c r="M23" i="155" s="1"/>
  <c r="G77" i="155"/>
  <c r="J74" i="155" s="1"/>
  <c r="K25" i="155" s="1"/>
  <c r="I74" i="155"/>
  <c r="M25" i="155" s="1"/>
  <c r="J73" i="155"/>
  <c r="K24" i="155" s="1"/>
  <c r="I73" i="155"/>
  <c r="H73" i="155"/>
  <c r="H72" i="155"/>
  <c r="I23" i="155" s="1"/>
  <c r="G72" i="155"/>
  <c r="G73" i="155" s="1"/>
  <c r="J71" i="155"/>
  <c r="Q7" i="155" s="1"/>
  <c r="I71" i="155"/>
  <c r="K7" i="155" s="1"/>
  <c r="H71" i="155"/>
  <c r="G71" i="155"/>
  <c r="M67" i="155"/>
  <c r="E65" i="155"/>
  <c r="G64" i="155"/>
  <c r="E64" i="155" s="1"/>
  <c r="C64" i="155" s="1"/>
  <c r="DB61" i="155"/>
  <c r="CZ61" i="155"/>
  <c r="CX61" i="155"/>
  <c r="CV61" i="155"/>
  <c r="CT61" i="155"/>
  <c r="CR61" i="155"/>
  <c r="CP61" i="155"/>
  <c r="CN61" i="155"/>
  <c r="CL61" i="155"/>
  <c r="CJ61" i="155"/>
  <c r="CH61" i="155"/>
  <c r="CF61" i="155"/>
  <c r="CD61" i="155"/>
  <c r="CB61" i="155"/>
  <c r="BZ61" i="155"/>
  <c r="BX61" i="155"/>
  <c r="BV61" i="155"/>
  <c r="BT61" i="155"/>
  <c r="BR61" i="155"/>
  <c r="BP61" i="155"/>
  <c r="BN61" i="155"/>
  <c r="BK61" i="155"/>
  <c r="BI61" i="155"/>
  <c r="BG61" i="155"/>
  <c r="BE61" i="155"/>
  <c r="BC61" i="155"/>
  <c r="BA61" i="155"/>
  <c r="AY61" i="155"/>
  <c r="AW61" i="155"/>
  <c r="AU61" i="155"/>
  <c r="AS61" i="155"/>
  <c r="AQ61" i="155"/>
  <c r="AO61" i="155"/>
  <c r="AM61" i="155"/>
  <c r="AK61" i="155"/>
  <c r="DB60" i="155"/>
  <c r="CZ60" i="155"/>
  <c r="CX60" i="155"/>
  <c r="CV60" i="155"/>
  <c r="CT60" i="155"/>
  <c r="CR60" i="155"/>
  <c r="CP60" i="155"/>
  <c r="CN60" i="155"/>
  <c r="CL60" i="155"/>
  <c r="CJ60" i="155"/>
  <c r="CH60" i="155"/>
  <c r="CF60" i="155"/>
  <c r="CD60" i="155"/>
  <c r="CB60" i="155"/>
  <c r="BZ60" i="155"/>
  <c r="BX60" i="155"/>
  <c r="BV60" i="155"/>
  <c r="BT60" i="155"/>
  <c r="BR60" i="155"/>
  <c r="BP60" i="155"/>
  <c r="BN60" i="155"/>
  <c r="BK60" i="155"/>
  <c r="BI60" i="155"/>
  <c r="BG60" i="155"/>
  <c r="BE60" i="155"/>
  <c r="BC60" i="155"/>
  <c r="BA60" i="155"/>
  <c r="AY60" i="155"/>
  <c r="AW60" i="155"/>
  <c r="AU60" i="155"/>
  <c r="AS60" i="155"/>
  <c r="AQ60" i="155"/>
  <c r="AO60" i="155"/>
  <c r="AM60" i="155"/>
  <c r="AK60" i="155"/>
  <c r="DB59" i="155"/>
  <c r="CZ59" i="155"/>
  <c r="CX59" i="155"/>
  <c r="CV59" i="155"/>
  <c r="CT59" i="155"/>
  <c r="CR59" i="155"/>
  <c r="CP59" i="155"/>
  <c r="CN59" i="155"/>
  <c r="CL59" i="155"/>
  <c r="CJ59" i="155"/>
  <c r="CH59" i="155"/>
  <c r="CF59" i="155"/>
  <c r="CD59" i="155"/>
  <c r="CB59" i="155"/>
  <c r="BZ59" i="155"/>
  <c r="BX59" i="155"/>
  <c r="BV59" i="155"/>
  <c r="BT59" i="155"/>
  <c r="BR59" i="155"/>
  <c r="BP59" i="155"/>
  <c r="BN59" i="155"/>
  <c r="BK59" i="155"/>
  <c r="BI59" i="155"/>
  <c r="BG59" i="155"/>
  <c r="BE59" i="155"/>
  <c r="BC59" i="155"/>
  <c r="BA59" i="155"/>
  <c r="AY59" i="155"/>
  <c r="AW59" i="155"/>
  <c r="AU59" i="155"/>
  <c r="AS59" i="155"/>
  <c r="AQ59" i="155"/>
  <c r="AO59" i="155"/>
  <c r="AM59" i="155"/>
  <c r="AK59" i="155"/>
  <c r="E59" i="155"/>
  <c r="C59" i="155"/>
  <c r="DB58" i="155"/>
  <c r="CZ58" i="155"/>
  <c r="CX58" i="155"/>
  <c r="CV58" i="155"/>
  <c r="CT58" i="155"/>
  <c r="CR58" i="155"/>
  <c r="CP58" i="155"/>
  <c r="CN58" i="155"/>
  <c r="CL58" i="155"/>
  <c r="CJ58" i="155"/>
  <c r="CH58" i="155"/>
  <c r="CF58" i="155"/>
  <c r="CD58" i="155"/>
  <c r="CB58" i="155"/>
  <c r="BZ58" i="155"/>
  <c r="BX58" i="155"/>
  <c r="BV58" i="155"/>
  <c r="BT58" i="155"/>
  <c r="BR58" i="155"/>
  <c r="BP58" i="155"/>
  <c r="BN58" i="155"/>
  <c r="BK58" i="155"/>
  <c r="BI58" i="155"/>
  <c r="BG58" i="155"/>
  <c r="BE58" i="155"/>
  <c r="BC58" i="155"/>
  <c r="BA58" i="155"/>
  <c r="AY58" i="155"/>
  <c r="AW58" i="155"/>
  <c r="AU58" i="155"/>
  <c r="AS58" i="155"/>
  <c r="AQ58" i="155"/>
  <c r="AO58" i="155"/>
  <c r="AM58" i="155"/>
  <c r="AK58" i="155"/>
  <c r="DB57" i="155"/>
  <c r="CZ57" i="155"/>
  <c r="CX57" i="155"/>
  <c r="CV57" i="155"/>
  <c r="CT57" i="155"/>
  <c r="CR57" i="155"/>
  <c r="CP57" i="155"/>
  <c r="CN57" i="155"/>
  <c r="CL57" i="155"/>
  <c r="CJ57" i="155"/>
  <c r="CH57" i="155"/>
  <c r="CF57" i="155"/>
  <c r="CD57" i="155"/>
  <c r="CB57" i="155"/>
  <c r="BZ57" i="155"/>
  <c r="BX57" i="155"/>
  <c r="BV57" i="155"/>
  <c r="BT57" i="155"/>
  <c r="BR57" i="155"/>
  <c r="BP57" i="155"/>
  <c r="BN57" i="155"/>
  <c r="BK57" i="155"/>
  <c r="BI57" i="155"/>
  <c r="BG57" i="155"/>
  <c r="BE57" i="155"/>
  <c r="BC57" i="155"/>
  <c r="BA57" i="155"/>
  <c r="AY57" i="155"/>
  <c r="AW57" i="155"/>
  <c r="AU57" i="155"/>
  <c r="AS57" i="155"/>
  <c r="AQ57" i="155"/>
  <c r="AO57" i="155"/>
  <c r="AM57" i="155"/>
  <c r="AK57" i="155"/>
  <c r="DB56" i="155"/>
  <c r="CZ56" i="155"/>
  <c r="CX56" i="155"/>
  <c r="CV56" i="155"/>
  <c r="CT56" i="155"/>
  <c r="CR56" i="155"/>
  <c r="CP56" i="155"/>
  <c r="CN56" i="155"/>
  <c r="CL56" i="155"/>
  <c r="CJ56" i="155"/>
  <c r="CH56" i="155"/>
  <c r="CF56" i="155"/>
  <c r="CD56" i="155"/>
  <c r="CB56" i="155"/>
  <c r="BZ56" i="155"/>
  <c r="BX56" i="155"/>
  <c r="BV56" i="155"/>
  <c r="BT56" i="155"/>
  <c r="BR56" i="155"/>
  <c r="BP56" i="155"/>
  <c r="BN56" i="155"/>
  <c r="BK56" i="155"/>
  <c r="BI56" i="155"/>
  <c r="BG56" i="155"/>
  <c r="BE56" i="155"/>
  <c r="BC56" i="155"/>
  <c r="BA56" i="155"/>
  <c r="AY56" i="155"/>
  <c r="AW56" i="155"/>
  <c r="AU56" i="155"/>
  <c r="AS56" i="155"/>
  <c r="AQ56" i="155"/>
  <c r="AO56" i="155"/>
  <c r="AM56" i="155"/>
  <c r="AK56" i="155"/>
  <c r="DB55" i="155"/>
  <c r="CZ55" i="155"/>
  <c r="CX55" i="155"/>
  <c r="CV55" i="155"/>
  <c r="CT55" i="155"/>
  <c r="CR55" i="155"/>
  <c r="CP55" i="155"/>
  <c r="CN55" i="155"/>
  <c r="CL55" i="155"/>
  <c r="CJ55" i="155"/>
  <c r="CH55" i="155"/>
  <c r="CF55" i="155"/>
  <c r="CD55" i="155"/>
  <c r="CB55" i="155"/>
  <c r="BZ55" i="155"/>
  <c r="BX55" i="155"/>
  <c r="BV55" i="155"/>
  <c r="BT55" i="155"/>
  <c r="BR55" i="155"/>
  <c r="BP55" i="155"/>
  <c r="BN55" i="155"/>
  <c r="BK55" i="155"/>
  <c r="BI55" i="155"/>
  <c r="BG55" i="155"/>
  <c r="BE55" i="155"/>
  <c r="BC55" i="155"/>
  <c r="BA55" i="155"/>
  <c r="AY55" i="155"/>
  <c r="AW55" i="155"/>
  <c r="AU55" i="155"/>
  <c r="AS55" i="155"/>
  <c r="AQ55" i="155"/>
  <c r="AO55" i="155"/>
  <c r="AM55" i="155"/>
  <c r="AK55" i="155"/>
  <c r="DB54" i="155"/>
  <c r="CZ54" i="155"/>
  <c r="CX54" i="155"/>
  <c r="CV54" i="155"/>
  <c r="CT54" i="155"/>
  <c r="CR54" i="155"/>
  <c r="CP54" i="155"/>
  <c r="CN54" i="155"/>
  <c r="CL54" i="155"/>
  <c r="CJ54" i="155"/>
  <c r="CH54" i="155"/>
  <c r="CF54" i="155"/>
  <c r="CD54" i="155"/>
  <c r="CB54" i="155"/>
  <c r="BZ54" i="155"/>
  <c r="BX54" i="155"/>
  <c r="BV54" i="155"/>
  <c r="BT54" i="155"/>
  <c r="BR54" i="155"/>
  <c r="BP54" i="155"/>
  <c r="BN54" i="155"/>
  <c r="BK54" i="155"/>
  <c r="BI54" i="155"/>
  <c r="BG54" i="155"/>
  <c r="BE54" i="155"/>
  <c r="BC54" i="155"/>
  <c r="BA54" i="155"/>
  <c r="AY54" i="155"/>
  <c r="AW54" i="155"/>
  <c r="AU54" i="155"/>
  <c r="AS54" i="155"/>
  <c r="AQ54" i="155"/>
  <c r="AO54" i="155"/>
  <c r="AM54" i="155"/>
  <c r="AK54" i="155"/>
  <c r="DB53" i="155"/>
  <c r="CZ53" i="155"/>
  <c r="CX53" i="155"/>
  <c r="CV53" i="155"/>
  <c r="CT53" i="155"/>
  <c r="CR53" i="155"/>
  <c r="CP53" i="155"/>
  <c r="CN53" i="155"/>
  <c r="CL53" i="155"/>
  <c r="CJ53" i="155"/>
  <c r="CH53" i="155"/>
  <c r="CF53" i="155"/>
  <c r="CD53" i="155"/>
  <c r="CB53" i="155"/>
  <c r="BZ53" i="155"/>
  <c r="BX53" i="155"/>
  <c r="BV53" i="155"/>
  <c r="BT53" i="155"/>
  <c r="BR53" i="155"/>
  <c r="BP53" i="155"/>
  <c r="BN53" i="155"/>
  <c r="BK53" i="155"/>
  <c r="BI53" i="155"/>
  <c r="BG53" i="155"/>
  <c r="BE53" i="155"/>
  <c r="BC53" i="155"/>
  <c r="BA53" i="155"/>
  <c r="AY53" i="155"/>
  <c r="AW53" i="155"/>
  <c r="AU53" i="155"/>
  <c r="AS53" i="155"/>
  <c r="AQ53" i="155"/>
  <c r="AO53" i="155"/>
  <c r="AM53" i="155"/>
  <c r="AK53" i="155"/>
  <c r="K53" i="155"/>
  <c r="DB52" i="155"/>
  <c r="CZ52" i="155"/>
  <c r="CX52" i="155"/>
  <c r="CV52" i="155"/>
  <c r="CT52" i="155"/>
  <c r="CR52" i="155"/>
  <c r="CP52" i="155"/>
  <c r="CN52" i="155"/>
  <c r="CL52" i="155"/>
  <c r="CJ52" i="155"/>
  <c r="CH52" i="155"/>
  <c r="CF52" i="155"/>
  <c r="CD52" i="155"/>
  <c r="CB52" i="155"/>
  <c r="BZ52" i="155"/>
  <c r="BX52" i="155"/>
  <c r="BV52" i="155"/>
  <c r="BT52" i="155"/>
  <c r="BR52" i="155"/>
  <c r="BP52" i="155"/>
  <c r="BN52" i="155"/>
  <c r="BK52" i="155"/>
  <c r="BI52" i="155"/>
  <c r="BG52" i="155"/>
  <c r="BE52" i="155"/>
  <c r="BC52" i="155"/>
  <c r="BA52" i="155"/>
  <c r="AY52" i="155"/>
  <c r="AW52" i="155"/>
  <c r="AU52" i="155"/>
  <c r="AS52" i="155"/>
  <c r="AQ52" i="155"/>
  <c r="AO52" i="155"/>
  <c r="AM52" i="155"/>
  <c r="AK52" i="155"/>
  <c r="K52" i="155"/>
  <c r="DB51" i="155"/>
  <c r="CZ51" i="155"/>
  <c r="CX51" i="155"/>
  <c r="CV51" i="155"/>
  <c r="CT51" i="155"/>
  <c r="CR51" i="155"/>
  <c r="CP51" i="155"/>
  <c r="CN51" i="155"/>
  <c r="CL51" i="155"/>
  <c r="CJ51" i="155"/>
  <c r="CH51" i="155"/>
  <c r="CF51" i="155"/>
  <c r="CD51" i="155"/>
  <c r="CB51" i="155"/>
  <c r="BZ51" i="155"/>
  <c r="BX51" i="155"/>
  <c r="BV51" i="155"/>
  <c r="BT51" i="155"/>
  <c r="BR51" i="155"/>
  <c r="BP51" i="155"/>
  <c r="BN51" i="155"/>
  <c r="BK51" i="155"/>
  <c r="BI51" i="155"/>
  <c r="BG51" i="155"/>
  <c r="BE51" i="155"/>
  <c r="BC51" i="155"/>
  <c r="BA51" i="155"/>
  <c r="AY51" i="155"/>
  <c r="AW51" i="155"/>
  <c r="AU51" i="155"/>
  <c r="AS51" i="155"/>
  <c r="AQ51" i="155"/>
  <c r="AO51" i="155"/>
  <c r="AM51" i="155"/>
  <c r="AK51" i="155"/>
  <c r="DB50" i="155"/>
  <c r="CZ50" i="155"/>
  <c r="CX50" i="155"/>
  <c r="CV50" i="155"/>
  <c r="CT50" i="155"/>
  <c r="CR50" i="155"/>
  <c r="CP50" i="155"/>
  <c r="CN50" i="155"/>
  <c r="CL50" i="155"/>
  <c r="CJ50" i="155"/>
  <c r="CH50" i="155"/>
  <c r="CF50" i="155"/>
  <c r="CD50" i="155"/>
  <c r="CB50" i="155"/>
  <c r="BZ50" i="155"/>
  <c r="BX50" i="155"/>
  <c r="BV50" i="155"/>
  <c r="BT50" i="155"/>
  <c r="BR50" i="155"/>
  <c r="BP50" i="155"/>
  <c r="BN50" i="155"/>
  <c r="BK50" i="155"/>
  <c r="BI50" i="155"/>
  <c r="BG50" i="155"/>
  <c r="BE50" i="155"/>
  <c r="BC50" i="155"/>
  <c r="BA50" i="155"/>
  <c r="AY50" i="155"/>
  <c r="AW50" i="155"/>
  <c r="AU50" i="155"/>
  <c r="AS50" i="155"/>
  <c r="AQ50" i="155"/>
  <c r="AO50" i="155"/>
  <c r="AM50" i="155"/>
  <c r="AK50" i="155"/>
  <c r="DB49" i="155"/>
  <c r="CZ49" i="155"/>
  <c r="CX49" i="155"/>
  <c r="CV49" i="155"/>
  <c r="CT49" i="155"/>
  <c r="CR49" i="155"/>
  <c r="CP49" i="155"/>
  <c r="CN49" i="155"/>
  <c r="CL49" i="155"/>
  <c r="CJ49" i="155"/>
  <c r="CH49" i="155"/>
  <c r="CF49" i="155"/>
  <c r="CD49" i="155"/>
  <c r="CB49" i="155"/>
  <c r="BZ49" i="155"/>
  <c r="BX49" i="155"/>
  <c r="BV49" i="155"/>
  <c r="BT49" i="155"/>
  <c r="BR49" i="155"/>
  <c r="BP49" i="155"/>
  <c r="BN49" i="155"/>
  <c r="BK49" i="155"/>
  <c r="BI49" i="155"/>
  <c r="BG49" i="155"/>
  <c r="BE49" i="155"/>
  <c r="BC49" i="155"/>
  <c r="BA49" i="155"/>
  <c r="AY49" i="155"/>
  <c r="AW49" i="155"/>
  <c r="AU49" i="155"/>
  <c r="AS49" i="155"/>
  <c r="AQ49" i="155"/>
  <c r="AO49" i="155"/>
  <c r="AM49" i="155"/>
  <c r="AK49" i="155"/>
  <c r="DB48" i="155"/>
  <c r="CZ48" i="155"/>
  <c r="CX48" i="155"/>
  <c r="CV48" i="155"/>
  <c r="CT48" i="155"/>
  <c r="CR48" i="155"/>
  <c r="CP48" i="155"/>
  <c r="CN48" i="155"/>
  <c r="CL48" i="155"/>
  <c r="CJ48" i="155"/>
  <c r="CH48" i="155"/>
  <c r="CF48" i="155"/>
  <c r="CD48" i="155"/>
  <c r="CB48" i="155"/>
  <c r="BZ48" i="155"/>
  <c r="BX48" i="155"/>
  <c r="BV48" i="155"/>
  <c r="BT48" i="155"/>
  <c r="BR48" i="155"/>
  <c r="BP48" i="155"/>
  <c r="BN48" i="155"/>
  <c r="BK48" i="155"/>
  <c r="BI48" i="155"/>
  <c r="BG48" i="155"/>
  <c r="BE48" i="155"/>
  <c r="BC48" i="155"/>
  <c r="BA48" i="155"/>
  <c r="AY48" i="155"/>
  <c r="AW48" i="155"/>
  <c r="AU48" i="155"/>
  <c r="AS48" i="155"/>
  <c r="AQ48" i="155"/>
  <c r="AO48" i="155"/>
  <c r="AM48" i="155"/>
  <c r="AK48" i="155"/>
  <c r="DB47" i="155"/>
  <c r="CZ47" i="155"/>
  <c r="CX47" i="155"/>
  <c r="CV47" i="155"/>
  <c r="CT47" i="155"/>
  <c r="CR47" i="155"/>
  <c r="CP47" i="155"/>
  <c r="CN47" i="155"/>
  <c r="CL47" i="155"/>
  <c r="CJ47" i="155"/>
  <c r="CH47" i="155"/>
  <c r="CF47" i="155"/>
  <c r="CD47" i="155"/>
  <c r="CB47" i="155"/>
  <c r="BZ47" i="155"/>
  <c r="BX47" i="155"/>
  <c r="BV47" i="155"/>
  <c r="BT47" i="155"/>
  <c r="BR47" i="155"/>
  <c r="BP47" i="155"/>
  <c r="BN47" i="155"/>
  <c r="BK47" i="155"/>
  <c r="BI47" i="155"/>
  <c r="BG47" i="155"/>
  <c r="BE47" i="155"/>
  <c r="BC47" i="155"/>
  <c r="BA47" i="155"/>
  <c r="AY47" i="155"/>
  <c r="AW47" i="155"/>
  <c r="AU47" i="155"/>
  <c r="AS47" i="155"/>
  <c r="AQ47" i="155"/>
  <c r="AO47" i="155"/>
  <c r="AM47" i="155"/>
  <c r="AK47" i="155"/>
  <c r="DB46" i="155"/>
  <c r="CZ46" i="155"/>
  <c r="CX46" i="155"/>
  <c r="CV46" i="155"/>
  <c r="CT46" i="155"/>
  <c r="CR46" i="155"/>
  <c r="CP46" i="155"/>
  <c r="CN46" i="155"/>
  <c r="CL46" i="155"/>
  <c r="CJ46" i="155"/>
  <c r="CH46" i="155"/>
  <c r="CF46" i="155"/>
  <c r="CD46" i="155"/>
  <c r="CB46" i="155"/>
  <c r="BZ46" i="155"/>
  <c r="BX46" i="155"/>
  <c r="BV46" i="155"/>
  <c r="BT46" i="155"/>
  <c r="BR46" i="155"/>
  <c r="BP46" i="155"/>
  <c r="BN46" i="155"/>
  <c r="BK46" i="155"/>
  <c r="BI46" i="155"/>
  <c r="BG46" i="155"/>
  <c r="BE46" i="155"/>
  <c r="BC46" i="155"/>
  <c r="BA46" i="155"/>
  <c r="AY46" i="155"/>
  <c r="AW46" i="155"/>
  <c r="AU46" i="155"/>
  <c r="AS46" i="155"/>
  <c r="AQ46" i="155"/>
  <c r="AO46" i="155"/>
  <c r="AM46" i="155"/>
  <c r="AK46" i="155"/>
  <c r="DB45" i="155"/>
  <c r="CZ45" i="155"/>
  <c r="CX45" i="155"/>
  <c r="CV45" i="155"/>
  <c r="CT45" i="155"/>
  <c r="CR45" i="155"/>
  <c r="CP45" i="155"/>
  <c r="CN45" i="155"/>
  <c r="CL45" i="155"/>
  <c r="CJ45" i="155"/>
  <c r="CH45" i="155"/>
  <c r="CF45" i="155"/>
  <c r="CD45" i="155"/>
  <c r="CB45" i="155"/>
  <c r="BZ45" i="155"/>
  <c r="BX45" i="155"/>
  <c r="BV45" i="155"/>
  <c r="BT45" i="155"/>
  <c r="BR45" i="155"/>
  <c r="BP45" i="155"/>
  <c r="BN45" i="155"/>
  <c r="BK45" i="155"/>
  <c r="BI45" i="155"/>
  <c r="BG45" i="155"/>
  <c r="BE45" i="155"/>
  <c r="BC45" i="155"/>
  <c r="BA45" i="155"/>
  <c r="AY45" i="155"/>
  <c r="AW45" i="155"/>
  <c r="AU45" i="155"/>
  <c r="AS45" i="155"/>
  <c r="AQ45" i="155"/>
  <c r="AO45" i="155"/>
  <c r="AM45" i="155"/>
  <c r="AK45" i="155"/>
  <c r="DB44" i="155"/>
  <c r="CZ44" i="155"/>
  <c r="CX44" i="155"/>
  <c r="CV44" i="155"/>
  <c r="CT44" i="155"/>
  <c r="CR44" i="155"/>
  <c r="CP44" i="155"/>
  <c r="CN44" i="155"/>
  <c r="CL44" i="155"/>
  <c r="CJ44" i="155"/>
  <c r="CH44" i="155"/>
  <c r="CF44" i="155"/>
  <c r="CD44" i="155"/>
  <c r="CB44" i="155"/>
  <c r="BZ44" i="155"/>
  <c r="BX44" i="155"/>
  <c r="BV44" i="155"/>
  <c r="BT44" i="155"/>
  <c r="BR44" i="155"/>
  <c r="BP44" i="155"/>
  <c r="BN44" i="155"/>
  <c r="BK44" i="155"/>
  <c r="BI44" i="155"/>
  <c r="BG44" i="155"/>
  <c r="BE44" i="155"/>
  <c r="BC44" i="155"/>
  <c r="BA44" i="155"/>
  <c r="AY44" i="155"/>
  <c r="AW44" i="155"/>
  <c r="AU44" i="155"/>
  <c r="AS44" i="155"/>
  <c r="AQ44" i="155"/>
  <c r="AO44" i="155"/>
  <c r="AM44" i="155"/>
  <c r="AK44" i="155"/>
  <c r="E44" i="155"/>
  <c r="C44" i="155" s="1"/>
  <c r="DB43" i="155"/>
  <c r="CZ43" i="155"/>
  <c r="CX43" i="155"/>
  <c r="CV43" i="155"/>
  <c r="CT43" i="155"/>
  <c r="CR43" i="155"/>
  <c r="CP43" i="155"/>
  <c r="CN43" i="155"/>
  <c r="CL43" i="155"/>
  <c r="CJ43" i="155"/>
  <c r="CH43" i="155"/>
  <c r="CF43" i="155"/>
  <c r="CD43" i="155"/>
  <c r="CB43" i="155"/>
  <c r="BZ43" i="155"/>
  <c r="BX43" i="155"/>
  <c r="BV43" i="155"/>
  <c r="BT43" i="155"/>
  <c r="BR43" i="155"/>
  <c r="BP43" i="155"/>
  <c r="BN43" i="155"/>
  <c r="BK43" i="155"/>
  <c r="BI43" i="155"/>
  <c r="BG43" i="155"/>
  <c r="BE43" i="155"/>
  <c r="BC43" i="155"/>
  <c r="BA43" i="155"/>
  <c r="AY43" i="155"/>
  <c r="AW43" i="155"/>
  <c r="AU43" i="155"/>
  <c r="AS43" i="155"/>
  <c r="AQ43" i="155"/>
  <c r="AO43" i="155"/>
  <c r="AM43" i="155"/>
  <c r="AK43" i="155"/>
  <c r="DB42" i="155"/>
  <c r="CZ42" i="155"/>
  <c r="CX42" i="155"/>
  <c r="CV42" i="155"/>
  <c r="CT42" i="155"/>
  <c r="CR42" i="155"/>
  <c r="CP42" i="155"/>
  <c r="CN42" i="155"/>
  <c r="CL42" i="155"/>
  <c r="CJ42" i="155"/>
  <c r="CH42" i="155"/>
  <c r="CF42" i="155"/>
  <c r="CD42" i="155"/>
  <c r="CB42" i="155"/>
  <c r="BZ42" i="155"/>
  <c r="BX42" i="155"/>
  <c r="BV42" i="155"/>
  <c r="BT42" i="155"/>
  <c r="BR42" i="155"/>
  <c r="BP42" i="155"/>
  <c r="BN42" i="155"/>
  <c r="BK42" i="155"/>
  <c r="BI42" i="155"/>
  <c r="BG42" i="155"/>
  <c r="BE42" i="155"/>
  <c r="BC42" i="155"/>
  <c r="BA42" i="155"/>
  <c r="AY42" i="155"/>
  <c r="AW42" i="155"/>
  <c r="AU42" i="155"/>
  <c r="AS42" i="155"/>
  <c r="AQ42" i="155"/>
  <c r="AO42" i="155"/>
  <c r="AM42" i="155"/>
  <c r="AK42" i="155"/>
  <c r="DB41" i="155"/>
  <c r="CZ41" i="155"/>
  <c r="CX41" i="155"/>
  <c r="CV41" i="155"/>
  <c r="CT41" i="155"/>
  <c r="CR41" i="155"/>
  <c r="CP41" i="155"/>
  <c r="CN41" i="155"/>
  <c r="CL41" i="155"/>
  <c r="CJ41" i="155"/>
  <c r="CH41" i="155"/>
  <c r="CF41" i="155"/>
  <c r="CD41" i="155"/>
  <c r="CB41" i="155"/>
  <c r="BZ41" i="155"/>
  <c r="BX41" i="155"/>
  <c r="BV41" i="155"/>
  <c r="BT41" i="155"/>
  <c r="BR41" i="155"/>
  <c r="BP41" i="155"/>
  <c r="BN41" i="155"/>
  <c r="BK41" i="155"/>
  <c r="BI41" i="155"/>
  <c r="BG41" i="155"/>
  <c r="BE41" i="155"/>
  <c r="BC41" i="155"/>
  <c r="BA41" i="155"/>
  <c r="AY41" i="155"/>
  <c r="AW41" i="155"/>
  <c r="AU41" i="155"/>
  <c r="AS41" i="155"/>
  <c r="AQ41" i="155"/>
  <c r="AO41" i="155"/>
  <c r="AM41" i="155"/>
  <c r="AK41" i="155"/>
  <c r="E41" i="155"/>
  <c r="C41" i="155"/>
  <c r="DB40" i="155"/>
  <c r="CZ40" i="155"/>
  <c r="CX40" i="155"/>
  <c r="CV40" i="155"/>
  <c r="CT40" i="155"/>
  <c r="CR40" i="155"/>
  <c r="CP40" i="155"/>
  <c r="CN40" i="155"/>
  <c r="CL40" i="155"/>
  <c r="CJ40" i="155"/>
  <c r="CH40" i="155"/>
  <c r="CF40" i="155"/>
  <c r="CD40" i="155"/>
  <c r="CB40" i="155"/>
  <c r="BZ40" i="155"/>
  <c r="BX40" i="155"/>
  <c r="BV40" i="155"/>
  <c r="BT40" i="155"/>
  <c r="BR40" i="155"/>
  <c r="BP40" i="155"/>
  <c r="BN40" i="155"/>
  <c r="BK40" i="155"/>
  <c r="BI40" i="155"/>
  <c r="BG40" i="155"/>
  <c r="BE40" i="155"/>
  <c r="BC40" i="155"/>
  <c r="BA40" i="155"/>
  <c r="AY40" i="155"/>
  <c r="AW40" i="155"/>
  <c r="AU40" i="155"/>
  <c r="AS40" i="155"/>
  <c r="AQ40" i="155"/>
  <c r="AO40" i="155"/>
  <c r="AM40" i="155"/>
  <c r="AK40" i="155"/>
  <c r="DB39" i="155"/>
  <c r="CZ39" i="155"/>
  <c r="CX39" i="155"/>
  <c r="CV39" i="155"/>
  <c r="CT39" i="155"/>
  <c r="CR39" i="155"/>
  <c r="CP39" i="155"/>
  <c r="CN39" i="155"/>
  <c r="CL39" i="155"/>
  <c r="CJ39" i="155"/>
  <c r="CH39" i="155"/>
  <c r="CF39" i="155"/>
  <c r="CD39" i="155"/>
  <c r="CB39" i="155"/>
  <c r="BZ39" i="155"/>
  <c r="BX39" i="155"/>
  <c r="BV39" i="155"/>
  <c r="BT39" i="155"/>
  <c r="BR39" i="155"/>
  <c r="BP39" i="155"/>
  <c r="BN39" i="155"/>
  <c r="BK39" i="155"/>
  <c r="BI39" i="155"/>
  <c r="BG39" i="155"/>
  <c r="BE39" i="155"/>
  <c r="BC39" i="155"/>
  <c r="BA39" i="155"/>
  <c r="AY39" i="155"/>
  <c r="AW39" i="155"/>
  <c r="AU39" i="155"/>
  <c r="AS39" i="155"/>
  <c r="AQ39" i="155"/>
  <c r="AO39" i="155"/>
  <c r="AM39" i="155"/>
  <c r="AK39" i="155"/>
  <c r="DB38" i="155"/>
  <c r="CZ38" i="155"/>
  <c r="CX38" i="155"/>
  <c r="CV38" i="155"/>
  <c r="CT38" i="155"/>
  <c r="CR38" i="155"/>
  <c r="CP38" i="155"/>
  <c r="CN38" i="155"/>
  <c r="CL38" i="155"/>
  <c r="CJ38" i="155"/>
  <c r="CH38" i="155"/>
  <c r="CF38" i="155"/>
  <c r="CD38" i="155"/>
  <c r="CB38" i="155"/>
  <c r="BZ38" i="155"/>
  <c r="BX38" i="155"/>
  <c r="BV38" i="155"/>
  <c r="BT38" i="155"/>
  <c r="BR38" i="155"/>
  <c r="BP38" i="155"/>
  <c r="BN38" i="155"/>
  <c r="BK38" i="155"/>
  <c r="BI38" i="155"/>
  <c r="BG38" i="155"/>
  <c r="BE38" i="155"/>
  <c r="BC38" i="155"/>
  <c r="BA38" i="155"/>
  <c r="AY38" i="155"/>
  <c r="AW38" i="155"/>
  <c r="AU38" i="155"/>
  <c r="AS38" i="155"/>
  <c r="AQ38" i="155"/>
  <c r="AO38" i="155"/>
  <c r="AM38" i="155"/>
  <c r="AK38" i="155"/>
  <c r="E38" i="155"/>
  <c r="C38" i="155"/>
  <c r="DB37" i="155"/>
  <c r="CZ37" i="155"/>
  <c r="CX37" i="155"/>
  <c r="CV37" i="155"/>
  <c r="CT37" i="155"/>
  <c r="CR37" i="155"/>
  <c r="CP37" i="155"/>
  <c r="CN37" i="155"/>
  <c r="CL37" i="155"/>
  <c r="CJ37" i="155"/>
  <c r="CH37" i="155"/>
  <c r="CF37" i="155"/>
  <c r="CD37" i="155"/>
  <c r="CB37" i="155"/>
  <c r="BZ37" i="155"/>
  <c r="BX37" i="155"/>
  <c r="BV37" i="155"/>
  <c r="BT37" i="155"/>
  <c r="BR37" i="155"/>
  <c r="BP37" i="155"/>
  <c r="BN37" i="155"/>
  <c r="BK37" i="155"/>
  <c r="BI37" i="155"/>
  <c r="BG37" i="155"/>
  <c r="BE37" i="155"/>
  <c r="BC37" i="155"/>
  <c r="BA37" i="155"/>
  <c r="AY37" i="155"/>
  <c r="AW37" i="155"/>
  <c r="AU37" i="155"/>
  <c r="AS37" i="155"/>
  <c r="AQ37" i="155"/>
  <c r="AO37" i="155"/>
  <c r="AM37" i="155"/>
  <c r="AK37" i="155"/>
  <c r="DB36" i="155"/>
  <c r="CZ36" i="155"/>
  <c r="CX36" i="155"/>
  <c r="CV36" i="155"/>
  <c r="CT36" i="155"/>
  <c r="CR36" i="155"/>
  <c r="CP36" i="155"/>
  <c r="CN36" i="155"/>
  <c r="CL36" i="155"/>
  <c r="CJ36" i="155"/>
  <c r="CH36" i="155"/>
  <c r="CF36" i="155"/>
  <c r="CD36" i="155"/>
  <c r="CB36" i="155"/>
  <c r="BZ36" i="155"/>
  <c r="BX36" i="155"/>
  <c r="BV36" i="155"/>
  <c r="BT36" i="155"/>
  <c r="BR36" i="155"/>
  <c r="BP36" i="155"/>
  <c r="BN36" i="155"/>
  <c r="BK36" i="155"/>
  <c r="BI36" i="155"/>
  <c r="BG36" i="155"/>
  <c r="BE36" i="155"/>
  <c r="BC36" i="155"/>
  <c r="BA36" i="155"/>
  <c r="AY36" i="155"/>
  <c r="AW36" i="155"/>
  <c r="AU36" i="155"/>
  <c r="AS36" i="155"/>
  <c r="AQ36" i="155"/>
  <c r="AO36" i="155"/>
  <c r="AM36" i="155"/>
  <c r="AK36" i="155"/>
  <c r="I36" i="155"/>
  <c r="G36" i="155"/>
  <c r="DB35" i="155"/>
  <c r="CZ35" i="155"/>
  <c r="CX35" i="155"/>
  <c r="CV35" i="155"/>
  <c r="CT35" i="155"/>
  <c r="CR35" i="155"/>
  <c r="CP35" i="155"/>
  <c r="CN35" i="155"/>
  <c r="CL35" i="155"/>
  <c r="CJ35" i="155"/>
  <c r="CH35" i="155"/>
  <c r="CF35" i="155"/>
  <c r="CD35" i="155"/>
  <c r="CB35" i="155"/>
  <c r="BZ35" i="155"/>
  <c r="BX35" i="155"/>
  <c r="BV35" i="155"/>
  <c r="BT35" i="155"/>
  <c r="BR35" i="155"/>
  <c r="BP35" i="155"/>
  <c r="BN35" i="155"/>
  <c r="BK35" i="155"/>
  <c r="BI35" i="155"/>
  <c r="BG35" i="155"/>
  <c r="BE35" i="155"/>
  <c r="BC35" i="155"/>
  <c r="BA35" i="155"/>
  <c r="AY35" i="155"/>
  <c r="AW35" i="155"/>
  <c r="AU35" i="155"/>
  <c r="AS35" i="155"/>
  <c r="AQ35" i="155"/>
  <c r="AO35" i="155"/>
  <c r="AM35" i="155"/>
  <c r="AK35" i="155"/>
  <c r="DB34" i="155"/>
  <c r="CZ34" i="155"/>
  <c r="CX34" i="155"/>
  <c r="CV34" i="155"/>
  <c r="CT34" i="155"/>
  <c r="CR34" i="155"/>
  <c r="CP34" i="155"/>
  <c r="CN34" i="155"/>
  <c r="CL34" i="155"/>
  <c r="CJ34" i="155"/>
  <c r="CH34" i="155"/>
  <c r="CF34" i="155"/>
  <c r="CD34" i="155"/>
  <c r="CB34" i="155"/>
  <c r="BZ34" i="155"/>
  <c r="BX34" i="155"/>
  <c r="BV34" i="155"/>
  <c r="BT34" i="155"/>
  <c r="BR34" i="155"/>
  <c r="BP34" i="155"/>
  <c r="BN34" i="155"/>
  <c r="BK34" i="155"/>
  <c r="BI34" i="155"/>
  <c r="BG34" i="155"/>
  <c r="BE34" i="155"/>
  <c r="BC34" i="155"/>
  <c r="BA34" i="155"/>
  <c r="AY34" i="155"/>
  <c r="AW34" i="155"/>
  <c r="AU34" i="155"/>
  <c r="AS34" i="155"/>
  <c r="AQ34" i="155"/>
  <c r="AO34" i="155"/>
  <c r="AM34" i="155"/>
  <c r="AK34" i="155"/>
  <c r="K34" i="155"/>
  <c r="I34" i="155"/>
  <c r="DB33" i="155"/>
  <c r="CZ33" i="155"/>
  <c r="CX33" i="155"/>
  <c r="CV33" i="155"/>
  <c r="CT33" i="155"/>
  <c r="CR33" i="155"/>
  <c r="CP33" i="155"/>
  <c r="CN33" i="155"/>
  <c r="CL33" i="155"/>
  <c r="CJ33" i="155"/>
  <c r="CH33" i="155"/>
  <c r="CF33" i="155"/>
  <c r="CD33" i="155"/>
  <c r="CB33" i="155"/>
  <c r="BZ33" i="155"/>
  <c r="BX33" i="155"/>
  <c r="BV33" i="155"/>
  <c r="BT33" i="155"/>
  <c r="BR33" i="155"/>
  <c r="BP33" i="155"/>
  <c r="BN33" i="155"/>
  <c r="BK33" i="155"/>
  <c r="BI33" i="155"/>
  <c r="BG33" i="155"/>
  <c r="BE33" i="155"/>
  <c r="BC33" i="155"/>
  <c r="BA33" i="155"/>
  <c r="AY33" i="155"/>
  <c r="AW33" i="155"/>
  <c r="AU33" i="155"/>
  <c r="AS33" i="155"/>
  <c r="AQ33" i="155"/>
  <c r="AO33" i="155"/>
  <c r="AM33" i="155"/>
  <c r="AK33" i="155"/>
  <c r="DB32" i="155"/>
  <c r="CZ32" i="155"/>
  <c r="CX32" i="155"/>
  <c r="CV32" i="155"/>
  <c r="CT32" i="155"/>
  <c r="CR32" i="155"/>
  <c r="CP32" i="155"/>
  <c r="CN32" i="155"/>
  <c r="CL32" i="155"/>
  <c r="CJ32" i="155"/>
  <c r="CH32" i="155"/>
  <c r="CF32" i="155"/>
  <c r="CD32" i="155"/>
  <c r="CB32" i="155"/>
  <c r="BZ32" i="155"/>
  <c r="BX32" i="155"/>
  <c r="BV32" i="155"/>
  <c r="BT32" i="155"/>
  <c r="BR32" i="155"/>
  <c r="BP32" i="155"/>
  <c r="BN32" i="155"/>
  <c r="BK32" i="155"/>
  <c r="BI32" i="155"/>
  <c r="BG32" i="155"/>
  <c r="BE32" i="155"/>
  <c r="BC32" i="155"/>
  <c r="BA32" i="155"/>
  <c r="AY32" i="155"/>
  <c r="AW32" i="155"/>
  <c r="AU32" i="155"/>
  <c r="AS32" i="155"/>
  <c r="AQ32" i="155"/>
  <c r="AO32" i="155"/>
  <c r="AM32" i="155"/>
  <c r="AK32" i="155"/>
  <c r="K32" i="155"/>
  <c r="G32" i="155"/>
  <c r="DB31" i="155"/>
  <c r="CZ31" i="155"/>
  <c r="CX31" i="155"/>
  <c r="CV31" i="155"/>
  <c r="CT31" i="155"/>
  <c r="CR31" i="155"/>
  <c r="CP31" i="155"/>
  <c r="CN31" i="155"/>
  <c r="CL31" i="155"/>
  <c r="CJ31" i="155"/>
  <c r="CH31" i="155"/>
  <c r="CF31" i="155"/>
  <c r="CD31" i="155"/>
  <c r="CB31" i="155"/>
  <c r="BZ31" i="155"/>
  <c r="BX31" i="155"/>
  <c r="BV31" i="155"/>
  <c r="BT31" i="155"/>
  <c r="BR31" i="155"/>
  <c r="BP31" i="155"/>
  <c r="BN31" i="155"/>
  <c r="BK31" i="155"/>
  <c r="BI31" i="155"/>
  <c r="BG31" i="155"/>
  <c r="BE31" i="155"/>
  <c r="BC31" i="155"/>
  <c r="BA31" i="155"/>
  <c r="AY31" i="155"/>
  <c r="AW31" i="155"/>
  <c r="AU31" i="155"/>
  <c r="AS31" i="155"/>
  <c r="AQ31" i="155"/>
  <c r="AO31" i="155"/>
  <c r="AM31" i="155"/>
  <c r="AK31" i="155"/>
  <c r="DB30" i="155"/>
  <c r="CZ30" i="155"/>
  <c r="CX30" i="155"/>
  <c r="CV30" i="155"/>
  <c r="CT30" i="155"/>
  <c r="CR30" i="155"/>
  <c r="CP30" i="155"/>
  <c r="CN30" i="155"/>
  <c r="CL30" i="155"/>
  <c r="CJ30" i="155"/>
  <c r="CH30" i="155"/>
  <c r="CF30" i="155"/>
  <c r="CD30" i="155"/>
  <c r="CB30" i="155"/>
  <c r="BZ30" i="155"/>
  <c r="BX30" i="155"/>
  <c r="BV30" i="155"/>
  <c r="BT30" i="155"/>
  <c r="BR30" i="155"/>
  <c r="BP30" i="155"/>
  <c r="BN30" i="155"/>
  <c r="BK30" i="155"/>
  <c r="BI30" i="155"/>
  <c r="BG30" i="155"/>
  <c r="BE30" i="155"/>
  <c r="BC30" i="155"/>
  <c r="BA30" i="155"/>
  <c r="AY30" i="155"/>
  <c r="AW30" i="155"/>
  <c r="AU30" i="155"/>
  <c r="AS30" i="155"/>
  <c r="AQ30" i="155"/>
  <c r="AO30" i="155"/>
  <c r="AM30" i="155"/>
  <c r="AK30" i="155"/>
  <c r="Q30" i="155"/>
  <c r="O30" i="155"/>
  <c r="CX29" i="155"/>
  <c r="CV29" i="155"/>
  <c r="CT29" i="155"/>
  <c r="CR29" i="155"/>
  <c r="CP29" i="155"/>
  <c r="CN29" i="155"/>
  <c r="CL29" i="155"/>
  <c r="CJ29" i="155"/>
  <c r="CH29" i="155"/>
  <c r="CF29" i="155"/>
  <c r="CD29" i="155"/>
  <c r="CB29" i="155"/>
  <c r="BZ29" i="155"/>
  <c r="BX29" i="155"/>
  <c r="BV29" i="155"/>
  <c r="BT29" i="155"/>
  <c r="BR29" i="155"/>
  <c r="BP29" i="155"/>
  <c r="BN29" i="155"/>
  <c r="BL29" i="155"/>
  <c r="BI29" i="155"/>
  <c r="BG29" i="155"/>
  <c r="BE29" i="155"/>
  <c r="BC29" i="155"/>
  <c r="AY29" i="155"/>
  <c r="AW29" i="155"/>
  <c r="AU29" i="155"/>
  <c r="AS29" i="155"/>
  <c r="AQ29" i="155"/>
  <c r="AO29" i="155"/>
  <c r="AM29" i="155"/>
  <c r="DB28" i="155"/>
  <c r="CZ28" i="155"/>
  <c r="CX28" i="155"/>
  <c r="CV28" i="155"/>
  <c r="CT28" i="155"/>
  <c r="CR28" i="155"/>
  <c r="CP28" i="155"/>
  <c r="CN28" i="155"/>
  <c r="CL28" i="155"/>
  <c r="CJ28" i="155"/>
  <c r="CH28" i="155"/>
  <c r="CF28" i="155"/>
  <c r="CD28" i="155"/>
  <c r="CB28" i="155"/>
  <c r="BZ28" i="155"/>
  <c r="BX28" i="155"/>
  <c r="BV28" i="155"/>
  <c r="BT28" i="155"/>
  <c r="BR28" i="155"/>
  <c r="BP28" i="155"/>
  <c r="BN28" i="155"/>
  <c r="BK28" i="155"/>
  <c r="BI28" i="155"/>
  <c r="BG28" i="155"/>
  <c r="BE28" i="155"/>
  <c r="BC28" i="155"/>
  <c r="BA28" i="155"/>
  <c r="AY28" i="155"/>
  <c r="AW28" i="155"/>
  <c r="AU28" i="155"/>
  <c r="AS28" i="155"/>
  <c r="AQ28" i="155"/>
  <c r="AO28" i="155"/>
  <c r="AM28" i="155"/>
  <c r="AK28" i="155"/>
  <c r="DB27" i="155"/>
  <c r="CZ27" i="155"/>
  <c r="CX27" i="155"/>
  <c r="CV27" i="155"/>
  <c r="CT27" i="155"/>
  <c r="CR27" i="155"/>
  <c r="CP27" i="155"/>
  <c r="CN27" i="155"/>
  <c r="CL27" i="155"/>
  <c r="CJ27" i="155"/>
  <c r="CH27" i="155"/>
  <c r="CF27" i="155"/>
  <c r="CD27" i="155"/>
  <c r="CB27" i="155"/>
  <c r="BZ27" i="155"/>
  <c r="BX27" i="155"/>
  <c r="BV27" i="155"/>
  <c r="BT27" i="155"/>
  <c r="BR27" i="155"/>
  <c r="BP27" i="155"/>
  <c r="BN27" i="155"/>
  <c r="BK27" i="155"/>
  <c r="BI27" i="155"/>
  <c r="BG27" i="155"/>
  <c r="BE27" i="155"/>
  <c r="BC27" i="155"/>
  <c r="BA27" i="155"/>
  <c r="AY27" i="155"/>
  <c r="AW27" i="155"/>
  <c r="AU27" i="155"/>
  <c r="AS27" i="155"/>
  <c r="AQ27" i="155"/>
  <c r="AO27" i="155"/>
  <c r="AM27" i="155"/>
  <c r="AK27" i="155"/>
  <c r="E27" i="155"/>
  <c r="C27" i="155" s="1"/>
  <c r="DB26" i="155"/>
  <c r="CZ26" i="155"/>
  <c r="CX26" i="155"/>
  <c r="CV26" i="155"/>
  <c r="CT26" i="155"/>
  <c r="CR26" i="155"/>
  <c r="CP26" i="155"/>
  <c r="CN26" i="155"/>
  <c r="CL26" i="155"/>
  <c r="CJ26" i="155"/>
  <c r="CH26" i="155"/>
  <c r="CF26" i="155"/>
  <c r="CD26" i="155"/>
  <c r="CB26" i="155"/>
  <c r="BZ26" i="155"/>
  <c r="BX26" i="155"/>
  <c r="BV26" i="155"/>
  <c r="BT26" i="155"/>
  <c r="BR26" i="155"/>
  <c r="BP26" i="155"/>
  <c r="BN26" i="155"/>
  <c r="BK26" i="155"/>
  <c r="BI26" i="155"/>
  <c r="BG26" i="155"/>
  <c r="BE26" i="155"/>
  <c r="BC26" i="155"/>
  <c r="BA26" i="155"/>
  <c r="AY26" i="155"/>
  <c r="AW26" i="155"/>
  <c r="AU26" i="155"/>
  <c r="AS26" i="155"/>
  <c r="AQ26" i="155"/>
  <c r="AO26" i="155"/>
  <c r="AM26" i="155"/>
  <c r="AK26" i="155"/>
  <c r="DB25" i="155"/>
  <c r="CZ25" i="155"/>
  <c r="CX25" i="155"/>
  <c r="CV25" i="155"/>
  <c r="CT25" i="155"/>
  <c r="CR25" i="155"/>
  <c r="CP25" i="155"/>
  <c r="CN25" i="155"/>
  <c r="CL25" i="155"/>
  <c r="CJ25" i="155"/>
  <c r="CH25" i="155"/>
  <c r="CF25" i="155"/>
  <c r="CD25" i="155"/>
  <c r="CB25" i="155"/>
  <c r="BZ25" i="155"/>
  <c r="BX25" i="155"/>
  <c r="BV25" i="155"/>
  <c r="BT25" i="155"/>
  <c r="BR25" i="155"/>
  <c r="BP25" i="155"/>
  <c r="BN25" i="155"/>
  <c r="BK25" i="155"/>
  <c r="BI25" i="155"/>
  <c r="BG25" i="155"/>
  <c r="BE25" i="155"/>
  <c r="BC25" i="155"/>
  <c r="BA25" i="155"/>
  <c r="AY25" i="155"/>
  <c r="AW25" i="155"/>
  <c r="AU25" i="155"/>
  <c r="AS25" i="155"/>
  <c r="AQ25" i="155"/>
  <c r="AO25" i="155"/>
  <c r="AM25" i="155"/>
  <c r="AK25" i="155"/>
  <c r="O25" i="155"/>
  <c r="DB24" i="155"/>
  <c r="CZ24" i="155"/>
  <c r="CX24" i="155"/>
  <c r="CV24" i="155"/>
  <c r="CT24" i="155"/>
  <c r="CR24" i="155"/>
  <c r="CP24" i="155"/>
  <c r="CN24" i="155"/>
  <c r="CL24" i="155"/>
  <c r="CJ24" i="155"/>
  <c r="CH24" i="155"/>
  <c r="CF24" i="155"/>
  <c r="CD24" i="155"/>
  <c r="CB24" i="155"/>
  <c r="BZ24" i="155"/>
  <c r="BX24" i="155"/>
  <c r="BV24" i="155"/>
  <c r="BT24" i="155"/>
  <c r="BR24" i="155"/>
  <c r="BP24" i="155"/>
  <c r="BN24" i="155"/>
  <c r="BK24" i="155"/>
  <c r="BI24" i="155"/>
  <c r="BG24" i="155"/>
  <c r="BE24" i="155"/>
  <c r="BC24" i="155"/>
  <c r="BA24" i="155"/>
  <c r="AY24" i="155"/>
  <c r="AW24" i="155"/>
  <c r="AU24" i="155"/>
  <c r="AS24" i="155"/>
  <c r="AQ24" i="155"/>
  <c r="AO24" i="155"/>
  <c r="AM24" i="155"/>
  <c r="AK24" i="155"/>
  <c r="O24" i="155"/>
  <c r="M24" i="155"/>
  <c r="I24" i="155"/>
  <c r="DB23" i="155"/>
  <c r="CZ23" i="155"/>
  <c r="CX23" i="155"/>
  <c r="CV23" i="155"/>
  <c r="CT23" i="155"/>
  <c r="CR23" i="155"/>
  <c r="CP23" i="155"/>
  <c r="CN23" i="155"/>
  <c r="CL23" i="155"/>
  <c r="CJ23" i="155"/>
  <c r="CH23" i="155"/>
  <c r="CF23" i="155"/>
  <c r="CD23" i="155"/>
  <c r="CB23" i="155"/>
  <c r="BZ23" i="155"/>
  <c r="BX23" i="155"/>
  <c r="BV23" i="155"/>
  <c r="BT23" i="155"/>
  <c r="BR23" i="155"/>
  <c r="BP23" i="155"/>
  <c r="BN23" i="155"/>
  <c r="BK23" i="155"/>
  <c r="BI23" i="155"/>
  <c r="BG23" i="155"/>
  <c r="BE23" i="155"/>
  <c r="BC23" i="155"/>
  <c r="BA23" i="155"/>
  <c r="AY23" i="155"/>
  <c r="AW23" i="155"/>
  <c r="AU23" i="155"/>
  <c r="AS23" i="155"/>
  <c r="AQ23" i="155"/>
  <c r="AO23" i="155"/>
  <c r="AM23" i="155"/>
  <c r="AK23" i="155"/>
  <c r="O23" i="155"/>
  <c r="DB22" i="155"/>
  <c r="CZ22" i="155"/>
  <c r="CX22" i="155"/>
  <c r="CV22" i="155"/>
  <c r="CT22" i="155"/>
  <c r="CR22" i="155"/>
  <c r="CP22" i="155"/>
  <c r="CN22" i="155"/>
  <c r="CL22" i="155"/>
  <c r="CJ22" i="155"/>
  <c r="CH22" i="155"/>
  <c r="CF22" i="155"/>
  <c r="CD22" i="155"/>
  <c r="CB22" i="155"/>
  <c r="BZ22" i="155"/>
  <c r="BX22" i="155"/>
  <c r="BV22" i="155"/>
  <c r="BT22" i="155"/>
  <c r="BR22" i="155"/>
  <c r="BP22" i="155"/>
  <c r="BN22" i="155"/>
  <c r="BK22" i="155"/>
  <c r="BI22" i="155"/>
  <c r="BG22" i="155"/>
  <c r="BE22" i="155"/>
  <c r="BC22" i="155"/>
  <c r="BA22" i="155"/>
  <c r="AY22" i="155"/>
  <c r="AW22" i="155"/>
  <c r="AU22" i="155"/>
  <c r="AS22" i="155"/>
  <c r="AQ22" i="155"/>
  <c r="AO22" i="155"/>
  <c r="AM22" i="155"/>
  <c r="AK22" i="155"/>
  <c r="E22" i="155"/>
  <c r="C22" i="155" s="1"/>
  <c r="DB21" i="155"/>
  <c r="CZ21" i="155"/>
  <c r="CX21" i="155"/>
  <c r="CV21" i="155"/>
  <c r="CT21" i="155"/>
  <c r="CR21" i="155"/>
  <c r="CP21" i="155"/>
  <c r="CN21" i="155"/>
  <c r="CL21" i="155"/>
  <c r="CJ21" i="155"/>
  <c r="CH21" i="155"/>
  <c r="CF21" i="155"/>
  <c r="CD21" i="155"/>
  <c r="CB21" i="155"/>
  <c r="BZ21" i="155"/>
  <c r="BX21" i="155"/>
  <c r="BV21" i="155"/>
  <c r="BT21" i="155"/>
  <c r="BR21" i="155"/>
  <c r="BP21" i="155"/>
  <c r="BN21" i="155"/>
  <c r="BK21" i="155"/>
  <c r="BI21" i="155"/>
  <c r="BG21" i="155"/>
  <c r="BE21" i="155"/>
  <c r="BC21" i="155"/>
  <c r="BA21" i="155"/>
  <c r="AY21" i="155"/>
  <c r="AW21" i="155"/>
  <c r="AU21" i="155"/>
  <c r="AS21" i="155"/>
  <c r="AQ21" i="155"/>
  <c r="AO21" i="155"/>
  <c r="AM21" i="155"/>
  <c r="AK21" i="155"/>
  <c r="DB20" i="155"/>
  <c r="CZ20" i="155"/>
  <c r="CX20" i="155"/>
  <c r="CV20" i="155"/>
  <c r="CT20" i="155"/>
  <c r="CR20" i="155"/>
  <c r="CP20" i="155"/>
  <c r="CN20" i="155"/>
  <c r="CL20" i="155"/>
  <c r="CJ20" i="155"/>
  <c r="CH20" i="155"/>
  <c r="CF20" i="155"/>
  <c r="CD20" i="155"/>
  <c r="CB20" i="155"/>
  <c r="BZ20" i="155"/>
  <c r="BX20" i="155"/>
  <c r="BV20" i="155"/>
  <c r="BT20" i="155"/>
  <c r="BR20" i="155"/>
  <c r="BP20" i="155"/>
  <c r="BN20" i="155"/>
  <c r="BK20" i="155"/>
  <c r="BI20" i="155"/>
  <c r="BG20" i="155"/>
  <c r="BE20" i="155"/>
  <c r="BC20" i="155"/>
  <c r="BA20" i="155"/>
  <c r="AY20" i="155"/>
  <c r="AW20" i="155"/>
  <c r="AU20" i="155"/>
  <c r="AS20" i="155"/>
  <c r="AQ20" i="155"/>
  <c r="AO20" i="155"/>
  <c r="AM20" i="155"/>
  <c r="AK20" i="155"/>
  <c r="DB19" i="155"/>
  <c r="CZ19" i="155"/>
  <c r="CX19" i="155"/>
  <c r="CV19" i="155"/>
  <c r="CT19" i="155"/>
  <c r="CR19" i="155"/>
  <c r="CP19" i="155"/>
  <c r="CN19" i="155"/>
  <c r="CL19" i="155"/>
  <c r="CJ19" i="155"/>
  <c r="CH19" i="155"/>
  <c r="CF19" i="155"/>
  <c r="CD19" i="155"/>
  <c r="CB19" i="155"/>
  <c r="BZ19" i="155"/>
  <c r="BX19" i="155"/>
  <c r="BV19" i="155"/>
  <c r="BT19" i="155"/>
  <c r="BR19" i="155"/>
  <c r="BP19" i="155"/>
  <c r="BN19" i="155"/>
  <c r="BK19" i="155"/>
  <c r="BI19" i="155"/>
  <c r="BG19" i="155"/>
  <c r="BE19" i="155"/>
  <c r="BC19" i="155"/>
  <c r="BA19" i="155"/>
  <c r="AY19" i="155"/>
  <c r="AW19" i="155"/>
  <c r="AU19" i="155"/>
  <c r="AS19" i="155"/>
  <c r="AQ19" i="155"/>
  <c r="AO19" i="155"/>
  <c r="AM19" i="155"/>
  <c r="AK19" i="155"/>
  <c r="E19" i="155"/>
  <c r="DB18" i="155"/>
  <c r="CZ18" i="155"/>
  <c r="CX18" i="155"/>
  <c r="CV18" i="155"/>
  <c r="CT18" i="155"/>
  <c r="CR18" i="155"/>
  <c r="CP18" i="155"/>
  <c r="CN18" i="155"/>
  <c r="CL18" i="155"/>
  <c r="CJ18" i="155"/>
  <c r="CH18" i="155"/>
  <c r="CF18" i="155"/>
  <c r="CD18" i="155"/>
  <c r="CB18" i="155"/>
  <c r="BZ18" i="155"/>
  <c r="BX18" i="155"/>
  <c r="BV18" i="155"/>
  <c r="BT18" i="155"/>
  <c r="BR18" i="155"/>
  <c r="BP18" i="155"/>
  <c r="BN18" i="155"/>
  <c r="BK18" i="155"/>
  <c r="BI18" i="155"/>
  <c r="BG18" i="155"/>
  <c r="BE18" i="155"/>
  <c r="BC18" i="155"/>
  <c r="BA18" i="155"/>
  <c r="AY18" i="155"/>
  <c r="AW18" i="155"/>
  <c r="AU18" i="155"/>
  <c r="AS18" i="155"/>
  <c r="AQ18" i="155"/>
  <c r="AO18" i="155"/>
  <c r="AM18" i="155"/>
  <c r="AK18" i="155"/>
  <c r="DB17" i="155"/>
  <c r="CZ17" i="155"/>
  <c r="CX17" i="155"/>
  <c r="CV17" i="155"/>
  <c r="CT17" i="155"/>
  <c r="CR17" i="155"/>
  <c r="CP17" i="155"/>
  <c r="CN17" i="155"/>
  <c r="CL17" i="155"/>
  <c r="CJ17" i="155"/>
  <c r="CH17" i="155"/>
  <c r="CF17" i="155"/>
  <c r="CD17" i="155"/>
  <c r="CB17" i="155"/>
  <c r="BZ17" i="155"/>
  <c r="BX17" i="155"/>
  <c r="BV17" i="155"/>
  <c r="BT17" i="155"/>
  <c r="BR17" i="155"/>
  <c r="BP17" i="155"/>
  <c r="BN17" i="155"/>
  <c r="BK17" i="155"/>
  <c r="BI17" i="155"/>
  <c r="BG17" i="155"/>
  <c r="BE17" i="155"/>
  <c r="BC17" i="155"/>
  <c r="BA17" i="155"/>
  <c r="AY17" i="155"/>
  <c r="AW17" i="155"/>
  <c r="AU17" i="155"/>
  <c r="AS17" i="155"/>
  <c r="AQ17" i="155"/>
  <c r="AO17" i="155"/>
  <c r="AM17" i="155"/>
  <c r="AK17" i="155"/>
  <c r="E17" i="155"/>
  <c r="C17" i="155"/>
  <c r="AY16" i="155"/>
  <c r="AW16" i="155"/>
  <c r="AU16" i="155"/>
  <c r="AS16" i="155"/>
  <c r="AQ16" i="155"/>
  <c r="AO16" i="155"/>
  <c r="AM16" i="155"/>
  <c r="E16" i="155"/>
  <c r="C16" i="155"/>
  <c r="DB15" i="155"/>
  <c r="CZ15" i="155"/>
  <c r="CX15" i="155"/>
  <c r="CV15" i="155"/>
  <c r="CT15" i="155"/>
  <c r="CR15" i="155"/>
  <c r="CP15" i="155"/>
  <c r="CN15" i="155"/>
  <c r="CL15" i="155"/>
  <c r="CJ15" i="155"/>
  <c r="CH15" i="155"/>
  <c r="CF15" i="155"/>
  <c r="CD15" i="155"/>
  <c r="CB15" i="155"/>
  <c r="BZ15" i="155"/>
  <c r="BX15" i="155"/>
  <c r="BV15" i="155"/>
  <c r="BT15" i="155"/>
  <c r="BR15" i="155"/>
  <c r="BP15" i="155"/>
  <c r="BN15" i="155"/>
  <c r="BK15" i="155"/>
  <c r="BI15" i="155"/>
  <c r="BG15" i="155"/>
  <c r="BE15" i="155"/>
  <c r="BC15" i="155"/>
  <c r="BA15" i="155"/>
  <c r="AY15" i="155"/>
  <c r="AW15" i="155"/>
  <c r="AU15" i="155"/>
  <c r="AS15" i="155"/>
  <c r="AQ15" i="155"/>
  <c r="AO15" i="155"/>
  <c r="AM15" i="155"/>
  <c r="AK15" i="155"/>
  <c r="DB14" i="155"/>
  <c r="CZ14" i="155"/>
  <c r="CX14" i="155"/>
  <c r="CV14" i="155"/>
  <c r="CT14" i="155"/>
  <c r="CR14" i="155"/>
  <c r="CP14" i="155"/>
  <c r="CN14" i="155"/>
  <c r="CL14" i="155"/>
  <c r="CJ14" i="155"/>
  <c r="CH14" i="155"/>
  <c r="CF14" i="155"/>
  <c r="CD14" i="155"/>
  <c r="CB14" i="155"/>
  <c r="BZ14" i="155"/>
  <c r="BX14" i="155"/>
  <c r="BV14" i="155"/>
  <c r="BT14" i="155"/>
  <c r="BR14" i="155"/>
  <c r="BP14" i="155"/>
  <c r="BN14" i="155"/>
  <c r="BK14" i="155"/>
  <c r="BI14" i="155"/>
  <c r="BG14" i="155"/>
  <c r="BE14" i="155"/>
  <c r="BC14" i="155"/>
  <c r="BA14" i="155"/>
  <c r="AY14" i="155"/>
  <c r="AW14" i="155"/>
  <c r="AU14" i="155"/>
  <c r="AS14" i="155"/>
  <c r="AQ14" i="155"/>
  <c r="AO14" i="155"/>
  <c r="AM14" i="155"/>
  <c r="AK14" i="155"/>
  <c r="I14" i="155"/>
  <c r="G14" i="155"/>
  <c r="G28" i="155" s="1"/>
  <c r="DB13" i="155"/>
  <c r="CZ13" i="155"/>
  <c r="CX13" i="155"/>
  <c r="CV13" i="155"/>
  <c r="CT13" i="155"/>
  <c r="CR13" i="155"/>
  <c r="CP13" i="155"/>
  <c r="CN13" i="155"/>
  <c r="CL13" i="155"/>
  <c r="CJ13" i="155"/>
  <c r="CH13" i="155"/>
  <c r="CF13" i="155"/>
  <c r="CD13" i="155"/>
  <c r="CB13" i="155"/>
  <c r="BZ13" i="155"/>
  <c r="BX13" i="155"/>
  <c r="BV13" i="155"/>
  <c r="BT13" i="155"/>
  <c r="BR13" i="155"/>
  <c r="BP13" i="155"/>
  <c r="BN13" i="155"/>
  <c r="BK13" i="155"/>
  <c r="BI13" i="155"/>
  <c r="BG13" i="155"/>
  <c r="BE13" i="155"/>
  <c r="BC13" i="155"/>
  <c r="BA13" i="155"/>
  <c r="AY13" i="155"/>
  <c r="AW13" i="155"/>
  <c r="AU13" i="155"/>
  <c r="AS13" i="155"/>
  <c r="AQ13" i="155"/>
  <c r="AO13" i="155"/>
  <c r="AM13" i="155"/>
  <c r="AK13" i="155"/>
  <c r="E13" i="155"/>
  <c r="C13" i="155"/>
  <c r="DB12" i="155"/>
  <c r="CZ12" i="155"/>
  <c r="CX12" i="155"/>
  <c r="CV12" i="155"/>
  <c r="CT12" i="155"/>
  <c r="CR12" i="155"/>
  <c r="CP12" i="155"/>
  <c r="CN12" i="155"/>
  <c r="CL12" i="155"/>
  <c r="CJ12" i="155"/>
  <c r="CH12" i="155"/>
  <c r="CF12" i="155"/>
  <c r="CD12" i="155"/>
  <c r="CB12" i="155"/>
  <c r="BZ12" i="155"/>
  <c r="BX12" i="155"/>
  <c r="BV12" i="155"/>
  <c r="BT12" i="155"/>
  <c r="BR12" i="155"/>
  <c r="BP12" i="155"/>
  <c r="BN12" i="155"/>
  <c r="BK12" i="155"/>
  <c r="BI12" i="155"/>
  <c r="BG12" i="155"/>
  <c r="BE12" i="155"/>
  <c r="BC12" i="155"/>
  <c r="BA12" i="155"/>
  <c r="AY12" i="155"/>
  <c r="AW12" i="155"/>
  <c r="AU12" i="155"/>
  <c r="AS12" i="155"/>
  <c r="AQ12" i="155"/>
  <c r="AO12" i="155"/>
  <c r="AM12" i="155"/>
  <c r="AK12" i="155"/>
  <c r="DB11" i="155"/>
  <c r="CZ11" i="155"/>
  <c r="CX11" i="155"/>
  <c r="CV11" i="155"/>
  <c r="CT11" i="155"/>
  <c r="CR11" i="155"/>
  <c r="CP11" i="155"/>
  <c r="CN11" i="155"/>
  <c r="CL11" i="155"/>
  <c r="CJ11" i="155"/>
  <c r="CH11" i="155"/>
  <c r="CF11" i="155"/>
  <c r="CD11" i="155"/>
  <c r="CB11" i="155"/>
  <c r="BZ11" i="155"/>
  <c r="BX11" i="155"/>
  <c r="BV11" i="155"/>
  <c r="BT11" i="155"/>
  <c r="BR11" i="155"/>
  <c r="BP11" i="155"/>
  <c r="BN11" i="155"/>
  <c r="BK11" i="155"/>
  <c r="BI11" i="155"/>
  <c r="BG11" i="155"/>
  <c r="BE11" i="155"/>
  <c r="BC11" i="155"/>
  <c r="BA11" i="155"/>
  <c r="AY11" i="155"/>
  <c r="AW11" i="155"/>
  <c r="AU11" i="155"/>
  <c r="AS11" i="155"/>
  <c r="AQ11" i="155"/>
  <c r="AO11" i="155"/>
  <c r="AM11" i="155"/>
  <c r="AK11" i="155"/>
  <c r="DB10" i="155"/>
  <c r="CZ10" i="155"/>
  <c r="CX10" i="155"/>
  <c r="CV10" i="155"/>
  <c r="CT10" i="155"/>
  <c r="CR10" i="155"/>
  <c r="CP10" i="155"/>
  <c r="CN10" i="155"/>
  <c r="CL10" i="155"/>
  <c r="CJ10" i="155"/>
  <c r="CH10" i="155"/>
  <c r="CF10" i="155"/>
  <c r="CD10" i="155"/>
  <c r="CB10" i="155"/>
  <c r="BZ10" i="155"/>
  <c r="BX10" i="155"/>
  <c r="BV10" i="155"/>
  <c r="BT10" i="155"/>
  <c r="BR10" i="155"/>
  <c r="BP10" i="155"/>
  <c r="BN10" i="155"/>
  <c r="BK10" i="155"/>
  <c r="BI10" i="155"/>
  <c r="BG10" i="155"/>
  <c r="BE10" i="155"/>
  <c r="BC10" i="155"/>
  <c r="BA10" i="155"/>
  <c r="AY10" i="155"/>
  <c r="AW10" i="155"/>
  <c r="AU10" i="155"/>
  <c r="AS10" i="155"/>
  <c r="AQ10" i="155"/>
  <c r="AO10" i="155"/>
  <c r="AM10" i="155"/>
  <c r="AK10" i="155"/>
  <c r="E10" i="155"/>
  <c r="C10" i="155"/>
  <c r="DB9" i="155"/>
  <c r="CZ9" i="155"/>
  <c r="CX9" i="155"/>
  <c r="CV9" i="155"/>
  <c r="CT9" i="155"/>
  <c r="CR9" i="155"/>
  <c r="CP9" i="155"/>
  <c r="CN9" i="155"/>
  <c r="CL9" i="155"/>
  <c r="CJ9" i="155"/>
  <c r="CH9" i="155"/>
  <c r="CF9" i="155"/>
  <c r="CD9" i="155"/>
  <c r="CB9" i="155"/>
  <c r="BZ9" i="155"/>
  <c r="BX9" i="155"/>
  <c r="BV9" i="155"/>
  <c r="BT9" i="155"/>
  <c r="BR9" i="155"/>
  <c r="BP9" i="155"/>
  <c r="BN9" i="155"/>
  <c r="BK9" i="155"/>
  <c r="BI9" i="155"/>
  <c r="BG9" i="155"/>
  <c r="BE9" i="155"/>
  <c r="BC9" i="155"/>
  <c r="BA9" i="155"/>
  <c r="AY9" i="155"/>
  <c r="AW9" i="155"/>
  <c r="AU9" i="155"/>
  <c r="AS9" i="155"/>
  <c r="AQ9" i="155"/>
  <c r="AO9" i="155"/>
  <c r="AM9" i="155"/>
  <c r="AK9" i="155"/>
  <c r="O9" i="155"/>
  <c r="K9" i="155"/>
  <c r="I9" i="155"/>
  <c r="DB8" i="155"/>
  <c r="CZ8" i="155"/>
  <c r="CX8" i="155"/>
  <c r="CV8" i="155"/>
  <c r="CT8" i="155"/>
  <c r="CR8" i="155"/>
  <c r="CP8" i="155"/>
  <c r="CN8" i="155"/>
  <c r="CL8" i="155"/>
  <c r="CJ8" i="155"/>
  <c r="CH8" i="155"/>
  <c r="CF8" i="155"/>
  <c r="CD8" i="155"/>
  <c r="CB8" i="155"/>
  <c r="BZ8" i="155"/>
  <c r="BX8" i="155"/>
  <c r="BV8" i="155"/>
  <c r="BT8" i="155"/>
  <c r="BR8" i="155"/>
  <c r="BP8" i="155"/>
  <c r="BN8" i="155"/>
  <c r="BK8" i="155"/>
  <c r="BI8" i="155"/>
  <c r="BG8" i="155"/>
  <c r="BE8" i="155"/>
  <c r="BC8" i="155"/>
  <c r="BA8" i="155"/>
  <c r="AY8" i="155"/>
  <c r="AW8" i="155"/>
  <c r="AU8" i="155"/>
  <c r="AS8" i="155"/>
  <c r="AQ8" i="155"/>
  <c r="AO8" i="155"/>
  <c r="AM8" i="155"/>
  <c r="AK8" i="155"/>
  <c r="I8" i="155"/>
  <c r="G8" i="155"/>
  <c r="DB7" i="155"/>
  <c r="CZ7" i="155"/>
  <c r="CX7" i="155"/>
  <c r="CV7" i="155"/>
  <c r="CT7" i="155"/>
  <c r="CR7" i="155"/>
  <c r="CP7" i="155"/>
  <c r="CN7" i="155"/>
  <c r="CL7" i="155"/>
  <c r="CJ7" i="155"/>
  <c r="CH7" i="155"/>
  <c r="CF7" i="155"/>
  <c r="CD7" i="155"/>
  <c r="CB7" i="155"/>
  <c r="BZ7" i="155"/>
  <c r="BX7" i="155"/>
  <c r="BV7" i="155"/>
  <c r="BT7" i="155"/>
  <c r="BR7" i="155"/>
  <c r="BP7" i="155"/>
  <c r="BN7" i="155"/>
  <c r="BK7" i="155"/>
  <c r="BI7" i="155"/>
  <c r="BG7" i="155"/>
  <c r="BE7" i="155"/>
  <c r="BC7" i="155"/>
  <c r="BA7" i="155"/>
  <c r="AY7" i="155"/>
  <c r="AW7" i="155"/>
  <c r="AU7" i="155"/>
  <c r="AS7" i="155"/>
  <c r="AQ7" i="155"/>
  <c r="AO7" i="155"/>
  <c r="AM7" i="155"/>
  <c r="AK7" i="155"/>
  <c r="I7" i="155"/>
  <c r="DB6" i="155"/>
  <c r="CZ6" i="155"/>
  <c r="CX6" i="155"/>
  <c r="CV6" i="155"/>
  <c r="CT6" i="155"/>
  <c r="CR6" i="155"/>
  <c r="CP6" i="155"/>
  <c r="CN6" i="155"/>
  <c r="CL6" i="155"/>
  <c r="CJ6" i="155"/>
  <c r="CH6" i="155"/>
  <c r="CF6" i="155"/>
  <c r="CD6" i="155"/>
  <c r="CB6" i="155"/>
  <c r="BZ6" i="155"/>
  <c r="BX6" i="155"/>
  <c r="BV6" i="155"/>
  <c r="BT6" i="155"/>
  <c r="BR6" i="155"/>
  <c r="BP6" i="155"/>
  <c r="BN6" i="155"/>
  <c r="BK6" i="155"/>
  <c r="BI6" i="155"/>
  <c r="BG6" i="155"/>
  <c r="BE6" i="155"/>
  <c r="BC6" i="155"/>
  <c r="BA6" i="155"/>
  <c r="AY6" i="155"/>
  <c r="AW6" i="155"/>
  <c r="AU6" i="155"/>
  <c r="AS6" i="155"/>
  <c r="AQ6" i="155"/>
  <c r="AO6" i="155"/>
  <c r="AM6" i="155"/>
  <c r="AK6" i="155"/>
  <c r="I6" i="155"/>
  <c r="G6" i="155"/>
  <c r="G7" i="155" s="1"/>
  <c r="E6" i="155"/>
  <c r="C6" i="155" s="1"/>
  <c r="DB5" i="155"/>
  <c r="CZ5" i="155"/>
  <c r="CX5" i="155"/>
  <c r="CV5" i="155"/>
  <c r="CT5" i="155"/>
  <c r="CR5" i="155"/>
  <c r="CP5" i="155"/>
  <c r="CN5" i="155"/>
  <c r="CL5" i="155"/>
  <c r="CJ5" i="155"/>
  <c r="CH5" i="155"/>
  <c r="CF5" i="155"/>
  <c r="CD5" i="155"/>
  <c r="CB5" i="155"/>
  <c r="BZ5" i="155"/>
  <c r="BX5" i="155"/>
  <c r="BV5" i="155"/>
  <c r="BT5" i="155"/>
  <c r="BR5" i="155"/>
  <c r="BP5" i="155"/>
  <c r="BN5" i="155"/>
  <c r="BK5" i="155"/>
  <c r="BI5" i="155"/>
  <c r="BG5" i="155"/>
  <c r="BE5" i="155"/>
  <c r="BC5" i="155"/>
  <c r="BA5" i="155"/>
  <c r="AY5" i="155"/>
  <c r="AW5" i="155"/>
  <c r="AU5" i="155"/>
  <c r="AS5" i="155"/>
  <c r="AQ5" i="155"/>
  <c r="AO5" i="155"/>
  <c r="AM5" i="155"/>
  <c r="AK5" i="155"/>
  <c r="E5" i="155"/>
  <c r="C5" i="155"/>
  <c r="DB3" i="155"/>
  <c r="CZ3" i="155"/>
  <c r="CX3" i="155"/>
  <c r="CV3" i="155"/>
  <c r="CT3" i="155"/>
  <c r="CR3" i="155"/>
  <c r="CP3" i="155"/>
  <c r="CN3" i="155"/>
  <c r="CL3" i="155"/>
  <c r="CJ3" i="155"/>
  <c r="CH3" i="155"/>
  <c r="CF3" i="155"/>
  <c r="CD3" i="155"/>
  <c r="CB3" i="155"/>
  <c r="BZ3" i="155"/>
  <c r="BX3" i="155"/>
  <c r="BV3" i="155"/>
  <c r="BT3" i="155"/>
  <c r="BR3" i="155"/>
  <c r="BP3" i="155"/>
  <c r="BN3" i="155"/>
  <c r="BK3" i="155"/>
  <c r="BI3" i="155"/>
  <c r="BG3" i="155"/>
  <c r="BE3" i="155"/>
  <c r="BC3" i="155"/>
  <c r="BA3" i="155"/>
  <c r="AY3" i="155"/>
  <c r="AW3" i="155"/>
  <c r="AU3" i="155"/>
  <c r="AS3" i="155"/>
  <c r="AQ3" i="155"/>
  <c r="AO3" i="155"/>
  <c r="AM3" i="155"/>
  <c r="AK3" i="155"/>
  <c r="DB2" i="155"/>
  <c r="CZ2" i="155"/>
  <c r="CX2" i="155"/>
  <c r="CV2" i="155"/>
  <c r="CT2" i="155"/>
  <c r="CR2" i="155"/>
  <c r="CP2" i="155"/>
  <c r="CN2" i="155"/>
  <c r="CL2" i="155"/>
  <c r="CJ2" i="155"/>
  <c r="CH2" i="155"/>
  <c r="CF2" i="155"/>
  <c r="CD2" i="155"/>
  <c r="CB2" i="155"/>
  <c r="BZ2" i="155"/>
  <c r="BX2" i="155"/>
  <c r="BV2" i="155"/>
  <c r="BT2" i="155"/>
  <c r="BR2" i="155"/>
  <c r="BP2" i="155"/>
  <c r="BN2" i="155"/>
  <c r="BK2" i="155"/>
  <c r="BI2" i="155"/>
  <c r="BG2" i="155"/>
  <c r="BE2" i="155"/>
  <c r="BC2" i="155"/>
  <c r="BA2" i="155"/>
  <c r="AY2" i="155"/>
  <c r="AW2" i="155"/>
  <c r="AU2" i="155"/>
  <c r="AS2" i="155"/>
  <c r="AQ2" i="155"/>
  <c r="AO2" i="155"/>
  <c r="AM2" i="155"/>
  <c r="AK2" i="155"/>
  <c r="E2" i="155"/>
  <c r="C2" i="155"/>
  <c r="G1" i="155"/>
  <c r="G68" i="170"/>
  <c r="I61" i="170" s="1"/>
  <c r="K6" i="170" s="1"/>
  <c r="G67" i="170"/>
  <c r="H64" i="170" s="1"/>
  <c r="J64" i="170"/>
  <c r="K21" i="170" s="1"/>
  <c r="I64" i="170"/>
  <c r="M21" i="170" s="1"/>
  <c r="J63" i="170"/>
  <c r="H63" i="170"/>
  <c r="G63" i="170"/>
  <c r="J62" i="170"/>
  <c r="H62" i="170"/>
  <c r="I19" i="170" s="1"/>
  <c r="G62" i="170"/>
  <c r="J61" i="170"/>
  <c r="H61" i="170"/>
  <c r="I5" i="170" s="1"/>
  <c r="G61" i="170"/>
  <c r="G12" i="170" s="1"/>
  <c r="G40" i="170" s="1"/>
  <c r="E40" i="170" s="1"/>
  <c r="C40" i="170" s="1"/>
  <c r="G55" i="170"/>
  <c r="E55" i="170"/>
  <c r="C55" i="170" s="1"/>
  <c r="BB54" i="170"/>
  <c r="AZ54" i="170"/>
  <c r="AW54" i="170"/>
  <c r="AU54" i="170"/>
  <c r="AS54" i="170"/>
  <c r="AQ54" i="170"/>
  <c r="AO54" i="170"/>
  <c r="AM54" i="170"/>
  <c r="AK54" i="170"/>
  <c r="AI54" i="170"/>
  <c r="AG54" i="170"/>
  <c r="G54" i="170"/>
  <c r="BB53" i="170"/>
  <c r="AZ53" i="170"/>
  <c r="AW53" i="170"/>
  <c r="AU53" i="170"/>
  <c r="AS53" i="170"/>
  <c r="AQ53" i="170"/>
  <c r="AO53" i="170"/>
  <c r="AM53" i="170"/>
  <c r="AK53" i="170"/>
  <c r="AI53" i="170"/>
  <c r="AG53" i="170"/>
  <c r="BB52" i="170"/>
  <c r="AZ52" i="170"/>
  <c r="AW52" i="170"/>
  <c r="AU52" i="170"/>
  <c r="AS52" i="170"/>
  <c r="AQ52" i="170"/>
  <c r="AO52" i="170"/>
  <c r="AM52" i="170"/>
  <c r="AK52" i="170"/>
  <c r="AI52" i="170"/>
  <c r="AG52" i="170"/>
  <c r="BB51" i="170"/>
  <c r="AZ51" i="170"/>
  <c r="AW51" i="170"/>
  <c r="AU51" i="170"/>
  <c r="AS51" i="170"/>
  <c r="AQ51" i="170"/>
  <c r="AO51" i="170"/>
  <c r="AM51" i="170"/>
  <c r="AK51" i="170"/>
  <c r="AI51" i="170"/>
  <c r="AG51" i="170"/>
  <c r="BB50" i="170"/>
  <c r="AZ50" i="170"/>
  <c r="AW50" i="170"/>
  <c r="AU50" i="170"/>
  <c r="AS50" i="170"/>
  <c r="AQ50" i="170"/>
  <c r="AO50" i="170"/>
  <c r="AM50" i="170"/>
  <c r="AK50" i="170"/>
  <c r="AI50" i="170"/>
  <c r="AG50" i="170"/>
  <c r="BB49" i="170"/>
  <c r="AZ49" i="170"/>
  <c r="AW49" i="170"/>
  <c r="AU49" i="170"/>
  <c r="AS49" i="170"/>
  <c r="AQ49" i="170"/>
  <c r="AO49" i="170"/>
  <c r="AM49" i="170"/>
  <c r="AK49" i="170"/>
  <c r="AI49" i="170"/>
  <c r="AG49" i="170"/>
  <c r="BB48" i="170"/>
  <c r="AZ48" i="170"/>
  <c r="AW48" i="170"/>
  <c r="AU48" i="170"/>
  <c r="AS48" i="170"/>
  <c r="AQ48" i="170"/>
  <c r="AO48" i="170"/>
  <c r="AM48" i="170"/>
  <c r="AK48" i="170"/>
  <c r="AI48" i="170"/>
  <c r="AG48" i="170"/>
  <c r="BB47" i="170"/>
  <c r="AZ47" i="170"/>
  <c r="AW47" i="170"/>
  <c r="AU47" i="170"/>
  <c r="AS47" i="170"/>
  <c r="AQ47" i="170"/>
  <c r="AO47" i="170"/>
  <c r="AM47" i="170"/>
  <c r="AK47" i="170"/>
  <c r="AI47" i="170"/>
  <c r="AG47" i="170"/>
  <c r="K47" i="170"/>
  <c r="BB46" i="170"/>
  <c r="AZ46" i="170"/>
  <c r="AW46" i="170"/>
  <c r="AU46" i="170"/>
  <c r="AS46" i="170"/>
  <c r="AQ46" i="170"/>
  <c r="AO46" i="170"/>
  <c r="AM46" i="170"/>
  <c r="AK46" i="170"/>
  <c r="AI46" i="170"/>
  <c r="AG46" i="170"/>
  <c r="O46" i="170"/>
  <c r="K46" i="170"/>
  <c r="BB45" i="170"/>
  <c r="AZ45" i="170"/>
  <c r="AW45" i="170"/>
  <c r="AU45" i="170"/>
  <c r="AS45" i="170"/>
  <c r="AQ45" i="170"/>
  <c r="AO45" i="170"/>
  <c r="AM45" i="170"/>
  <c r="AK45" i="170"/>
  <c r="AI45" i="170"/>
  <c r="AG45" i="170"/>
  <c r="G45" i="170"/>
  <c r="E45" i="170" s="1"/>
  <c r="C45" i="170" s="1"/>
  <c r="BB44" i="170"/>
  <c r="AZ44" i="170"/>
  <c r="AW44" i="170"/>
  <c r="AU44" i="170"/>
  <c r="AS44" i="170"/>
  <c r="AQ44" i="170"/>
  <c r="AO44" i="170"/>
  <c r="AM44" i="170"/>
  <c r="AK44" i="170"/>
  <c r="AI44" i="170"/>
  <c r="AG44" i="170"/>
  <c r="BB43" i="170"/>
  <c r="AZ43" i="170"/>
  <c r="AW43" i="170"/>
  <c r="AU43" i="170"/>
  <c r="AS43" i="170"/>
  <c r="AQ43" i="170"/>
  <c r="AO43" i="170"/>
  <c r="AM43" i="170"/>
  <c r="AK43" i="170"/>
  <c r="AI43" i="170"/>
  <c r="AG43" i="170"/>
  <c r="BB42" i="170"/>
  <c r="AZ42" i="170"/>
  <c r="AW42" i="170"/>
  <c r="AU42" i="170"/>
  <c r="AS42" i="170"/>
  <c r="AQ42" i="170"/>
  <c r="AO42" i="170"/>
  <c r="AM42" i="170"/>
  <c r="AK42" i="170"/>
  <c r="AI42" i="170"/>
  <c r="AG42" i="170"/>
  <c r="G42" i="170"/>
  <c r="E42" i="170" s="1"/>
  <c r="C42" i="170" s="1"/>
  <c r="BB41" i="170"/>
  <c r="AZ41" i="170"/>
  <c r="AW41" i="170"/>
  <c r="AU41" i="170"/>
  <c r="AS41" i="170"/>
  <c r="AQ41" i="170"/>
  <c r="AO41" i="170"/>
  <c r="AM41" i="170"/>
  <c r="AK41" i="170"/>
  <c r="AI41" i="170"/>
  <c r="AG41" i="170"/>
  <c r="BB40" i="170"/>
  <c r="AZ40" i="170"/>
  <c r="AW40" i="170"/>
  <c r="AU40" i="170"/>
  <c r="AS40" i="170"/>
  <c r="AQ40" i="170"/>
  <c r="AO40" i="170"/>
  <c r="AM40" i="170"/>
  <c r="AK40" i="170"/>
  <c r="AI40" i="170"/>
  <c r="AG40" i="170"/>
  <c r="BB39" i="170"/>
  <c r="AZ39" i="170"/>
  <c r="AW39" i="170"/>
  <c r="AU39" i="170"/>
  <c r="AS39" i="170"/>
  <c r="AQ39" i="170"/>
  <c r="AO39" i="170"/>
  <c r="AM39" i="170"/>
  <c r="AK39" i="170"/>
  <c r="AI39" i="170"/>
  <c r="AG39" i="170"/>
  <c r="BB38" i="170"/>
  <c r="AZ38" i="170"/>
  <c r="AW38" i="170"/>
  <c r="AU38" i="170"/>
  <c r="AS38" i="170"/>
  <c r="AQ38" i="170"/>
  <c r="AO38" i="170"/>
  <c r="AM38" i="170"/>
  <c r="AK38" i="170"/>
  <c r="AI38" i="170"/>
  <c r="AG38" i="170"/>
  <c r="E38" i="170"/>
  <c r="C38" i="170"/>
  <c r="BB37" i="170"/>
  <c r="AZ37" i="170"/>
  <c r="AW37" i="170"/>
  <c r="AU37" i="170"/>
  <c r="AS37" i="170"/>
  <c r="AQ37" i="170"/>
  <c r="AO37" i="170"/>
  <c r="AM37" i="170"/>
  <c r="AK37" i="170"/>
  <c r="AI37" i="170"/>
  <c r="AG37" i="170"/>
  <c r="BB36" i="170"/>
  <c r="AZ36" i="170"/>
  <c r="AW36" i="170"/>
  <c r="AU36" i="170"/>
  <c r="AS36" i="170"/>
  <c r="AQ36" i="170"/>
  <c r="AO36" i="170"/>
  <c r="AM36" i="170"/>
  <c r="AK36" i="170"/>
  <c r="AI36" i="170"/>
  <c r="AG36" i="170"/>
  <c r="BB35" i="170"/>
  <c r="AZ35" i="170"/>
  <c r="AW35" i="170"/>
  <c r="AU35" i="170"/>
  <c r="AS35" i="170"/>
  <c r="AQ35" i="170"/>
  <c r="AO35" i="170"/>
  <c r="AM35" i="170"/>
  <c r="AK35" i="170"/>
  <c r="AI35" i="170"/>
  <c r="AG35" i="170"/>
  <c r="E35" i="170"/>
  <c r="C35" i="170"/>
  <c r="BB34" i="170"/>
  <c r="AZ34" i="170"/>
  <c r="AW34" i="170"/>
  <c r="AU34" i="170"/>
  <c r="AS34" i="170"/>
  <c r="AQ34" i="170"/>
  <c r="AO34" i="170"/>
  <c r="AM34" i="170"/>
  <c r="AK34" i="170"/>
  <c r="AI34" i="170"/>
  <c r="AG34" i="170"/>
  <c r="BB33" i="170"/>
  <c r="AZ33" i="170"/>
  <c r="AW33" i="170"/>
  <c r="AU33" i="170"/>
  <c r="AS33" i="170"/>
  <c r="AQ33" i="170"/>
  <c r="AO33" i="170"/>
  <c r="AM33" i="170"/>
  <c r="AK33" i="170"/>
  <c r="AI33" i="170"/>
  <c r="AG33" i="170"/>
  <c r="BB32" i="170"/>
  <c r="AZ32" i="170"/>
  <c r="AW32" i="170"/>
  <c r="AU32" i="170"/>
  <c r="AS32" i="170"/>
  <c r="AQ32" i="170"/>
  <c r="AO32" i="170"/>
  <c r="AM32" i="170"/>
  <c r="AK32" i="170"/>
  <c r="AI32" i="170"/>
  <c r="AG32" i="170"/>
  <c r="E32" i="170"/>
  <c r="C32" i="170" s="1"/>
  <c r="BB31" i="170"/>
  <c r="AZ31" i="170"/>
  <c r="AW31" i="170"/>
  <c r="AU31" i="170"/>
  <c r="AS31" i="170"/>
  <c r="AQ31" i="170"/>
  <c r="AO31" i="170"/>
  <c r="AM31" i="170"/>
  <c r="AK31" i="170"/>
  <c r="AI31" i="170"/>
  <c r="AG31" i="170"/>
  <c r="BB30" i="170"/>
  <c r="AZ30" i="170"/>
  <c r="AW30" i="170"/>
  <c r="AU30" i="170"/>
  <c r="AS30" i="170"/>
  <c r="AQ30" i="170"/>
  <c r="AO30" i="170"/>
  <c r="AM30" i="170"/>
  <c r="AK30" i="170"/>
  <c r="AI30" i="170"/>
  <c r="AG30" i="170"/>
  <c r="I30" i="170"/>
  <c r="G30" i="170"/>
  <c r="BB29" i="170"/>
  <c r="AZ29" i="170"/>
  <c r="AW29" i="170"/>
  <c r="AU29" i="170"/>
  <c r="AS29" i="170"/>
  <c r="AQ29" i="170"/>
  <c r="AO29" i="170"/>
  <c r="AM29" i="170"/>
  <c r="AK29" i="170"/>
  <c r="AI29" i="170"/>
  <c r="AG29" i="170"/>
  <c r="BB28" i="170"/>
  <c r="AZ28" i="170"/>
  <c r="AW28" i="170"/>
  <c r="AU28" i="170"/>
  <c r="AS28" i="170"/>
  <c r="AQ28" i="170"/>
  <c r="AO28" i="170"/>
  <c r="AM28" i="170"/>
  <c r="AK28" i="170"/>
  <c r="AI28" i="170"/>
  <c r="AG28" i="170"/>
  <c r="K28" i="170"/>
  <c r="I28" i="170"/>
  <c r="BB27" i="170"/>
  <c r="AZ27" i="170"/>
  <c r="AW27" i="170"/>
  <c r="AU27" i="170"/>
  <c r="AS27" i="170"/>
  <c r="AQ27" i="170"/>
  <c r="AO27" i="170"/>
  <c r="AM27" i="170"/>
  <c r="AK27" i="170"/>
  <c r="AI27" i="170"/>
  <c r="AG27" i="170"/>
  <c r="BB26" i="170"/>
  <c r="AZ26" i="170"/>
  <c r="AW26" i="170"/>
  <c r="AU26" i="170"/>
  <c r="AS26" i="170"/>
  <c r="AQ26" i="170"/>
  <c r="AO26" i="170"/>
  <c r="AM26" i="170"/>
  <c r="AK26" i="170"/>
  <c r="AI26" i="170"/>
  <c r="AG26" i="170"/>
  <c r="K26" i="170"/>
  <c r="G26" i="170"/>
  <c r="BB25" i="170"/>
  <c r="AZ25" i="170"/>
  <c r="AW25" i="170"/>
  <c r="AU25" i="170"/>
  <c r="AS25" i="170"/>
  <c r="AQ25" i="170"/>
  <c r="AO25" i="170"/>
  <c r="AM25" i="170"/>
  <c r="AK25" i="170"/>
  <c r="AI25" i="170"/>
  <c r="AG25" i="170"/>
  <c r="BB24" i="170"/>
  <c r="AZ24" i="170"/>
  <c r="AW24" i="170"/>
  <c r="AU24" i="170"/>
  <c r="AS24" i="170"/>
  <c r="AQ24" i="170"/>
  <c r="AO24" i="170"/>
  <c r="AM24" i="170"/>
  <c r="AK24" i="170"/>
  <c r="AI24" i="170"/>
  <c r="AG24" i="170"/>
  <c r="E24" i="170"/>
  <c r="C24" i="170"/>
  <c r="BB23" i="170"/>
  <c r="AZ23" i="170"/>
  <c r="AW23" i="170"/>
  <c r="AU23" i="170"/>
  <c r="AS23" i="170"/>
  <c r="AQ23" i="170"/>
  <c r="AO23" i="170"/>
  <c r="AM23" i="170"/>
  <c r="AK23" i="170"/>
  <c r="AI23" i="170"/>
  <c r="AG23" i="170"/>
  <c r="BB22" i="170"/>
  <c r="AZ22" i="170"/>
  <c r="AW22" i="170"/>
  <c r="AU22" i="170"/>
  <c r="AS22" i="170"/>
  <c r="AQ22" i="170"/>
  <c r="AO22" i="170"/>
  <c r="AM22" i="170"/>
  <c r="AK22" i="170"/>
  <c r="AI22" i="170"/>
  <c r="AG22" i="170"/>
  <c r="E22" i="170"/>
  <c r="C22" i="170"/>
  <c r="BB21" i="170"/>
  <c r="AZ21" i="170"/>
  <c r="AW21" i="170"/>
  <c r="AU21" i="170"/>
  <c r="AS21" i="170"/>
  <c r="AQ21" i="170"/>
  <c r="AO21" i="170"/>
  <c r="AM21" i="170"/>
  <c r="AK21" i="170"/>
  <c r="AI21" i="170"/>
  <c r="AG21" i="170"/>
  <c r="O21" i="170"/>
  <c r="I21" i="170"/>
  <c r="BB20" i="170"/>
  <c r="AZ20" i="170"/>
  <c r="AW20" i="170"/>
  <c r="AU20" i="170"/>
  <c r="AS20" i="170"/>
  <c r="AQ20" i="170"/>
  <c r="AO20" i="170"/>
  <c r="AM20" i="170"/>
  <c r="AK20" i="170"/>
  <c r="AI20" i="170"/>
  <c r="AG20" i="170"/>
  <c r="O20" i="170"/>
  <c r="K20" i="170"/>
  <c r="I20" i="170"/>
  <c r="BB19" i="170"/>
  <c r="AZ19" i="170"/>
  <c r="AW19" i="170"/>
  <c r="AU19" i="170"/>
  <c r="AS19" i="170"/>
  <c r="AQ19" i="170"/>
  <c r="AO19" i="170"/>
  <c r="AM19" i="170"/>
  <c r="AK19" i="170"/>
  <c r="AI19" i="170"/>
  <c r="AG19" i="170"/>
  <c r="O19" i="170"/>
  <c r="K19" i="170"/>
  <c r="BB18" i="170"/>
  <c r="AZ18" i="170"/>
  <c r="AW18" i="170"/>
  <c r="AU18" i="170"/>
  <c r="AS18" i="170"/>
  <c r="AQ18" i="170"/>
  <c r="AO18" i="170"/>
  <c r="AM18" i="170"/>
  <c r="AK18" i="170"/>
  <c r="AI18" i="170"/>
  <c r="AG18" i="170"/>
  <c r="E18" i="170"/>
  <c r="C18" i="170" s="1"/>
  <c r="BB17" i="170"/>
  <c r="AZ17" i="170"/>
  <c r="AW17" i="170"/>
  <c r="AU17" i="170"/>
  <c r="AS17" i="170"/>
  <c r="AQ17" i="170"/>
  <c r="AO17" i="170"/>
  <c r="AM17" i="170"/>
  <c r="AK17" i="170"/>
  <c r="AI17" i="170"/>
  <c r="AG17" i="170"/>
  <c r="BB16" i="170"/>
  <c r="AZ16" i="170"/>
  <c r="AW16" i="170"/>
  <c r="AU16" i="170"/>
  <c r="AS16" i="170"/>
  <c r="AQ16" i="170"/>
  <c r="AO16" i="170"/>
  <c r="AM16" i="170"/>
  <c r="AK16" i="170"/>
  <c r="AI16" i="170"/>
  <c r="AG16" i="170"/>
  <c r="E16" i="170"/>
  <c r="BB15" i="170"/>
  <c r="AZ15" i="170"/>
  <c r="AW15" i="170"/>
  <c r="AU15" i="170"/>
  <c r="AS15" i="170"/>
  <c r="AQ15" i="170"/>
  <c r="AO15" i="170"/>
  <c r="AM15" i="170"/>
  <c r="AK15" i="170"/>
  <c r="AI15" i="170"/>
  <c r="AG15" i="170"/>
  <c r="BB14" i="170"/>
  <c r="AZ14" i="170"/>
  <c r="AW14" i="170"/>
  <c r="AU14" i="170"/>
  <c r="AS14" i="170"/>
  <c r="AQ14" i="170"/>
  <c r="AO14" i="170"/>
  <c r="AM14" i="170"/>
  <c r="AK14" i="170"/>
  <c r="AI14" i="170"/>
  <c r="AG14" i="170"/>
  <c r="E14" i="170"/>
  <c r="C14" i="170"/>
  <c r="BB13" i="170"/>
  <c r="AZ13" i="170"/>
  <c r="AW13" i="170"/>
  <c r="AU13" i="170"/>
  <c r="AS13" i="170"/>
  <c r="AQ13" i="170"/>
  <c r="AO13" i="170"/>
  <c r="AM13" i="170"/>
  <c r="AK13" i="170"/>
  <c r="AI13" i="170"/>
  <c r="AG13" i="170"/>
  <c r="G13" i="170"/>
  <c r="BB12" i="170"/>
  <c r="AZ12" i="170"/>
  <c r="AW12" i="170"/>
  <c r="AU12" i="170"/>
  <c r="AS12" i="170"/>
  <c r="AQ12" i="170"/>
  <c r="AO12" i="170"/>
  <c r="AM12" i="170"/>
  <c r="AK12" i="170"/>
  <c r="AI12" i="170"/>
  <c r="AG12" i="170"/>
  <c r="I12" i="170"/>
  <c r="BB11" i="170"/>
  <c r="AZ11" i="170"/>
  <c r="AW11" i="170"/>
  <c r="AU11" i="170"/>
  <c r="AS11" i="170"/>
  <c r="AQ11" i="170"/>
  <c r="AO11" i="170"/>
  <c r="AM11" i="170"/>
  <c r="AK11" i="170"/>
  <c r="AI11" i="170"/>
  <c r="AG11" i="170"/>
  <c r="E11" i="170"/>
  <c r="C11" i="170"/>
  <c r="BB10" i="170"/>
  <c r="AZ10" i="170"/>
  <c r="AW10" i="170"/>
  <c r="AU10" i="170"/>
  <c r="AS10" i="170"/>
  <c r="AQ10" i="170"/>
  <c r="AO10" i="170"/>
  <c r="AM10" i="170"/>
  <c r="AK10" i="170"/>
  <c r="AI10" i="170"/>
  <c r="AG10" i="170"/>
  <c r="BB9" i="170"/>
  <c r="AZ9" i="170"/>
  <c r="AW9" i="170"/>
  <c r="AU9" i="170"/>
  <c r="AS9" i="170"/>
  <c r="AQ9" i="170"/>
  <c r="AO9" i="170"/>
  <c r="AM9" i="170"/>
  <c r="AK9" i="170"/>
  <c r="AI9" i="170"/>
  <c r="AG9" i="170"/>
  <c r="H9" i="170"/>
  <c r="BB8" i="170"/>
  <c r="AZ8" i="170"/>
  <c r="AW8" i="170"/>
  <c r="AU8" i="170"/>
  <c r="AS8" i="170"/>
  <c r="AQ8" i="170"/>
  <c r="AO8" i="170"/>
  <c r="AM8" i="170"/>
  <c r="AK8" i="170"/>
  <c r="AI8" i="170"/>
  <c r="AG8" i="170"/>
  <c r="O8" i="170"/>
  <c r="K8" i="170"/>
  <c r="I8" i="170"/>
  <c r="BB7" i="170"/>
  <c r="AZ7" i="170"/>
  <c r="AW7" i="170"/>
  <c r="AU7" i="170"/>
  <c r="AS7" i="170"/>
  <c r="AQ7" i="170"/>
  <c r="AO7" i="170"/>
  <c r="AM7" i="170"/>
  <c r="AK7" i="170"/>
  <c r="AI7" i="170"/>
  <c r="AG7" i="170"/>
  <c r="I7" i="170"/>
  <c r="G7" i="170"/>
  <c r="BB6" i="170"/>
  <c r="AZ6" i="170"/>
  <c r="AW6" i="170"/>
  <c r="AU6" i="170"/>
  <c r="AS6" i="170"/>
  <c r="AQ6" i="170"/>
  <c r="AO6" i="170"/>
  <c r="AM6" i="170"/>
  <c r="AK6" i="170"/>
  <c r="AI6" i="170"/>
  <c r="AG6" i="170"/>
  <c r="Q6" i="170"/>
  <c r="I6" i="170"/>
  <c r="BB5" i="170"/>
  <c r="AZ5" i="170"/>
  <c r="AW5" i="170"/>
  <c r="AU5" i="170"/>
  <c r="AS5" i="170"/>
  <c r="AQ5" i="170"/>
  <c r="AO5" i="170"/>
  <c r="AM5" i="170"/>
  <c r="AK5" i="170"/>
  <c r="AI5" i="170"/>
  <c r="AG5" i="170"/>
  <c r="G5" i="170"/>
  <c r="BB4" i="170"/>
  <c r="AZ4" i="170"/>
  <c r="AW4" i="170"/>
  <c r="AU4" i="170"/>
  <c r="AS4" i="170"/>
  <c r="AQ4" i="170"/>
  <c r="AO4" i="170"/>
  <c r="AM4" i="170"/>
  <c r="AK4" i="170"/>
  <c r="AI4" i="170"/>
  <c r="AG4" i="170"/>
  <c r="E4" i="170"/>
  <c r="C4" i="170"/>
  <c r="BB3" i="170"/>
  <c r="AZ3" i="170"/>
  <c r="AW3" i="170"/>
  <c r="AU3" i="170"/>
  <c r="AS3" i="170"/>
  <c r="AQ3" i="170"/>
  <c r="AO3" i="170"/>
  <c r="AM3" i="170"/>
  <c r="AK3" i="170"/>
  <c r="AI3" i="170"/>
  <c r="AG3" i="170"/>
  <c r="BB2" i="170"/>
  <c r="AZ2" i="170"/>
  <c r="AW2" i="170"/>
  <c r="AU2" i="170"/>
  <c r="AS2" i="170"/>
  <c r="AQ2" i="170"/>
  <c r="AO2" i="170"/>
  <c r="AM2" i="170"/>
  <c r="AK2" i="170"/>
  <c r="AI2" i="170"/>
  <c r="AG2" i="170"/>
  <c r="G1" i="170"/>
  <c r="F84" i="154" a="1"/>
  <c r="F84" i="154"/>
  <c r="F81" i="154" a="1"/>
  <c r="F81" i="154"/>
  <c r="E73" i="154"/>
  <c r="E74" i="154" s="1"/>
  <c r="G70" i="154"/>
  <c r="I66" i="154" s="1"/>
  <c r="M21" i="154" s="1"/>
  <c r="G69" i="154"/>
  <c r="J66" i="154" s="1"/>
  <c r="H66" i="154"/>
  <c r="J65" i="154"/>
  <c r="K20" i="154" s="1"/>
  <c r="H65" i="154"/>
  <c r="I20" i="154" s="1"/>
  <c r="G65" i="154"/>
  <c r="J64" i="154"/>
  <c r="H64" i="154"/>
  <c r="G64" i="154"/>
  <c r="G5" i="154" s="1"/>
  <c r="J63" i="154"/>
  <c r="H63" i="154"/>
  <c r="G63" i="154"/>
  <c r="G12" i="154" s="1"/>
  <c r="E57" i="154"/>
  <c r="G56" i="154"/>
  <c r="E56" i="154" s="1"/>
  <c r="C56" i="154" s="1"/>
  <c r="G53" i="154"/>
  <c r="E53" i="154"/>
  <c r="C53" i="154"/>
  <c r="E51" i="154"/>
  <c r="C51" i="154" s="1"/>
  <c r="CX49" i="154"/>
  <c r="CV49" i="154"/>
  <c r="CT49" i="154"/>
  <c r="CR49" i="154"/>
  <c r="CP49" i="154"/>
  <c r="CN49" i="154"/>
  <c r="CL49" i="154"/>
  <c r="CJ49" i="154"/>
  <c r="CH49" i="154"/>
  <c r="CF49" i="154"/>
  <c r="CD49" i="154"/>
  <c r="CB49" i="154"/>
  <c r="BZ49" i="154"/>
  <c r="BX49" i="154"/>
  <c r="BV49" i="154"/>
  <c r="BT49" i="154"/>
  <c r="BR49" i="154"/>
  <c r="BP49" i="154"/>
  <c r="BN49" i="154"/>
  <c r="BL49" i="154"/>
  <c r="BI49" i="154"/>
  <c r="BG49" i="154"/>
  <c r="BE49" i="154"/>
  <c r="BC49" i="154"/>
  <c r="AY49" i="154"/>
  <c r="AW49" i="154"/>
  <c r="AU49" i="154"/>
  <c r="AS49" i="154"/>
  <c r="AQ49" i="154"/>
  <c r="AO49" i="154"/>
  <c r="AM49" i="154"/>
  <c r="CX48" i="154"/>
  <c r="CV48" i="154"/>
  <c r="CT48" i="154"/>
  <c r="CR48" i="154"/>
  <c r="CP48" i="154"/>
  <c r="CN48" i="154"/>
  <c r="CL48" i="154"/>
  <c r="CJ48" i="154"/>
  <c r="CH48" i="154"/>
  <c r="CF48" i="154"/>
  <c r="CD48" i="154"/>
  <c r="CB48" i="154"/>
  <c r="BZ48" i="154"/>
  <c r="BX48" i="154"/>
  <c r="BV48" i="154"/>
  <c r="BT48" i="154"/>
  <c r="BR48" i="154"/>
  <c r="BP48" i="154"/>
  <c r="BN48" i="154"/>
  <c r="BL48" i="154"/>
  <c r="BI48" i="154"/>
  <c r="BG48" i="154"/>
  <c r="BE48" i="154"/>
  <c r="BC48" i="154"/>
  <c r="AY48" i="154"/>
  <c r="AW48" i="154"/>
  <c r="AU48" i="154"/>
  <c r="AS48" i="154"/>
  <c r="AQ48" i="154"/>
  <c r="AO48" i="154"/>
  <c r="AM48" i="154"/>
  <c r="G48" i="154"/>
  <c r="CX47" i="154"/>
  <c r="CV47" i="154"/>
  <c r="CT47" i="154"/>
  <c r="CR47" i="154"/>
  <c r="CP47" i="154"/>
  <c r="CN47" i="154"/>
  <c r="CL47" i="154"/>
  <c r="CJ47" i="154"/>
  <c r="CH47" i="154"/>
  <c r="CF47" i="154"/>
  <c r="CD47" i="154"/>
  <c r="CB47" i="154"/>
  <c r="BZ47" i="154"/>
  <c r="BX47" i="154"/>
  <c r="BV47" i="154"/>
  <c r="BT47" i="154"/>
  <c r="BR47" i="154"/>
  <c r="BP47" i="154"/>
  <c r="BN47" i="154"/>
  <c r="BL47" i="154"/>
  <c r="BI47" i="154"/>
  <c r="BG47" i="154"/>
  <c r="BE47" i="154"/>
  <c r="BC47" i="154"/>
  <c r="AY47" i="154"/>
  <c r="AW47" i="154"/>
  <c r="AU47" i="154"/>
  <c r="AS47" i="154"/>
  <c r="AQ47" i="154"/>
  <c r="AO47" i="154"/>
  <c r="AM47" i="154"/>
  <c r="CX46" i="154"/>
  <c r="CV46" i="154"/>
  <c r="CT46" i="154"/>
  <c r="CR46" i="154"/>
  <c r="CP46" i="154"/>
  <c r="CN46" i="154"/>
  <c r="CL46" i="154"/>
  <c r="CJ46" i="154"/>
  <c r="CH46" i="154"/>
  <c r="CF46" i="154"/>
  <c r="CD46" i="154"/>
  <c r="CB46" i="154"/>
  <c r="BZ46" i="154"/>
  <c r="BX46" i="154"/>
  <c r="BV46" i="154"/>
  <c r="BT46" i="154"/>
  <c r="BR46" i="154"/>
  <c r="BP46" i="154"/>
  <c r="BN46" i="154"/>
  <c r="BL46" i="154"/>
  <c r="BI46" i="154"/>
  <c r="BG46" i="154"/>
  <c r="BE46" i="154"/>
  <c r="BC46" i="154"/>
  <c r="AY46" i="154"/>
  <c r="AW46" i="154"/>
  <c r="AU46" i="154"/>
  <c r="AS46" i="154"/>
  <c r="AQ46" i="154"/>
  <c r="AO46" i="154"/>
  <c r="AM46" i="154"/>
  <c r="CX45" i="154"/>
  <c r="CV45" i="154"/>
  <c r="CT45" i="154"/>
  <c r="CR45" i="154"/>
  <c r="CP45" i="154"/>
  <c r="CN45" i="154"/>
  <c r="CL45" i="154"/>
  <c r="CJ45" i="154"/>
  <c r="CH45" i="154"/>
  <c r="CF45" i="154"/>
  <c r="CD45" i="154"/>
  <c r="CB45" i="154"/>
  <c r="BZ45" i="154"/>
  <c r="BX45" i="154"/>
  <c r="BV45" i="154"/>
  <c r="BT45" i="154"/>
  <c r="BR45" i="154"/>
  <c r="BP45" i="154"/>
  <c r="BN45" i="154"/>
  <c r="BL45" i="154"/>
  <c r="BI45" i="154"/>
  <c r="BG45" i="154"/>
  <c r="BE45" i="154"/>
  <c r="BC45" i="154"/>
  <c r="AY45" i="154"/>
  <c r="AW45" i="154"/>
  <c r="AU45" i="154"/>
  <c r="AS45" i="154"/>
  <c r="AQ45" i="154"/>
  <c r="AO45" i="154"/>
  <c r="AM45" i="154"/>
  <c r="CX44" i="154"/>
  <c r="CV44" i="154"/>
  <c r="CT44" i="154"/>
  <c r="CR44" i="154"/>
  <c r="CP44" i="154"/>
  <c r="CN44" i="154"/>
  <c r="CL44" i="154"/>
  <c r="CJ44" i="154"/>
  <c r="CH44" i="154"/>
  <c r="CF44" i="154"/>
  <c r="CD44" i="154"/>
  <c r="CB44" i="154"/>
  <c r="BZ44" i="154"/>
  <c r="BX44" i="154"/>
  <c r="BV44" i="154"/>
  <c r="BT44" i="154"/>
  <c r="BR44" i="154"/>
  <c r="BP44" i="154"/>
  <c r="BN44" i="154"/>
  <c r="BL44" i="154"/>
  <c r="BI44" i="154"/>
  <c r="BG44" i="154"/>
  <c r="BE44" i="154"/>
  <c r="BC44" i="154"/>
  <c r="AY44" i="154"/>
  <c r="AW44" i="154"/>
  <c r="AU44" i="154"/>
  <c r="AS44" i="154"/>
  <c r="AQ44" i="154"/>
  <c r="AO44" i="154"/>
  <c r="AM44" i="154"/>
  <c r="M44" i="154"/>
  <c r="K44" i="154"/>
  <c r="CX43" i="154"/>
  <c r="CV43" i="154"/>
  <c r="CT43" i="154"/>
  <c r="CR43" i="154"/>
  <c r="CP43" i="154"/>
  <c r="CN43" i="154"/>
  <c r="CL43" i="154"/>
  <c r="CJ43" i="154"/>
  <c r="CH43" i="154"/>
  <c r="CF43" i="154"/>
  <c r="CD43" i="154"/>
  <c r="CB43" i="154"/>
  <c r="BZ43" i="154"/>
  <c r="BX43" i="154"/>
  <c r="BV43" i="154"/>
  <c r="BT43" i="154"/>
  <c r="BR43" i="154"/>
  <c r="BP43" i="154"/>
  <c r="BN43" i="154"/>
  <c r="BL43" i="154"/>
  <c r="BI43" i="154"/>
  <c r="BG43" i="154"/>
  <c r="BE43" i="154"/>
  <c r="BC43" i="154"/>
  <c r="AY43" i="154"/>
  <c r="AW43" i="154"/>
  <c r="AU43" i="154"/>
  <c r="AS43" i="154"/>
  <c r="AQ43" i="154"/>
  <c r="AO43" i="154"/>
  <c r="AM43" i="154"/>
  <c r="M43" i="154"/>
  <c r="K43" i="154"/>
  <c r="CX42" i="154"/>
  <c r="CV42" i="154"/>
  <c r="CT42" i="154"/>
  <c r="CR42" i="154"/>
  <c r="CP42" i="154"/>
  <c r="CN42" i="154"/>
  <c r="CL42" i="154"/>
  <c r="CJ42" i="154"/>
  <c r="CH42" i="154"/>
  <c r="CF42" i="154"/>
  <c r="CD42" i="154"/>
  <c r="CB42" i="154"/>
  <c r="BZ42" i="154"/>
  <c r="BX42" i="154"/>
  <c r="BV42" i="154"/>
  <c r="BT42" i="154"/>
  <c r="BR42" i="154"/>
  <c r="BP42" i="154"/>
  <c r="BN42" i="154"/>
  <c r="BL42" i="154"/>
  <c r="BI42" i="154"/>
  <c r="BG42" i="154"/>
  <c r="BE42" i="154"/>
  <c r="BC42" i="154"/>
  <c r="AY42" i="154"/>
  <c r="AW42" i="154"/>
  <c r="AU42" i="154"/>
  <c r="AS42" i="154"/>
  <c r="AQ42" i="154"/>
  <c r="AO42" i="154"/>
  <c r="AM42" i="154"/>
  <c r="CX41" i="154"/>
  <c r="CV41" i="154"/>
  <c r="CT41" i="154"/>
  <c r="CR41" i="154"/>
  <c r="CP41" i="154"/>
  <c r="CN41" i="154"/>
  <c r="CL41" i="154"/>
  <c r="CJ41" i="154"/>
  <c r="CH41" i="154"/>
  <c r="CF41" i="154"/>
  <c r="CD41" i="154"/>
  <c r="CB41" i="154"/>
  <c r="BZ41" i="154"/>
  <c r="BX41" i="154"/>
  <c r="BV41" i="154"/>
  <c r="BT41" i="154"/>
  <c r="BR41" i="154"/>
  <c r="BP41" i="154"/>
  <c r="BN41" i="154"/>
  <c r="BL41" i="154"/>
  <c r="BI41" i="154"/>
  <c r="BG41" i="154"/>
  <c r="BE41" i="154"/>
  <c r="BC41" i="154"/>
  <c r="AY41" i="154"/>
  <c r="AW41" i="154"/>
  <c r="AU41" i="154"/>
  <c r="AS41" i="154"/>
  <c r="AQ41" i="154"/>
  <c r="AO41" i="154"/>
  <c r="AM41" i="154"/>
  <c r="CX40" i="154"/>
  <c r="CV40" i="154"/>
  <c r="CT40" i="154"/>
  <c r="CR40" i="154"/>
  <c r="CP40" i="154"/>
  <c r="CN40" i="154"/>
  <c r="CL40" i="154"/>
  <c r="CJ40" i="154"/>
  <c r="CH40" i="154"/>
  <c r="CF40" i="154"/>
  <c r="CD40" i="154"/>
  <c r="CB40" i="154"/>
  <c r="BZ40" i="154"/>
  <c r="BX40" i="154"/>
  <c r="BV40" i="154"/>
  <c r="BT40" i="154"/>
  <c r="BR40" i="154"/>
  <c r="BP40" i="154"/>
  <c r="BN40" i="154"/>
  <c r="BL40" i="154"/>
  <c r="BI40" i="154"/>
  <c r="BG40" i="154"/>
  <c r="BE40" i="154"/>
  <c r="BC40" i="154"/>
  <c r="AY40" i="154"/>
  <c r="AW40" i="154"/>
  <c r="AU40" i="154"/>
  <c r="AS40" i="154"/>
  <c r="AQ40" i="154"/>
  <c r="AO40" i="154"/>
  <c r="AM40" i="154"/>
  <c r="E40" i="154"/>
  <c r="C40" i="154"/>
  <c r="CX39" i="154"/>
  <c r="CV39" i="154"/>
  <c r="CT39" i="154"/>
  <c r="CR39" i="154"/>
  <c r="CP39" i="154"/>
  <c r="CN39" i="154"/>
  <c r="CL39" i="154"/>
  <c r="CJ39" i="154"/>
  <c r="CH39" i="154"/>
  <c r="CF39" i="154"/>
  <c r="CD39" i="154"/>
  <c r="CB39" i="154"/>
  <c r="BZ39" i="154"/>
  <c r="BX39" i="154"/>
  <c r="BV39" i="154"/>
  <c r="BT39" i="154"/>
  <c r="BR39" i="154"/>
  <c r="BP39" i="154"/>
  <c r="BN39" i="154"/>
  <c r="BL39" i="154"/>
  <c r="BI39" i="154"/>
  <c r="BG39" i="154"/>
  <c r="BE39" i="154"/>
  <c r="BC39" i="154"/>
  <c r="AY39" i="154"/>
  <c r="AW39" i="154"/>
  <c r="AU39" i="154"/>
  <c r="AS39" i="154"/>
  <c r="AQ39" i="154"/>
  <c r="AO39" i="154"/>
  <c r="AM39" i="154"/>
  <c r="G39" i="154"/>
  <c r="G41" i="154" s="1"/>
  <c r="E41" i="154" s="1"/>
  <c r="C41" i="154" s="1"/>
  <c r="CX38" i="154"/>
  <c r="CV38" i="154"/>
  <c r="CT38" i="154"/>
  <c r="CR38" i="154"/>
  <c r="CP38" i="154"/>
  <c r="CN38" i="154"/>
  <c r="CL38" i="154"/>
  <c r="CJ38" i="154"/>
  <c r="CH38" i="154"/>
  <c r="CF38" i="154"/>
  <c r="CD38" i="154"/>
  <c r="CB38" i="154"/>
  <c r="BZ38" i="154"/>
  <c r="BX38" i="154"/>
  <c r="BV38" i="154"/>
  <c r="BT38" i="154"/>
  <c r="BR38" i="154"/>
  <c r="BP38" i="154"/>
  <c r="BN38" i="154"/>
  <c r="BL38" i="154"/>
  <c r="BI38" i="154"/>
  <c r="BG38" i="154"/>
  <c r="BE38" i="154"/>
  <c r="BC38" i="154"/>
  <c r="AY38" i="154"/>
  <c r="AW38" i="154"/>
  <c r="AU38" i="154"/>
  <c r="AS38" i="154"/>
  <c r="AQ38" i="154"/>
  <c r="AO38" i="154"/>
  <c r="AM38" i="154"/>
  <c r="E38" i="154"/>
  <c r="C38" i="154"/>
  <c r="CX37" i="154"/>
  <c r="CV37" i="154"/>
  <c r="CT37" i="154"/>
  <c r="CR37" i="154"/>
  <c r="CP37" i="154"/>
  <c r="CN37" i="154"/>
  <c r="CL37" i="154"/>
  <c r="CJ37" i="154"/>
  <c r="CH37" i="154"/>
  <c r="CF37" i="154"/>
  <c r="CD37" i="154"/>
  <c r="CB37" i="154"/>
  <c r="BZ37" i="154"/>
  <c r="BX37" i="154"/>
  <c r="BV37" i="154"/>
  <c r="BT37" i="154"/>
  <c r="BR37" i="154"/>
  <c r="BP37" i="154"/>
  <c r="BN37" i="154"/>
  <c r="BL37" i="154"/>
  <c r="BI37" i="154"/>
  <c r="BG37" i="154"/>
  <c r="BE37" i="154"/>
  <c r="BC37" i="154"/>
  <c r="AY37" i="154"/>
  <c r="AW37" i="154"/>
  <c r="AU37" i="154"/>
  <c r="AS37" i="154"/>
  <c r="AQ37" i="154"/>
  <c r="AO37" i="154"/>
  <c r="AM37" i="154"/>
  <c r="G37" i="154"/>
  <c r="E37" i="154" s="1"/>
  <c r="C37" i="154" s="1"/>
  <c r="CX36" i="154"/>
  <c r="CV36" i="154"/>
  <c r="CT36" i="154"/>
  <c r="CR36" i="154"/>
  <c r="CP36" i="154"/>
  <c r="CN36" i="154"/>
  <c r="CL36" i="154"/>
  <c r="CJ36" i="154"/>
  <c r="CH36" i="154"/>
  <c r="CF36" i="154"/>
  <c r="CD36" i="154"/>
  <c r="CB36" i="154"/>
  <c r="BZ36" i="154"/>
  <c r="BX36" i="154"/>
  <c r="BV36" i="154"/>
  <c r="BT36" i="154"/>
  <c r="BR36" i="154"/>
  <c r="BP36" i="154"/>
  <c r="BN36" i="154"/>
  <c r="BL36" i="154"/>
  <c r="BI36" i="154"/>
  <c r="BG36" i="154"/>
  <c r="BE36" i="154"/>
  <c r="BC36" i="154"/>
  <c r="AY36" i="154"/>
  <c r="AW36" i="154"/>
  <c r="AU36" i="154"/>
  <c r="AS36" i="154"/>
  <c r="AQ36" i="154"/>
  <c r="AO36" i="154"/>
  <c r="AM36" i="154"/>
  <c r="E36" i="154"/>
  <c r="C36" i="154"/>
  <c r="CX35" i="154"/>
  <c r="CV35" i="154"/>
  <c r="CT35" i="154"/>
  <c r="CR35" i="154"/>
  <c r="CP35" i="154"/>
  <c r="CN35" i="154"/>
  <c r="CL35" i="154"/>
  <c r="CJ35" i="154"/>
  <c r="CH35" i="154"/>
  <c r="CF35" i="154"/>
  <c r="CD35" i="154"/>
  <c r="CB35" i="154"/>
  <c r="BZ35" i="154"/>
  <c r="BX35" i="154"/>
  <c r="BV35" i="154"/>
  <c r="BT35" i="154"/>
  <c r="BR35" i="154"/>
  <c r="BP35" i="154"/>
  <c r="BN35" i="154"/>
  <c r="BL35" i="154"/>
  <c r="BI35" i="154"/>
  <c r="BG35" i="154"/>
  <c r="BE35" i="154"/>
  <c r="BC35" i="154"/>
  <c r="AY35" i="154"/>
  <c r="AW35" i="154"/>
  <c r="AU35" i="154"/>
  <c r="AS35" i="154"/>
  <c r="AQ35" i="154"/>
  <c r="AO35" i="154"/>
  <c r="AM35" i="154"/>
  <c r="E35" i="154"/>
  <c r="C35" i="154" s="1"/>
  <c r="CX34" i="154"/>
  <c r="CV34" i="154"/>
  <c r="CT34" i="154"/>
  <c r="CR34" i="154"/>
  <c r="CP34" i="154"/>
  <c r="CN34" i="154"/>
  <c r="CL34" i="154"/>
  <c r="CJ34" i="154"/>
  <c r="CH34" i="154"/>
  <c r="CF34" i="154"/>
  <c r="CD34" i="154"/>
  <c r="CB34" i="154"/>
  <c r="BZ34" i="154"/>
  <c r="BX34" i="154"/>
  <c r="BV34" i="154"/>
  <c r="BT34" i="154"/>
  <c r="BR34" i="154"/>
  <c r="BP34" i="154"/>
  <c r="BN34" i="154"/>
  <c r="BL34" i="154"/>
  <c r="BI34" i="154"/>
  <c r="BG34" i="154"/>
  <c r="BE34" i="154"/>
  <c r="BC34" i="154"/>
  <c r="AY34" i="154"/>
  <c r="AW34" i="154"/>
  <c r="AU34" i="154"/>
  <c r="AS34" i="154"/>
  <c r="AQ34" i="154"/>
  <c r="AO34" i="154"/>
  <c r="AM34" i="154"/>
  <c r="I34" i="154"/>
  <c r="CX33" i="154"/>
  <c r="CV33" i="154"/>
  <c r="CT33" i="154"/>
  <c r="CR33" i="154"/>
  <c r="CP33" i="154"/>
  <c r="CN33" i="154"/>
  <c r="CL33" i="154"/>
  <c r="CJ33" i="154"/>
  <c r="CH33" i="154"/>
  <c r="CF33" i="154"/>
  <c r="CD33" i="154"/>
  <c r="CB33" i="154"/>
  <c r="BZ33" i="154"/>
  <c r="BX33" i="154"/>
  <c r="BV33" i="154"/>
  <c r="BT33" i="154"/>
  <c r="BR33" i="154"/>
  <c r="BP33" i="154"/>
  <c r="BN33" i="154"/>
  <c r="BL33" i="154"/>
  <c r="BI33" i="154"/>
  <c r="BG33" i="154"/>
  <c r="BE33" i="154"/>
  <c r="BC33" i="154"/>
  <c r="AY33" i="154"/>
  <c r="AW33" i="154"/>
  <c r="AU33" i="154"/>
  <c r="AS33" i="154"/>
  <c r="AQ33" i="154"/>
  <c r="AO33" i="154"/>
  <c r="AM33" i="154"/>
  <c r="CX32" i="154"/>
  <c r="CV32" i="154"/>
  <c r="CT32" i="154"/>
  <c r="CR32" i="154"/>
  <c r="CP32" i="154"/>
  <c r="CN32" i="154"/>
  <c r="CL32" i="154"/>
  <c r="CJ32" i="154"/>
  <c r="CH32" i="154"/>
  <c r="CF32" i="154"/>
  <c r="CD32" i="154"/>
  <c r="CB32" i="154"/>
  <c r="BZ32" i="154"/>
  <c r="BX32" i="154"/>
  <c r="BV32" i="154"/>
  <c r="BT32" i="154"/>
  <c r="BR32" i="154"/>
  <c r="BP32" i="154"/>
  <c r="BN32" i="154"/>
  <c r="BL32" i="154"/>
  <c r="BI32" i="154"/>
  <c r="BG32" i="154"/>
  <c r="BE32" i="154"/>
  <c r="BC32" i="154"/>
  <c r="AY32" i="154"/>
  <c r="AW32" i="154"/>
  <c r="AU32" i="154"/>
  <c r="AS32" i="154"/>
  <c r="AQ32" i="154"/>
  <c r="AO32" i="154"/>
  <c r="AM32" i="154"/>
  <c r="K32" i="154"/>
  <c r="I32" i="154"/>
  <c r="CX31" i="154"/>
  <c r="CV31" i="154"/>
  <c r="CT31" i="154"/>
  <c r="CR31" i="154"/>
  <c r="CP31" i="154"/>
  <c r="CN31" i="154"/>
  <c r="CL31" i="154"/>
  <c r="CJ31" i="154"/>
  <c r="CH31" i="154"/>
  <c r="CF31" i="154"/>
  <c r="CD31" i="154"/>
  <c r="CB31" i="154"/>
  <c r="BZ31" i="154"/>
  <c r="BX31" i="154"/>
  <c r="BV31" i="154"/>
  <c r="BT31" i="154"/>
  <c r="BR31" i="154"/>
  <c r="BP31" i="154"/>
  <c r="BN31" i="154"/>
  <c r="BL31" i="154"/>
  <c r="BI31" i="154"/>
  <c r="BG31" i="154"/>
  <c r="BE31" i="154"/>
  <c r="BC31" i="154"/>
  <c r="AY31" i="154"/>
  <c r="AW31" i="154"/>
  <c r="AU31" i="154"/>
  <c r="AS31" i="154"/>
  <c r="AQ31" i="154"/>
  <c r="AO31" i="154"/>
  <c r="AM31" i="154"/>
  <c r="CX30" i="154"/>
  <c r="CV30" i="154"/>
  <c r="CT30" i="154"/>
  <c r="CR30" i="154"/>
  <c r="CP30" i="154"/>
  <c r="CN30" i="154"/>
  <c r="CL30" i="154"/>
  <c r="CJ30" i="154"/>
  <c r="CH30" i="154"/>
  <c r="CF30" i="154"/>
  <c r="CD30" i="154"/>
  <c r="CB30" i="154"/>
  <c r="BZ30" i="154"/>
  <c r="BX30" i="154"/>
  <c r="BV30" i="154"/>
  <c r="BT30" i="154"/>
  <c r="BR30" i="154"/>
  <c r="BP30" i="154"/>
  <c r="BN30" i="154"/>
  <c r="BL30" i="154"/>
  <c r="BI30" i="154"/>
  <c r="BG30" i="154"/>
  <c r="BE30" i="154"/>
  <c r="BC30" i="154"/>
  <c r="AY30" i="154"/>
  <c r="AW30" i="154"/>
  <c r="AU30" i="154"/>
  <c r="AS30" i="154"/>
  <c r="AQ30" i="154"/>
  <c r="AO30" i="154"/>
  <c r="AM30" i="154"/>
  <c r="K30" i="154"/>
  <c r="G34" i="154" s="1"/>
  <c r="G30" i="154"/>
  <c r="CX29" i="154"/>
  <c r="CV29" i="154"/>
  <c r="CT29" i="154"/>
  <c r="CR29" i="154"/>
  <c r="CP29" i="154"/>
  <c r="CN29" i="154"/>
  <c r="CL29" i="154"/>
  <c r="CJ29" i="154"/>
  <c r="CH29" i="154"/>
  <c r="CF29" i="154"/>
  <c r="CD29" i="154"/>
  <c r="CB29" i="154"/>
  <c r="BZ29" i="154"/>
  <c r="BX29" i="154"/>
  <c r="BV29" i="154"/>
  <c r="BT29" i="154"/>
  <c r="BR29" i="154"/>
  <c r="BP29" i="154"/>
  <c r="BN29" i="154"/>
  <c r="BL29" i="154"/>
  <c r="BI29" i="154"/>
  <c r="BG29" i="154"/>
  <c r="BE29" i="154"/>
  <c r="BC29" i="154"/>
  <c r="AY29" i="154"/>
  <c r="AW29" i="154"/>
  <c r="AU29" i="154"/>
  <c r="AS29" i="154"/>
  <c r="AQ29" i="154"/>
  <c r="AO29" i="154"/>
  <c r="AM29" i="154"/>
  <c r="CX28" i="154"/>
  <c r="CV28" i="154"/>
  <c r="CT28" i="154"/>
  <c r="CR28" i="154"/>
  <c r="CP28" i="154"/>
  <c r="CN28" i="154"/>
  <c r="CL28" i="154"/>
  <c r="CJ28" i="154"/>
  <c r="CH28" i="154"/>
  <c r="CF28" i="154"/>
  <c r="CD28" i="154"/>
  <c r="CB28" i="154"/>
  <c r="BZ28" i="154"/>
  <c r="BX28" i="154"/>
  <c r="BV28" i="154"/>
  <c r="BT28" i="154"/>
  <c r="BR28" i="154"/>
  <c r="BP28" i="154"/>
  <c r="BN28" i="154"/>
  <c r="BL28" i="154"/>
  <c r="BI28" i="154"/>
  <c r="BG28" i="154"/>
  <c r="BE28" i="154"/>
  <c r="BC28" i="154"/>
  <c r="AY28" i="154"/>
  <c r="AW28" i="154"/>
  <c r="AU28" i="154"/>
  <c r="AS28" i="154"/>
  <c r="AQ28" i="154"/>
  <c r="AO28" i="154"/>
  <c r="AM28" i="154"/>
  <c r="Y27" i="154"/>
  <c r="CX26" i="154"/>
  <c r="CV26" i="154"/>
  <c r="CT26" i="154"/>
  <c r="CR26" i="154"/>
  <c r="CP26" i="154"/>
  <c r="CN26" i="154"/>
  <c r="CL26" i="154"/>
  <c r="CJ26" i="154"/>
  <c r="CH26" i="154"/>
  <c r="CF26" i="154"/>
  <c r="CD26" i="154"/>
  <c r="CB26" i="154"/>
  <c r="BZ26" i="154"/>
  <c r="BX26" i="154"/>
  <c r="BV26" i="154"/>
  <c r="BT26" i="154"/>
  <c r="BR26" i="154"/>
  <c r="BP26" i="154"/>
  <c r="BN26" i="154"/>
  <c r="BL26" i="154"/>
  <c r="BI26" i="154"/>
  <c r="BG26" i="154"/>
  <c r="BE26" i="154"/>
  <c r="BC26" i="154"/>
  <c r="AY26" i="154"/>
  <c r="AW26" i="154"/>
  <c r="AU26" i="154"/>
  <c r="AS26" i="154"/>
  <c r="AQ26" i="154"/>
  <c r="AO26" i="154"/>
  <c r="AM26" i="154"/>
  <c r="Q26" i="154"/>
  <c r="O26" i="154"/>
  <c r="CX25" i="154"/>
  <c r="CV25" i="154"/>
  <c r="CT25" i="154"/>
  <c r="CR25" i="154"/>
  <c r="CP25" i="154"/>
  <c r="CN25" i="154"/>
  <c r="CL25" i="154"/>
  <c r="CJ25" i="154"/>
  <c r="CH25" i="154"/>
  <c r="CF25" i="154"/>
  <c r="CD25" i="154"/>
  <c r="CB25" i="154"/>
  <c r="BZ25" i="154"/>
  <c r="BX25" i="154"/>
  <c r="BV25" i="154"/>
  <c r="BT25" i="154"/>
  <c r="BR25" i="154"/>
  <c r="BP25" i="154"/>
  <c r="BN25" i="154"/>
  <c r="BL25" i="154"/>
  <c r="BI25" i="154"/>
  <c r="BG25" i="154"/>
  <c r="BE25" i="154"/>
  <c r="BC25" i="154"/>
  <c r="AY25" i="154"/>
  <c r="AW25" i="154"/>
  <c r="AU25" i="154"/>
  <c r="AS25" i="154"/>
  <c r="AQ25" i="154"/>
  <c r="AO25" i="154"/>
  <c r="AM25" i="154"/>
  <c r="CX24" i="154"/>
  <c r="CV24" i="154"/>
  <c r="CT24" i="154"/>
  <c r="CR24" i="154"/>
  <c r="CP24" i="154"/>
  <c r="CN24" i="154"/>
  <c r="CL24" i="154"/>
  <c r="CJ24" i="154"/>
  <c r="CH24" i="154"/>
  <c r="CF24" i="154"/>
  <c r="CD24" i="154"/>
  <c r="CB24" i="154"/>
  <c r="BZ24" i="154"/>
  <c r="BX24" i="154"/>
  <c r="BV24" i="154"/>
  <c r="BT24" i="154"/>
  <c r="BR24" i="154"/>
  <c r="BP24" i="154"/>
  <c r="BN24" i="154"/>
  <c r="BL24" i="154"/>
  <c r="BI24" i="154"/>
  <c r="BG24" i="154"/>
  <c r="BE24" i="154"/>
  <c r="BC24" i="154"/>
  <c r="AY24" i="154"/>
  <c r="AW24" i="154"/>
  <c r="AU24" i="154"/>
  <c r="AS24" i="154"/>
  <c r="AQ24" i="154"/>
  <c r="AO24" i="154"/>
  <c r="AM24" i="154"/>
  <c r="G24" i="154"/>
  <c r="G27" i="154" s="1"/>
  <c r="CX23" i="154"/>
  <c r="CV23" i="154"/>
  <c r="CT23" i="154"/>
  <c r="CR23" i="154"/>
  <c r="CP23" i="154"/>
  <c r="CN23" i="154"/>
  <c r="CL23" i="154"/>
  <c r="CJ23" i="154"/>
  <c r="CH23" i="154"/>
  <c r="CF23" i="154"/>
  <c r="CD23" i="154"/>
  <c r="CB23" i="154"/>
  <c r="BZ23" i="154"/>
  <c r="BX23" i="154"/>
  <c r="BV23" i="154"/>
  <c r="BT23" i="154"/>
  <c r="BR23" i="154"/>
  <c r="BP23" i="154"/>
  <c r="BN23" i="154"/>
  <c r="BL23" i="154"/>
  <c r="BI23" i="154"/>
  <c r="BG23" i="154"/>
  <c r="BE23" i="154"/>
  <c r="BC23" i="154"/>
  <c r="AY23" i="154"/>
  <c r="AW23" i="154"/>
  <c r="AU23" i="154"/>
  <c r="AS23" i="154"/>
  <c r="AQ23" i="154"/>
  <c r="AO23" i="154"/>
  <c r="AM23" i="154"/>
  <c r="E23" i="154"/>
  <c r="C23" i="154"/>
  <c r="CX22" i="154"/>
  <c r="CV22" i="154"/>
  <c r="CT22" i="154"/>
  <c r="CR22" i="154"/>
  <c r="CP22" i="154"/>
  <c r="CN22" i="154"/>
  <c r="CL22" i="154"/>
  <c r="CJ22" i="154"/>
  <c r="CH22" i="154"/>
  <c r="CF22" i="154"/>
  <c r="CD22" i="154"/>
  <c r="CB22" i="154"/>
  <c r="BZ22" i="154"/>
  <c r="BX22" i="154"/>
  <c r="BV22" i="154"/>
  <c r="BT22" i="154"/>
  <c r="BR22" i="154"/>
  <c r="BP22" i="154"/>
  <c r="BN22" i="154"/>
  <c r="BL22" i="154"/>
  <c r="BI22" i="154"/>
  <c r="BG22" i="154"/>
  <c r="BE22" i="154"/>
  <c r="BC22" i="154"/>
  <c r="AY22" i="154"/>
  <c r="AW22" i="154"/>
  <c r="AU22" i="154"/>
  <c r="AS22" i="154"/>
  <c r="AQ22" i="154"/>
  <c r="AO22" i="154"/>
  <c r="AM22" i="154"/>
  <c r="G22" i="154"/>
  <c r="E22" i="154" s="1"/>
  <c r="C22" i="154" s="1"/>
  <c r="CX21" i="154"/>
  <c r="CV21" i="154"/>
  <c r="CT21" i="154"/>
  <c r="CR21" i="154"/>
  <c r="CP21" i="154"/>
  <c r="CN21" i="154"/>
  <c r="CL21" i="154"/>
  <c r="CJ21" i="154"/>
  <c r="CH21" i="154"/>
  <c r="CF21" i="154"/>
  <c r="CD21" i="154"/>
  <c r="CB21" i="154"/>
  <c r="BZ21" i="154"/>
  <c r="BX21" i="154"/>
  <c r="BV21" i="154"/>
  <c r="BT21" i="154"/>
  <c r="BR21" i="154"/>
  <c r="BP21" i="154"/>
  <c r="BN21" i="154"/>
  <c r="BL21" i="154"/>
  <c r="BI21" i="154"/>
  <c r="BG21" i="154"/>
  <c r="BE21" i="154"/>
  <c r="BC21" i="154"/>
  <c r="AY21" i="154"/>
  <c r="AW21" i="154"/>
  <c r="AU21" i="154"/>
  <c r="AS21" i="154"/>
  <c r="AQ21" i="154"/>
  <c r="AO21" i="154"/>
  <c r="AM21" i="154"/>
  <c r="O21" i="154"/>
  <c r="K21" i="154"/>
  <c r="I21" i="154"/>
  <c r="CX20" i="154"/>
  <c r="CV20" i="154"/>
  <c r="CT20" i="154"/>
  <c r="CR20" i="154"/>
  <c r="CP20" i="154"/>
  <c r="CN20" i="154"/>
  <c r="CL20" i="154"/>
  <c r="CJ20" i="154"/>
  <c r="CH20" i="154"/>
  <c r="CF20" i="154"/>
  <c r="CD20" i="154"/>
  <c r="CB20" i="154"/>
  <c r="BZ20" i="154"/>
  <c r="BX20" i="154"/>
  <c r="BV20" i="154"/>
  <c r="BT20" i="154"/>
  <c r="BR20" i="154"/>
  <c r="BP20" i="154"/>
  <c r="BN20" i="154"/>
  <c r="BL20" i="154"/>
  <c r="BI20" i="154"/>
  <c r="BG20" i="154"/>
  <c r="BE20" i="154"/>
  <c r="BC20" i="154"/>
  <c r="AY20" i="154"/>
  <c r="AW20" i="154"/>
  <c r="AU20" i="154"/>
  <c r="AS20" i="154"/>
  <c r="AQ20" i="154"/>
  <c r="AO20" i="154"/>
  <c r="AM20" i="154"/>
  <c r="O20" i="154"/>
  <c r="CX19" i="154"/>
  <c r="CV19" i="154"/>
  <c r="CT19" i="154"/>
  <c r="CR19" i="154"/>
  <c r="CP19" i="154"/>
  <c r="CN19" i="154"/>
  <c r="CL19" i="154"/>
  <c r="CJ19" i="154"/>
  <c r="CH19" i="154"/>
  <c r="CF19" i="154"/>
  <c r="CD19" i="154"/>
  <c r="CB19" i="154"/>
  <c r="BZ19" i="154"/>
  <c r="BX19" i="154"/>
  <c r="BV19" i="154"/>
  <c r="BT19" i="154"/>
  <c r="BR19" i="154"/>
  <c r="BP19" i="154"/>
  <c r="BN19" i="154"/>
  <c r="BL19" i="154"/>
  <c r="BI19" i="154"/>
  <c r="BG19" i="154"/>
  <c r="BE19" i="154"/>
  <c r="BC19" i="154"/>
  <c r="AY19" i="154"/>
  <c r="AW19" i="154"/>
  <c r="AU19" i="154"/>
  <c r="AS19" i="154"/>
  <c r="AQ19" i="154"/>
  <c r="AO19" i="154"/>
  <c r="AM19" i="154"/>
  <c r="O19" i="154"/>
  <c r="K19" i="154"/>
  <c r="I19" i="154"/>
  <c r="CX18" i="154"/>
  <c r="CV18" i="154"/>
  <c r="CT18" i="154"/>
  <c r="CR18" i="154"/>
  <c r="CP18" i="154"/>
  <c r="CN18" i="154"/>
  <c r="CL18" i="154"/>
  <c r="CJ18" i="154"/>
  <c r="CH18" i="154"/>
  <c r="CF18" i="154"/>
  <c r="CD18" i="154"/>
  <c r="CB18" i="154"/>
  <c r="BZ18" i="154"/>
  <c r="BX18" i="154"/>
  <c r="BV18" i="154"/>
  <c r="BT18" i="154"/>
  <c r="BR18" i="154"/>
  <c r="BP18" i="154"/>
  <c r="BN18" i="154"/>
  <c r="BL18" i="154"/>
  <c r="BI18" i="154"/>
  <c r="BG18" i="154"/>
  <c r="BE18" i="154"/>
  <c r="BC18" i="154"/>
  <c r="AY18" i="154"/>
  <c r="AW18" i="154"/>
  <c r="AU18" i="154"/>
  <c r="AS18" i="154"/>
  <c r="AQ18" i="154"/>
  <c r="AO18" i="154"/>
  <c r="AM18" i="154"/>
  <c r="E18" i="154"/>
  <c r="C18" i="154" s="1"/>
  <c r="CX17" i="154"/>
  <c r="CV17" i="154"/>
  <c r="CT17" i="154"/>
  <c r="CR17" i="154"/>
  <c r="CP17" i="154"/>
  <c r="CN17" i="154"/>
  <c r="CL17" i="154"/>
  <c r="CJ17" i="154"/>
  <c r="CH17" i="154"/>
  <c r="CF17" i="154"/>
  <c r="CD17" i="154"/>
  <c r="CB17" i="154"/>
  <c r="BZ17" i="154"/>
  <c r="BX17" i="154"/>
  <c r="BV17" i="154"/>
  <c r="BT17" i="154"/>
  <c r="BR17" i="154"/>
  <c r="BP17" i="154"/>
  <c r="BN17" i="154"/>
  <c r="BL17" i="154"/>
  <c r="BI17" i="154"/>
  <c r="BG17" i="154"/>
  <c r="BE17" i="154"/>
  <c r="BC17" i="154"/>
  <c r="AY17" i="154"/>
  <c r="AW17" i="154"/>
  <c r="AU17" i="154"/>
  <c r="AS17" i="154"/>
  <c r="AQ17" i="154"/>
  <c r="AO17" i="154"/>
  <c r="AM17" i="154"/>
  <c r="CX16" i="154"/>
  <c r="CV16" i="154"/>
  <c r="CT16" i="154"/>
  <c r="CR16" i="154"/>
  <c r="CP16" i="154"/>
  <c r="CN16" i="154"/>
  <c r="CL16" i="154"/>
  <c r="CJ16" i="154"/>
  <c r="CH16" i="154"/>
  <c r="CF16" i="154"/>
  <c r="CD16" i="154"/>
  <c r="CB16" i="154"/>
  <c r="BZ16" i="154"/>
  <c r="BX16" i="154"/>
  <c r="BV16" i="154"/>
  <c r="BT16" i="154"/>
  <c r="BR16" i="154"/>
  <c r="BP16" i="154"/>
  <c r="BN16" i="154"/>
  <c r="BL16" i="154"/>
  <c r="BI16" i="154"/>
  <c r="BG16" i="154"/>
  <c r="BE16" i="154"/>
  <c r="BC16" i="154"/>
  <c r="AY16" i="154"/>
  <c r="AW16" i="154"/>
  <c r="AU16" i="154"/>
  <c r="AS16" i="154"/>
  <c r="AQ16" i="154"/>
  <c r="AO16" i="154"/>
  <c r="AM16" i="154"/>
  <c r="E16" i="154"/>
  <c r="CX15" i="154"/>
  <c r="CV15" i="154"/>
  <c r="CT15" i="154"/>
  <c r="CR15" i="154"/>
  <c r="CP15" i="154"/>
  <c r="CN15" i="154"/>
  <c r="CL15" i="154"/>
  <c r="CJ15" i="154"/>
  <c r="CH15" i="154"/>
  <c r="CF15" i="154"/>
  <c r="CD15" i="154"/>
  <c r="CB15" i="154"/>
  <c r="BZ15" i="154"/>
  <c r="BX15" i="154"/>
  <c r="BV15" i="154"/>
  <c r="BT15" i="154"/>
  <c r="BR15" i="154"/>
  <c r="BP15" i="154"/>
  <c r="BN15" i="154"/>
  <c r="BL15" i="154"/>
  <c r="BI15" i="154"/>
  <c r="BG15" i="154"/>
  <c r="BE15" i="154"/>
  <c r="BC15" i="154"/>
  <c r="AY15" i="154"/>
  <c r="AW15" i="154"/>
  <c r="AU15" i="154"/>
  <c r="AS15" i="154"/>
  <c r="AQ15" i="154"/>
  <c r="AO15" i="154"/>
  <c r="AM15" i="154"/>
  <c r="CX14" i="154"/>
  <c r="CV14" i="154"/>
  <c r="CT14" i="154"/>
  <c r="CR14" i="154"/>
  <c r="CP14" i="154"/>
  <c r="CN14" i="154"/>
  <c r="CL14" i="154"/>
  <c r="CJ14" i="154"/>
  <c r="CH14" i="154"/>
  <c r="CF14" i="154"/>
  <c r="CD14" i="154"/>
  <c r="CB14" i="154"/>
  <c r="BZ14" i="154"/>
  <c r="BX14" i="154"/>
  <c r="BV14" i="154"/>
  <c r="BT14" i="154"/>
  <c r="BR14" i="154"/>
  <c r="BP14" i="154"/>
  <c r="BN14" i="154"/>
  <c r="BL14" i="154"/>
  <c r="BI14" i="154"/>
  <c r="BG14" i="154"/>
  <c r="BE14" i="154"/>
  <c r="BC14" i="154"/>
  <c r="AY14" i="154"/>
  <c r="AW14" i="154"/>
  <c r="AU14" i="154"/>
  <c r="AS14" i="154"/>
  <c r="AQ14" i="154"/>
  <c r="AO14" i="154"/>
  <c r="AM14" i="154"/>
  <c r="E14" i="154"/>
  <c r="C14" i="154"/>
  <c r="CX13" i="154"/>
  <c r="CV13" i="154"/>
  <c r="CT13" i="154"/>
  <c r="CR13" i="154"/>
  <c r="CP13" i="154"/>
  <c r="CN13" i="154"/>
  <c r="CL13" i="154"/>
  <c r="CJ13" i="154"/>
  <c r="CH13" i="154"/>
  <c r="CF13" i="154"/>
  <c r="CD13" i="154"/>
  <c r="CB13" i="154"/>
  <c r="BZ13" i="154"/>
  <c r="BX13" i="154"/>
  <c r="BV13" i="154"/>
  <c r="BT13" i="154"/>
  <c r="BR13" i="154"/>
  <c r="BP13" i="154"/>
  <c r="BN13" i="154"/>
  <c r="BL13" i="154"/>
  <c r="BI13" i="154"/>
  <c r="BG13" i="154"/>
  <c r="BE13" i="154"/>
  <c r="BC13" i="154"/>
  <c r="AY13" i="154"/>
  <c r="AW13" i="154"/>
  <c r="AU13" i="154"/>
  <c r="AS13" i="154"/>
  <c r="AQ13" i="154"/>
  <c r="AO13" i="154"/>
  <c r="AM13" i="154"/>
  <c r="G13" i="154"/>
  <c r="CX12" i="154"/>
  <c r="CV12" i="154"/>
  <c r="CT12" i="154"/>
  <c r="CR12" i="154"/>
  <c r="CP12" i="154"/>
  <c r="CN12" i="154"/>
  <c r="CL12" i="154"/>
  <c r="CJ12" i="154"/>
  <c r="CH12" i="154"/>
  <c r="CF12" i="154"/>
  <c r="CD12" i="154"/>
  <c r="CB12" i="154"/>
  <c r="BZ12" i="154"/>
  <c r="BX12" i="154"/>
  <c r="BV12" i="154"/>
  <c r="BT12" i="154"/>
  <c r="BR12" i="154"/>
  <c r="BP12" i="154"/>
  <c r="BN12" i="154"/>
  <c r="BL12" i="154"/>
  <c r="BI12" i="154"/>
  <c r="BG12" i="154"/>
  <c r="BE12" i="154"/>
  <c r="BC12" i="154"/>
  <c r="AY12" i="154"/>
  <c r="AW12" i="154"/>
  <c r="AU12" i="154"/>
  <c r="AS12" i="154"/>
  <c r="AQ12" i="154"/>
  <c r="AO12" i="154"/>
  <c r="AM12" i="154"/>
  <c r="I12" i="154"/>
  <c r="G5" i="177" s="1"/>
  <c r="E5" i="177" s="1"/>
  <c r="C5" i="177" s="1"/>
  <c r="CX11" i="154"/>
  <c r="CV11" i="154"/>
  <c r="CT11" i="154"/>
  <c r="CR11" i="154"/>
  <c r="CP11" i="154"/>
  <c r="CN11" i="154"/>
  <c r="CL11" i="154"/>
  <c r="CJ11" i="154"/>
  <c r="CH11" i="154"/>
  <c r="CF11" i="154"/>
  <c r="CD11" i="154"/>
  <c r="CB11" i="154"/>
  <c r="BZ11" i="154"/>
  <c r="BX11" i="154"/>
  <c r="BV11" i="154"/>
  <c r="BT11" i="154"/>
  <c r="BR11" i="154"/>
  <c r="BP11" i="154"/>
  <c r="BN11" i="154"/>
  <c r="BL11" i="154"/>
  <c r="BI11" i="154"/>
  <c r="BG11" i="154"/>
  <c r="BE11" i="154"/>
  <c r="BC11" i="154"/>
  <c r="AY11" i="154"/>
  <c r="AW11" i="154"/>
  <c r="AU11" i="154"/>
  <c r="AS11" i="154"/>
  <c r="AQ11" i="154"/>
  <c r="AO11" i="154"/>
  <c r="AM11" i="154"/>
  <c r="E11" i="154"/>
  <c r="C11" i="154"/>
  <c r="CX10" i="154"/>
  <c r="CV10" i="154"/>
  <c r="CT10" i="154"/>
  <c r="CR10" i="154"/>
  <c r="CP10" i="154"/>
  <c r="CN10" i="154"/>
  <c r="CL10" i="154"/>
  <c r="CJ10" i="154"/>
  <c r="CH10" i="154"/>
  <c r="CF10" i="154"/>
  <c r="CD10" i="154"/>
  <c r="CB10" i="154"/>
  <c r="BZ10" i="154"/>
  <c r="BX10" i="154"/>
  <c r="BV10" i="154"/>
  <c r="BT10" i="154"/>
  <c r="BR10" i="154"/>
  <c r="BP10" i="154"/>
  <c r="BN10" i="154"/>
  <c r="BL10" i="154"/>
  <c r="BI10" i="154"/>
  <c r="BG10" i="154"/>
  <c r="BE10" i="154"/>
  <c r="BC10" i="154"/>
  <c r="AY10" i="154"/>
  <c r="AW10" i="154"/>
  <c r="AU10" i="154"/>
  <c r="AS10" i="154"/>
  <c r="AQ10" i="154"/>
  <c r="AO10" i="154"/>
  <c r="AM10" i="154"/>
  <c r="CX9" i="154"/>
  <c r="CV9" i="154"/>
  <c r="CT9" i="154"/>
  <c r="CR9" i="154"/>
  <c r="CP9" i="154"/>
  <c r="CN9" i="154"/>
  <c r="CL9" i="154"/>
  <c r="CJ9" i="154"/>
  <c r="CH9" i="154"/>
  <c r="CF9" i="154"/>
  <c r="CD9" i="154"/>
  <c r="CB9" i="154"/>
  <c r="BZ9" i="154"/>
  <c r="BX9" i="154"/>
  <c r="BV9" i="154"/>
  <c r="BT9" i="154"/>
  <c r="BR9" i="154"/>
  <c r="BP9" i="154"/>
  <c r="BN9" i="154"/>
  <c r="BL9" i="154"/>
  <c r="BI9" i="154"/>
  <c r="BG9" i="154"/>
  <c r="BE9" i="154"/>
  <c r="BC9" i="154"/>
  <c r="AY9" i="154"/>
  <c r="AW9" i="154"/>
  <c r="AU9" i="154"/>
  <c r="AS9" i="154"/>
  <c r="AQ9" i="154"/>
  <c r="AO9" i="154"/>
  <c r="AM9" i="154"/>
  <c r="E9" i="154"/>
  <c r="C9" i="154"/>
  <c r="CX8" i="154"/>
  <c r="CV8" i="154"/>
  <c r="CT8" i="154"/>
  <c r="CR8" i="154"/>
  <c r="CP8" i="154"/>
  <c r="CN8" i="154"/>
  <c r="CL8" i="154"/>
  <c r="CJ8" i="154"/>
  <c r="CH8" i="154"/>
  <c r="CF8" i="154"/>
  <c r="CD8" i="154"/>
  <c r="CB8" i="154"/>
  <c r="BZ8" i="154"/>
  <c r="BX8" i="154"/>
  <c r="BV8" i="154"/>
  <c r="BT8" i="154"/>
  <c r="BR8" i="154"/>
  <c r="BP8" i="154"/>
  <c r="BN8" i="154"/>
  <c r="BL8" i="154"/>
  <c r="BI8" i="154"/>
  <c r="BG8" i="154"/>
  <c r="BE8" i="154"/>
  <c r="BC8" i="154"/>
  <c r="AY8" i="154"/>
  <c r="AW8" i="154"/>
  <c r="AU8" i="154"/>
  <c r="AS8" i="154"/>
  <c r="AQ8" i="154"/>
  <c r="AO8" i="154"/>
  <c r="AM8" i="154"/>
  <c r="O8" i="154"/>
  <c r="K8" i="154"/>
  <c r="I8" i="154"/>
  <c r="CX7" i="154"/>
  <c r="CV7" i="154"/>
  <c r="CT7" i="154"/>
  <c r="CR7" i="154"/>
  <c r="CP7" i="154"/>
  <c r="CN7" i="154"/>
  <c r="CL7" i="154"/>
  <c r="CJ7" i="154"/>
  <c r="CH7" i="154"/>
  <c r="CF7" i="154"/>
  <c r="CD7" i="154"/>
  <c r="CB7" i="154"/>
  <c r="BZ7" i="154"/>
  <c r="BX7" i="154"/>
  <c r="BV7" i="154"/>
  <c r="BT7" i="154"/>
  <c r="BR7" i="154"/>
  <c r="BP7" i="154"/>
  <c r="BN7" i="154"/>
  <c r="BL7" i="154"/>
  <c r="BI7" i="154"/>
  <c r="BG7" i="154"/>
  <c r="BE7" i="154"/>
  <c r="BC7" i="154"/>
  <c r="AY7" i="154"/>
  <c r="AW7" i="154"/>
  <c r="AU7" i="154"/>
  <c r="AS7" i="154"/>
  <c r="AQ7" i="154"/>
  <c r="AO7" i="154"/>
  <c r="AM7" i="154"/>
  <c r="I7" i="154"/>
  <c r="G7" i="154"/>
  <c r="CX6" i="154"/>
  <c r="CV6" i="154"/>
  <c r="CT6" i="154"/>
  <c r="CR6" i="154"/>
  <c r="CP6" i="154"/>
  <c r="CN6" i="154"/>
  <c r="CL6" i="154"/>
  <c r="CJ6" i="154"/>
  <c r="CH6" i="154"/>
  <c r="CF6" i="154"/>
  <c r="CD6" i="154"/>
  <c r="CB6" i="154"/>
  <c r="BZ6" i="154"/>
  <c r="BX6" i="154"/>
  <c r="BV6" i="154"/>
  <c r="BT6" i="154"/>
  <c r="BR6" i="154"/>
  <c r="BP6" i="154"/>
  <c r="BN6" i="154"/>
  <c r="BL6" i="154"/>
  <c r="BI6" i="154"/>
  <c r="BG6" i="154"/>
  <c r="BE6" i="154"/>
  <c r="BC6" i="154"/>
  <c r="AY6" i="154"/>
  <c r="AW6" i="154"/>
  <c r="AU6" i="154"/>
  <c r="AS6" i="154"/>
  <c r="AQ6" i="154"/>
  <c r="AO6" i="154"/>
  <c r="AM6" i="154"/>
  <c r="Q6" i="154"/>
  <c r="CX5" i="154"/>
  <c r="CV5" i="154"/>
  <c r="CT5" i="154"/>
  <c r="CR5" i="154"/>
  <c r="CP5" i="154"/>
  <c r="CN5" i="154"/>
  <c r="CL5" i="154"/>
  <c r="CJ5" i="154"/>
  <c r="CH5" i="154"/>
  <c r="CF5" i="154"/>
  <c r="CD5" i="154"/>
  <c r="CB5" i="154"/>
  <c r="BZ5" i="154"/>
  <c r="BX5" i="154"/>
  <c r="BV5" i="154"/>
  <c r="BT5" i="154"/>
  <c r="BR5" i="154"/>
  <c r="BP5" i="154"/>
  <c r="BN5" i="154"/>
  <c r="BL5" i="154"/>
  <c r="BI5" i="154"/>
  <c r="BG5" i="154"/>
  <c r="BE5" i="154"/>
  <c r="BC5" i="154"/>
  <c r="AY5" i="154"/>
  <c r="AW5" i="154"/>
  <c r="AU5" i="154"/>
  <c r="AS5" i="154"/>
  <c r="AQ5" i="154"/>
  <c r="AO5" i="154"/>
  <c r="AM5" i="154"/>
  <c r="I5" i="154"/>
  <c r="I6" i="154" s="1"/>
  <c r="CX4" i="154"/>
  <c r="CV4" i="154"/>
  <c r="CT4" i="154"/>
  <c r="CR4" i="154"/>
  <c r="CP4" i="154"/>
  <c r="CN4" i="154"/>
  <c r="CL4" i="154"/>
  <c r="CJ4" i="154"/>
  <c r="CH4" i="154"/>
  <c r="CF4" i="154"/>
  <c r="CD4" i="154"/>
  <c r="CB4" i="154"/>
  <c r="BZ4" i="154"/>
  <c r="BX4" i="154"/>
  <c r="BV4" i="154"/>
  <c r="BT4" i="154"/>
  <c r="BR4" i="154"/>
  <c r="BP4" i="154"/>
  <c r="BN4" i="154"/>
  <c r="BL4" i="154"/>
  <c r="BI4" i="154"/>
  <c r="BG4" i="154"/>
  <c r="BE4" i="154"/>
  <c r="BC4" i="154"/>
  <c r="AY4" i="154"/>
  <c r="AW4" i="154"/>
  <c r="AU4" i="154"/>
  <c r="AS4" i="154"/>
  <c r="AQ4" i="154"/>
  <c r="AO4" i="154"/>
  <c r="AM4" i="154"/>
  <c r="CX3" i="154"/>
  <c r="CV3" i="154"/>
  <c r="CT3" i="154"/>
  <c r="CR3" i="154"/>
  <c r="CP3" i="154"/>
  <c r="CN3" i="154"/>
  <c r="CL3" i="154"/>
  <c r="CJ3" i="154"/>
  <c r="CH3" i="154"/>
  <c r="CF3" i="154"/>
  <c r="CD3" i="154"/>
  <c r="CB3" i="154"/>
  <c r="BZ3" i="154"/>
  <c r="BX3" i="154"/>
  <c r="BV3" i="154"/>
  <c r="BT3" i="154"/>
  <c r="BR3" i="154"/>
  <c r="BP3" i="154"/>
  <c r="BN3" i="154"/>
  <c r="BL3" i="154"/>
  <c r="BI3" i="154"/>
  <c r="BG3" i="154"/>
  <c r="BE3" i="154"/>
  <c r="BC3" i="154"/>
  <c r="AY3" i="154"/>
  <c r="AW3" i="154"/>
  <c r="AU3" i="154"/>
  <c r="AS3" i="154"/>
  <c r="AQ3" i="154"/>
  <c r="AO3" i="154"/>
  <c r="AM3" i="154"/>
  <c r="E3" i="154"/>
  <c r="C3" i="154"/>
  <c r="CX2" i="154"/>
  <c r="CV2" i="154"/>
  <c r="CT2" i="154"/>
  <c r="CR2" i="154"/>
  <c r="CP2" i="154"/>
  <c r="CN2" i="154"/>
  <c r="CL2" i="154"/>
  <c r="CJ2" i="154"/>
  <c r="CH2" i="154"/>
  <c r="CF2" i="154"/>
  <c r="CD2" i="154"/>
  <c r="CB2" i="154"/>
  <c r="BZ2" i="154"/>
  <c r="BX2" i="154"/>
  <c r="BV2" i="154"/>
  <c r="BT2" i="154"/>
  <c r="BR2" i="154"/>
  <c r="BP2" i="154"/>
  <c r="BN2" i="154"/>
  <c r="BL2" i="154"/>
  <c r="BI2" i="154"/>
  <c r="BG2" i="154"/>
  <c r="BE2" i="154"/>
  <c r="BC2" i="154"/>
  <c r="AY2" i="154"/>
  <c r="AW2" i="154"/>
  <c r="AU2" i="154"/>
  <c r="AS2" i="154"/>
  <c r="AQ2" i="154"/>
  <c r="AO2" i="154"/>
  <c r="AM2" i="154"/>
  <c r="E2" i="154"/>
  <c r="C2" i="154"/>
  <c r="G1" i="154"/>
  <c r="F83" i="240" a="1"/>
  <c r="F83" i="240"/>
  <c r="F80" i="240" a="1"/>
  <c r="F80" i="240"/>
  <c r="E72" i="240"/>
  <c r="E73" i="240" s="1"/>
  <c r="G69" i="240"/>
  <c r="I62" i="240" s="1"/>
  <c r="K5" i="240" s="1"/>
  <c r="G68" i="240"/>
  <c r="J65" i="240" s="1"/>
  <c r="K20" i="240" s="1"/>
  <c r="H65" i="240"/>
  <c r="J64" i="240"/>
  <c r="H64" i="240"/>
  <c r="J63" i="240"/>
  <c r="K18" i="240" s="1"/>
  <c r="H63" i="240"/>
  <c r="G63" i="240"/>
  <c r="J62" i="240"/>
  <c r="H62" i="240"/>
  <c r="I4" i="240" s="1"/>
  <c r="I5" i="240" s="1"/>
  <c r="G62" i="240"/>
  <c r="G11" i="240" s="1"/>
  <c r="E56" i="240"/>
  <c r="G55" i="240"/>
  <c r="E55" i="240"/>
  <c r="C55" i="240" s="1"/>
  <c r="E50" i="240"/>
  <c r="C50" i="240"/>
  <c r="CX48" i="240"/>
  <c r="CV48" i="240"/>
  <c r="CT48" i="240"/>
  <c r="CR48" i="240"/>
  <c r="CP48" i="240"/>
  <c r="CN48" i="240"/>
  <c r="CL48" i="240"/>
  <c r="CJ48" i="240"/>
  <c r="CH48" i="240"/>
  <c r="CF48" i="240"/>
  <c r="CD48" i="240"/>
  <c r="CB48" i="240"/>
  <c r="BZ48" i="240"/>
  <c r="BX48" i="240"/>
  <c r="BV48" i="240"/>
  <c r="BT48" i="240"/>
  <c r="BR48" i="240"/>
  <c r="BP48" i="240"/>
  <c r="BN48" i="240"/>
  <c r="BL48" i="240"/>
  <c r="BI48" i="240"/>
  <c r="BG48" i="240"/>
  <c r="BE48" i="240"/>
  <c r="BC48" i="240"/>
  <c r="AY48" i="240"/>
  <c r="AW48" i="240"/>
  <c r="AU48" i="240"/>
  <c r="AS48" i="240"/>
  <c r="AQ48" i="240"/>
  <c r="AO48" i="240"/>
  <c r="AM48" i="240"/>
  <c r="CX47" i="240"/>
  <c r="CV47" i="240"/>
  <c r="CT47" i="240"/>
  <c r="CR47" i="240"/>
  <c r="CP47" i="240"/>
  <c r="CN47" i="240"/>
  <c r="CL47" i="240"/>
  <c r="CJ47" i="240"/>
  <c r="CH47" i="240"/>
  <c r="CF47" i="240"/>
  <c r="CD47" i="240"/>
  <c r="CB47" i="240"/>
  <c r="BZ47" i="240"/>
  <c r="BX47" i="240"/>
  <c r="BV47" i="240"/>
  <c r="BT47" i="240"/>
  <c r="BR47" i="240"/>
  <c r="BP47" i="240"/>
  <c r="BN47" i="240"/>
  <c r="BL47" i="240"/>
  <c r="BI47" i="240"/>
  <c r="BG47" i="240"/>
  <c r="BE47" i="240"/>
  <c r="BC47" i="240"/>
  <c r="AY47" i="240"/>
  <c r="AW47" i="240"/>
  <c r="AU47" i="240"/>
  <c r="AS47" i="240"/>
  <c r="AQ47" i="240"/>
  <c r="AO47" i="240"/>
  <c r="AM47" i="240"/>
  <c r="CX46" i="240"/>
  <c r="CV46" i="240"/>
  <c r="CT46" i="240"/>
  <c r="CR46" i="240"/>
  <c r="CP46" i="240"/>
  <c r="CN46" i="240"/>
  <c r="CL46" i="240"/>
  <c r="CJ46" i="240"/>
  <c r="CH46" i="240"/>
  <c r="CF46" i="240"/>
  <c r="CD46" i="240"/>
  <c r="CB46" i="240"/>
  <c r="BZ46" i="240"/>
  <c r="BX46" i="240"/>
  <c r="BV46" i="240"/>
  <c r="BT46" i="240"/>
  <c r="BR46" i="240"/>
  <c r="BP46" i="240"/>
  <c r="BN46" i="240"/>
  <c r="BL46" i="240"/>
  <c r="BI46" i="240"/>
  <c r="BG46" i="240"/>
  <c r="BE46" i="240"/>
  <c r="BC46" i="240"/>
  <c r="AY46" i="240"/>
  <c r="AW46" i="240"/>
  <c r="AU46" i="240"/>
  <c r="AS46" i="240"/>
  <c r="AQ46" i="240"/>
  <c r="AO46" i="240"/>
  <c r="AM46" i="240"/>
  <c r="CX45" i="240"/>
  <c r="CV45" i="240"/>
  <c r="CT45" i="240"/>
  <c r="CR45" i="240"/>
  <c r="CP45" i="240"/>
  <c r="CN45" i="240"/>
  <c r="CL45" i="240"/>
  <c r="CJ45" i="240"/>
  <c r="CH45" i="240"/>
  <c r="CF45" i="240"/>
  <c r="CD45" i="240"/>
  <c r="CB45" i="240"/>
  <c r="BZ45" i="240"/>
  <c r="BX45" i="240"/>
  <c r="BV45" i="240"/>
  <c r="BT45" i="240"/>
  <c r="BR45" i="240"/>
  <c r="BP45" i="240"/>
  <c r="BN45" i="240"/>
  <c r="BL45" i="240"/>
  <c r="BI45" i="240"/>
  <c r="BG45" i="240"/>
  <c r="BE45" i="240"/>
  <c r="BC45" i="240"/>
  <c r="AY45" i="240"/>
  <c r="AW45" i="240"/>
  <c r="AU45" i="240"/>
  <c r="AS45" i="240"/>
  <c r="AQ45" i="240"/>
  <c r="AO45" i="240"/>
  <c r="AM45" i="240"/>
  <c r="CX44" i="240"/>
  <c r="CV44" i="240"/>
  <c r="CT44" i="240"/>
  <c r="CR44" i="240"/>
  <c r="CP44" i="240"/>
  <c r="CN44" i="240"/>
  <c r="CL44" i="240"/>
  <c r="CJ44" i="240"/>
  <c r="CH44" i="240"/>
  <c r="CF44" i="240"/>
  <c r="CD44" i="240"/>
  <c r="CB44" i="240"/>
  <c r="BZ44" i="240"/>
  <c r="BX44" i="240"/>
  <c r="BV44" i="240"/>
  <c r="BT44" i="240"/>
  <c r="BR44" i="240"/>
  <c r="BP44" i="240"/>
  <c r="BN44" i="240"/>
  <c r="BL44" i="240"/>
  <c r="BI44" i="240"/>
  <c r="BG44" i="240"/>
  <c r="BE44" i="240"/>
  <c r="BC44" i="240"/>
  <c r="AY44" i="240"/>
  <c r="AW44" i="240"/>
  <c r="AU44" i="240"/>
  <c r="AS44" i="240"/>
  <c r="AQ44" i="240"/>
  <c r="AO44" i="240"/>
  <c r="AM44" i="240"/>
  <c r="CX43" i="240"/>
  <c r="CV43" i="240"/>
  <c r="CT43" i="240"/>
  <c r="CR43" i="240"/>
  <c r="CP43" i="240"/>
  <c r="CN43" i="240"/>
  <c r="CL43" i="240"/>
  <c r="CJ43" i="240"/>
  <c r="CH43" i="240"/>
  <c r="CF43" i="240"/>
  <c r="CD43" i="240"/>
  <c r="CB43" i="240"/>
  <c r="BZ43" i="240"/>
  <c r="BX43" i="240"/>
  <c r="BV43" i="240"/>
  <c r="BT43" i="240"/>
  <c r="BR43" i="240"/>
  <c r="BP43" i="240"/>
  <c r="BN43" i="240"/>
  <c r="BL43" i="240"/>
  <c r="BI43" i="240"/>
  <c r="BG43" i="240"/>
  <c r="BE43" i="240"/>
  <c r="BC43" i="240"/>
  <c r="AY43" i="240"/>
  <c r="AW43" i="240"/>
  <c r="AU43" i="240"/>
  <c r="AS43" i="240"/>
  <c r="AQ43" i="240"/>
  <c r="AO43" i="240"/>
  <c r="AM43" i="240"/>
  <c r="M43" i="240"/>
  <c r="K43" i="240"/>
  <c r="CX42" i="240"/>
  <c r="CV42" i="240"/>
  <c r="CT42" i="240"/>
  <c r="CR42" i="240"/>
  <c r="CP42" i="240"/>
  <c r="CN42" i="240"/>
  <c r="CL42" i="240"/>
  <c r="CJ42" i="240"/>
  <c r="CH42" i="240"/>
  <c r="CF42" i="240"/>
  <c r="CD42" i="240"/>
  <c r="CB42" i="240"/>
  <c r="BZ42" i="240"/>
  <c r="BX42" i="240"/>
  <c r="BV42" i="240"/>
  <c r="BT42" i="240"/>
  <c r="BR42" i="240"/>
  <c r="BP42" i="240"/>
  <c r="BN42" i="240"/>
  <c r="BL42" i="240"/>
  <c r="BI42" i="240"/>
  <c r="BG42" i="240"/>
  <c r="BE42" i="240"/>
  <c r="BC42" i="240"/>
  <c r="AY42" i="240"/>
  <c r="AW42" i="240"/>
  <c r="AU42" i="240"/>
  <c r="AS42" i="240"/>
  <c r="AQ42" i="240"/>
  <c r="AO42" i="240"/>
  <c r="AM42" i="240"/>
  <c r="M42" i="240"/>
  <c r="K42" i="240"/>
  <c r="CX41" i="240"/>
  <c r="CV41" i="240"/>
  <c r="CT41" i="240"/>
  <c r="CR41" i="240"/>
  <c r="CP41" i="240"/>
  <c r="CN41" i="240"/>
  <c r="CL41" i="240"/>
  <c r="CJ41" i="240"/>
  <c r="CH41" i="240"/>
  <c r="CF41" i="240"/>
  <c r="CD41" i="240"/>
  <c r="CB41" i="240"/>
  <c r="BZ41" i="240"/>
  <c r="BX41" i="240"/>
  <c r="BV41" i="240"/>
  <c r="BT41" i="240"/>
  <c r="BR41" i="240"/>
  <c r="BP41" i="240"/>
  <c r="BN41" i="240"/>
  <c r="BL41" i="240"/>
  <c r="BI41" i="240"/>
  <c r="BG41" i="240"/>
  <c r="BE41" i="240"/>
  <c r="BC41" i="240"/>
  <c r="AY41" i="240"/>
  <c r="AW41" i="240"/>
  <c r="AU41" i="240"/>
  <c r="AS41" i="240"/>
  <c r="AQ41" i="240"/>
  <c r="AO41" i="240"/>
  <c r="AM41" i="240"/>
  <c r="CX40" i="240"/>
  <c r="CV40" i="240"/>
  <c r="CT40" i="240"/>
  <c r="CR40" i="240"/>
  <c r="CP40" i="240"/>
  <c r="CN40" i="240"/>
  <c r="CL40" i="240"/>
  <c r="CJ40" i="240"/>
  <c r="CH40" i="240"/>
  <c r="CF40" i="240"/>
  <c r="CD40" i="240"/>
  <c r="CB40" i="240"/>
  <c r="BZ40" i="240"/>
  <c r="BX40" i="240"/>
  <c r="BV40" i="240"/>
  <c r="BT40" i="240"/>
  <c r="BR40" i="240"/>
  <c r="BP40" i="240"/>
  <c r="BN40" i="240"/>
  <c r="BL40" i="240"/>
  <c r="BI40" i="240"/>
  <c r="BG40" i="240"/>
  <c r="BE40" i="240"/>
  <c r="BC40" i="240"/>
  <c r="AY40" i="240"/>
  <c r="AW40" i="240"/>
  <c r="AU40" i="240"/>
  <c r="AS40" i="240"/>
  <c r="AQ40" i="240"/>
  <c r="AO40" i="240"/>
  <c r="AM40" i="240"/>
  <c r="CX39" i="240"/>
  <c r="CV39" i="240"/>
  <c r="CT39" i="240"/>
  <c r="CR39" i="240"/>
  <c r="CP39" i="240"/>
  <c r="CN39" i="240"/>
  <c r="CL39" i="240"/>
  <c r="CJ39" i="240"/>
  <c r="CH39" i="240"/>
  <c r="CF39" i="240"/>
  <c r="CD39" i="240"/>
  <c r="CB39" i="240"/>
  <c r="BZ39" i="240"/>
  <c r="BX39" i="240"/>
  <c r="BV39" i="240"/>
  <c r="BT39" i="240"/>
  <c r="BR39" i="240"/>
  <c r="BP39" i="240"/>
  <c r="BN39" i="240"/>
  <c r="BL39" i="240"/>
  <c r="BI39" i="240"/>
  <c r="BG39" i="240"/>
  <c r="BE39" i="240"/>
  <c r="BC39" i="240"/>
  <c r="AY39" i="240"/>
  <c r="AW39" i="240"/>
  <c r="AU39" i="240"/>
  <c r="AS39" i="240"/>
  <c r="AQ39" i="240"/>
  <c r="AO39" i="240"/>
  <c r="AM39" i="240"/>
  <c r="E39" i="240"/>
  <c r="C39" i="240"/>
  <c r="CX38" i="240"/>
  <c r="CV38" i="240"/>
  <c r="CT38" i="240"/>
  <c r="CR38" i="240"/>
  <c r="CP38" i="240"/>
  <c r="CN38" i="240"/>
  <c r="CL38" i="240"/>
  <c r="CJ38" i="240"/>
  <c r="CH38" i="240"/>
  <c r="CF38" i="240"/>
  <c r="CD38" i="240"/>
  <c r="CB38" i="240"/>
  <c r="BZ38" i="240"/>
  <c r="BX38" i="240"/>
  <c r="BV38" i="240"/>
  <c r="BT38" i="240"/>
  <c r="BR38" i="240"/>
  <c r="BP38" i="240"/>
  <c r="BN38" i="240"/>
  <c r="BL38" i="240"/>
  <c r="BI38" i="240"/>
  <c r="BG38" i="240"/>
  <c r="BE38" i="240"/>
  <c r="BC38" i="240"/>
  <c r="AY38" i="240"/>
  <c r="AW38" i="240"/>
  <c r="AU38" i="240"/>
  <c r="AS38" i="240"/>
  <c r="AQ38" i="240"/>
  <c r="AO38" i="240"/>
  <c r="AM38" i="240"/>
  <c r="CX37" i="240"/>
  <c r="CV37" i="240"/>
  <c r="CT37" i="240"/>
  <c r="CR37" i="240"/>
  <c r="CP37" i="240"/>
  <c r="CN37" i="240"/>
  <c r="CL37" i="240"/>
  <c r="CJ37" i="240"/>
  <c r="CH37" i="240"/>
  <c r="CF37" i="240"/>
  <c r="CD37" i="240"/>
  <c r="CB37" i="240"/>
  <c r="BZ37" i="240"/>
  <c r="BX37" i="240"/>
  <c r="BV37" i="240"/>
  <c r="BT37" i="240"/>
  <c r="BR37" i="240"/>
  <c r="BP37" i="240"/>
  <c r="BN37" i="240"/>
  <c r="BL37" i="240"/>
  <c r="BI37" i="240"/>
  <c r="BG37" i="240"/>
  <c r="BE37" i="240"/>
  <c r="BC37" i="240"/>
  <c r="AY37" i="240"/>
  <c r="AW37" i="240"/>
  <c r="AU37" i="240"/>
  <c r="AS37" i="240"/>
  <c r="AQ37" i="240"/>
  <c r="AO37" i="240"/>
  <c r="AM37" i="240"/>
  <c r="E37" i="240"/>
  <c r="C37" i="240" s="1"/>
  <c r="CX36" i="240"/>
  <c r="CV36" i="240"/>
  <c r="CT36" i="240"/>
  <c r="CR36" i="240"/>
  <c r="CP36" i="240"/>
  <c r="CN36" i="240"/>
  <c r="CL36" i="240"/>
  <c r="CJ36" i="240"/>
  <c r="CH36" i="240"/>
  <c r="CF36" i="240"/>
  <c r="CD36" i="240"/>
  <c r="CB36" i="240"/>
  <c r="BZ36" i="240"/>
  <c r="BX36" i="240"/>
  <c r="BV36" i="240"/>
  <c r="BT36" i="240"/>
  <c r="BR36" i="240"/>
  <c r="BP36" i="240"/>
  <c r="BN36" i="240"/>
  <c r="BL36" i="240"/>
  <c r="BI36" i="240"/>
  <c r="BG36" i="240"/>
  <c r="BE36" i="240"/>
  <c r="BC36" i="240"/>
  <c r="AY36" i="240"/>
  <c r="AW36" i="240"/>
  <c r="AU36" i="240"/>
  <c r="AS36" i="240"/>
  <c r="AQ36" i="240"/>
  <c r="AO36" i="240"/>
  <c r="AM36" i="240"/>
  <c r="CX35" i="240"/>
  <c r="CV35" i="240"/>
  <c r="CT35" i="240"/>
  <c r="CR35" i="240"/>
  <c r="CP35" i="240"/>
  <c r="CN35" i="240"/>
  <c r="CL35" i="240"/>
  <c r="CJ35" i="240"/>
  <c r="CH35" i="240"/>
  <c r="CF35" i="240"/>
  <c r="CD35" i="240"/>
  <c r="CB35" i="240"/>
  <c r="BZ35" i="240"/>
  <c r="BX35" i="240"/>
  <c r="BV35" i="240"/>
  <c r="BT35" i="240"/>
  <c r="BR35" i="240"/>
  <c r="BP35" i="240"/>
  <c r="BN35" i="240"/>
  <c r="BL35" i="240"/>
  <c r="BI35" i="240"/>
  <c r="BG35" i="240"/>
  <c r="BE35" i="240"/>
  <c r="BC35" i="240"/>
  <c r="AY35" i="240"/>
  <c r="AW35" i="240"/>
  <c r="AU35" i="240"/>
  <c r="AS35" i="240"/>
  <c r="AQ35" i="240"/>
  <c r="AO35" i="240"/>
  <c r="AM35" i="240"/>
  <c r="E35" i="240"/>
  <c r="C35" i="240"/>
  <c r="CX34" i="240"/>
  <c r="CV34" i="240"/>
  <c r="CT34" i="240"/>
  <c r="CR34" i="240"/>
  <c r="CP34" i="240"/>
  <c r="CN34" i="240"/>
  <c r="CL34" i="240"/>
  <c r="CJ34" i="240"/>
  <c r="CH34" i="240"/>
  <c r="CF34" i="240"/>
  <c r="CD34" i="240"/>
  <c r="CB34" i="240"/>
  <c r="BZ34" i="240"/>
  <c r="BX34" i="240"/>
  <c r="BV34" i="240"/>
  <c r="BT34" i="240"/>
  <c r="BR34" i="240"/>
  <c r="BP34" i="240"/>
  <c r="BN34" i="240"/>
  <c r="BL34" i="240"/>
  <c r="BI34" i="240"/>
  <c r="BG34" i="240"/>
  <c r="BE34" i="240"/>
  <c r="BC34" i="240"/>
  <c r="AY34" i="240"/>
  <c r="AW34" i="240"/>
  <c r="AU34" i="240"/>
  <c r="AS34" i="240"/>
  <c r="AQ34" i="240"/>
  <c r="AO34" i="240"/>
  <c r="AM34" i="240"/>
  <c r="E34" i="240"/>
  <c r="C34" i="240"/>
  <c r="CX33" i="240"/>
  <c r="CV33" i="240"/>
  <c r="CT33" i="240"/>
  <c r="CR33" i="240"/>
  <c r="CP33" i="240"/>
  <c r="CN33" i="240"/>
  <c r="CL33" i="240"/>
  <c r="CJ33" i="240"/>
  <c r="CH33" i="240"/>
  <c r="CF33" i="240"/>
  <c r="CD33" i="240"/>
  <c r="CB33" i="240"/>
  <c r="BZ33" i="240"/>
  <c r="BX33" i="240"/>
  <c r="BV33" i="240"/>
  <c r="BT33" i="240"/>
  <c r="BR33" i="240"/>
  <c r="BP33" i="240"/>
  <c r="BN33" i="240"/>
  <c r="BL33" i="240"/>
  <c r="BI33" i="240"/>
  <c r="BG33" i="240"/>
  <c r="BE33" i="240"/>
  <c r="BC33" i="240"/>
  <c r="AY33" i="240"/>
  <c r="AW33" i="240"/>
  <c r="AU33" i="240"/>
  <c r="AS33" i="240"/>
  <c r="AQ33" i="240"/>
  <c r="AO33" i="240"/>
  <c r="AM33" i="240"/>
  <c r="I33" i="240"/>
  <c r="CX32" i="240"/>
  <c r="CV32" i="240"/>
  <c r="CT32" i="240"/>
  <c r="CR32" i="240"/>
  <c r="CP32" i="240"/>
  <c r="CN32" i="240"/>
  <c r="CL32" i="240"/>
  <c r="CJ32" i="240"/>
  <c r="CH32" i="240"/>
  <c r="CF32" i="240"/>
  <c r="CD32" i="240"/>
  <c r="CB32" i="240"/>
  <c r="BZ32" i="240"/>
  <c r="BX32" i="240"/>
  <c r="BV32" i="240"/>
  <c r="BT32" i="240"/>
  <c r="BR32" i="240"/>
  <c r="BP32" i="240"/>
  <c r="BN32" i="240"/>
  <c r="BL32" i="240"/>
  <c r="BI32" i="240"/>
  <c r="BG32" i="240"/>
  <c r="BE32" i="240"/>
  <c r="BC32" i="240"/>
  <c r="AY32" i="240"/>
  <c r="AW32" i="240"/>
  <c r="AU32" i="240"/>
  <c r="AS32" i="240"/>
  <c r="AQ32" i="240"/>
  <c r="AO32" i="240"/>
  <c r="AM32" i="240"/>
  <c r="CX31" i="240"/>
  <c r="CV31" i="240"/>
  <c r="CT31" i="240"/>
  <c r="CR31" i="240"/>
  <c r="CP31" i="240"/>
  <c r="CN31" i="240"/>
  <c r="CL31" i="240"/>
  <c r="CJ31" i="240"/>
  <c r="CH31" i="240"/>
  <c r="CF31" i="240"/>
  <c r="CD31" i="240"/>
  <c r="CB31" i="240"/>
  <c r="BZ31" i="240"/>
  <c r="BX31" i="240"/>
  <c r="BV31" i="240"/>
  <c r="BT31" i="240"/>
  <c r="BR31" i="240"/>
  <c r="BP31" i="240"/>
  <c r="BN31" i="240"/>
  <c r="BL31" i="240"/>
  <c r="BI31" i="240"/>
  <c r="BG31" i="240"/>
  <c r="BE31" i="240"/>
  <c r="BC31" i="240"/>
  <c r="AY31" i="240"/>
  <c r="AW31" i="240"/>
  <c r="AU31" i="240"/>
  <c r="AS31" i="240"/>
  <c r="AQ31" i="240"/>
  <c r="AO31" i="240"/>
  <c r="AM31" i="240"/>
  <c r="K31" i="240"/>
  <c r="I31" i="240"/>
  <c r="CX30" i="240"/>
  <c r="CV30" i="240"/>
  <c r="CT30" i="240"/>
  <c r="CR30" i="240"/>
  <c r="CP30" i="240"/>
  <c r="CN30" i="240"/>
  <c r="CL30" i="240"/>
  <c r="CJ30" i="240"/>
  <c r="CH30" i="240"/>
  <c r="CF30" i="240"/>
  <c r="CD30" i="240"/>
  <c r="CB30" i="240"/>
  <c r="BZ30" i="240"/>
  <c r="BX30" i="240"/>
  <c r="BV30" i="240"/>
  <c r="BT30" i="240"/>
  <c r="BR30" i="240"/>
  <c r="BP30" i="240"/>
  <c r="BN30" i="240"/>
  <c r="BL30" i="240"/>
  <c r="BI30" i="240"/>
  <c r="BG30" i="240"/>
  <c r="BE30" i="240"/>
  <c r="BC30" i="240"/>
  <c r="AY30" i="240"/>
  <c r="AW30" i="240"/>
  <c r="AU30" i="240"/>
  <c r="AS30" i="240"/>
  <c r="AQ30" i="240"/>
  <c r="AO30" i="240"/>
  <c r="AM30" i="240"/>
  <c r="CX29" i="240"/>
  <c r="CV29" i="240"/>
  <c r="CT29" i="240"/>
  <c r="CR29" i="240"/>
  <c r="CP29" i="240"/>
  <c r="CN29" i="240"/>
  <c r="CL29" i="240"/>
  <c r="CJ29" i="240"/>
  <c r="CH29" i="240"/>
  <c r="CF29" i="240"/>
  <c r="CD29" i="240"/>
  <c r="CB29" i="240"/>
  <c r="BZ29" i="240"/>
  <c r="BX29" i="240"/>
  <c r="BV29" i="240"/>
  <c r="BT29" i="240"/>
  <c r="BR29" i="240"/>
  <c r="BP29" i="240"/>
  <c r="BN29" i="240"/>
  <c r="BL29" i="240"/>
  <c r="BI29" i="240"/>
  <c r="BG29" i="240"/>
  <c r="BE29" i="240"/>
  <c r="BC29" i="240"/>
  <c r="AY29" i="240"/>
  <c r="AW29" i="240"/>
  <c r="AU29" i="240"/>
  <c r="AS29" i="240"/>
  <c r="AQ29" i="240"/>
  <c r="AO29" i="240"/>
  <c r="AM29" i="240"/>
  <c r="K29" i="240"/>
  <c r="G33" i="240" s="1"/>
  <c r="G29" i="240"/>
  <c r="CX28" i="240"/>
  <c r="CV28" i="240"/>
  <c r="CT28" i="240"/>
  <c r="CR28" i="240"/>
  <c r="CP28" i="240"/>
  <c r="CN28" i="240"/>
  <c r="CL28" i="240"/>
  <c r="CJ28" i="240"/>
  <c r="CH28" i="240"/>
  <c r="CF28" i="240"/>
  <c r="CD28" i="240"/>
  <c r="CB28" i="240"/>
  <c r="BZ28" i="240"/>
  <c r="BX28" i="240"/>
  <c r="BV28" i="240"/>
  <c r="BT28" i="240"/>
  <c r="BR28" i="240"/>
  <c r="BP28" i="240"/>
  <c r="BN28" i="240"/>
  <c r="BL28" i="240"/>
  <c r="BI28" i="240"/>
  <c r="BG28" i="240"/>
  <c r="BE28" i="240"/>
  <c r="BC28" i="240"/>
  <c r="AY28" i="240"/>
  <c r="AW28" i="240"/>
  <c r="AU28" i="240"/>
  <c r="AS28" i="240"/>
  <c r="AQ28" i="240"/>
  <c r="AO28" i="240"/>
  <c r="AM28" i="240"/>
  <c r="CX27" i="240"/>
  <c r="CV27" i="240"/>
  <c r="CT27" i="240"/>
  <c r="CR27" i="240"/>
  <c r="CP27" i="240"/>
  <c r="CN27" i="240"/>
  <c r="CL27" i="240"/>
  <c r="CJ27" i="240"/>
  <c r="CH27" i="240"/>
  <c r="CF27" i="240"/>
  <c r="CD27" i="240"/>
  <c r="CB27" i="240"/>
  <c r="BZ27" i="240"/>
  <c r="BX27" i="240"/>
  <c r="BV27" i="240"/>
  <c r="BT27" i="240"/>
  <c r="BR27" i="240"/>
  <c r="BP27" i="240"/>
  <c r="BN27" i="240"/>
  <c r="BL27" i="240"/>
  <c r="BI27" i="240"/>
  <c r="BG27" i="240"/>
  <c r="BE27" i="240"/>
  <c r="BC27" i="240"/>
  <c r="AY27" i="240"/>
  <c r="AW27" i="240"/>
  <c r="AU27" i="240"/>
  <c r="AS27" i="240"/>
  <c r="AQ27" i="240"/>
  <c r="AO27" i="240"/>
  <c r="AM27" i="240"/>
  <c r="Y26" i="240"/>
  <c r="CX25" i="240"/>
  <c r="CV25" i="240"/>
  <c r="CT25" i="240"/>
  <c r="CR25" i="240"/>
  <c r="CP25" i="240"/>
  <c r="CN25" i="240"/>
  <c r="CL25" i="240"/>
  <c r="CJ25" i="240"/>
  <c r="CH25" i="240"/>
  <c r="CF25" i="240"/>
  <c r="CD25" i="240"/>
  <c r="CB25" i="240"/>
  <c r="BZ25" i="240"/>
  <c r="BX25" i="240"/>
  <c r="BV25" i="240"/>
  <c r="BT25" i="240"/>
  <c r="BR25" i="240"/>
  <c r="BP25" i="240"/>
  <c r="BN25" i="240"/>
  <c r="BL25" i="240"/>
  <c r="BI25" i="240"/>
  <c r="BG25" i="240"/>
  <c r="BE25" i="240"/>
  <c r="BC25" i="240"/>
  <c r="AY25" i="240"/>
  <c r="AW25" i="240"/>
  <c r="AU25" i="240"/>
  <c r="AS25" i="240"/>
  <c r="AQ25" i="240"/>
  <c r="AO25" i="240"/>
  <c r="AM25" i="240"/>
  <c r="Q25" i="240"/>
  <c r="O25" i="240"/>
  <c r="W26" i="240" s="1"/>
  <c r="CX24" i="240"/>
  <c r="CV24" i="240"/>
  <c r="CT24" i="240"/>
  <c r="CR24" i="240"/>
  <c r="CP24" i="240"/>
  <c r="CN24" i="240"/>
  <c r="CL24" i="240"/>
  <c r="CJ24" i="240"/>
  <c r="CH24" i="240"/>
  <c r="CF24" i="240"/>
  <c r="CD24" i="240"/>
  <c r="CB24" i="240"/>
  <c r="BZ24" i="240"/>
  <c r="BX24" i="240"/>
  <c r="BV24" i="240"/>
  <c r="BT24" i="240"/>
  <c r="BR24" i="240"/>
  <c r="BP24" i="240"/>
  <c r="BN24" i="240"/>
  <c r="BL24" i="240"/>
  <c r="BI24" i="240"/>
  <c r="BG24" i="240"/>
  <c r="BE24" i="240"/>
  <c r="BC24" i="240"/>
  <c r="AY24" i="240"/>
  <c r="AW24" i="240"/>
  <c r="AU24" i="240"/>
  <c r="AS24" i="240"/>
  <c r="AQ24" i="240"/>
  <c r="AO24" i="240"/>
  <c r="AM24" i="240"/>
  <c r="CX23" i="240"/>
  <c r="CV23" i="240"/>
  <c r="CT23" i="240"/>
  <c r="CR23" i="240"/>
  <c r="CP23" i="240"/>
  <c r="CN23" i="240"/>
  <c r="CL23" i="240"/>
  <c r="CJ23" i="240"/>
  <c r="CH23" i="240"/>
  <c r="CF23" i="240"/>
  <c r="CD23" i="240"/>
  <c r="CB23" i="240"/>
  <c r="BZ23" i="240"/>
  <c r="BX23" i="240"/>
  <c r="BV23" i="240"/>
  <c r="BT23" i="240"/>
  <c r="BR23" i="240"/>
  <c r="BP23" i="240"/>
  <c r="BN23" i="240"/>
  <c r="BL23" i="240"/>
  <c r="BI23" i="240"/>
  <c r="BG23" i="240"/>
  <c r="BE23" i="240"/>
  <c r="BC23" i="240"/>
  <c r="AY23" i="240"/>
  <c r="AW23" i="240"/>
  <c r="AU23" i="240"/>
  <c r="AS23" i="240"/>
  <c r="AQ23" i="240"/>
  <c r="AO23" i="240"/>
  <c r="AM23" i="240"/>
  <c r="CX22" i="240"/>
  <c r="CV22" i="240"/>
  <c r="CT22" i="240"/>
  <c r="CR22" i="240"/>
  <c r="CP22" i="240"/>
  <c r="CN22" i="240"/>
  <c r="CL22" i="240"/>
  <c r="CJ22" i="240"/>
  <c r="CH22" i="240"/>
  <c r="CF22" i="240"/>
  <c r="CD22" i="240"/>
  <c r="CB22" i="240"/>
  <c r="BZ22" i="240"/>
  <c r="BX22" i="240"/>
  <c r="BV22" i="240"/>
  <c r="BT22" i="240"/>
  <c r="BR22" i="240"/>
  <c r="BP22" i="240"/>
  <c r="BN22" i="240"/>
  <c r="BL22" i="240"/>
  <c r="BI22" i="240"/>
  <c r="BG22" i="240"/>
  <c r="BE22" i="240"/>
  <c r="BC22" i="240"/>
  <c r="AY22" i="240"/>
  <c r="AW22" i="240"/>
  <c r="AU22" i="240"/>
  <c r="AS22" i="240"/>
  <c r="AQ22" i="240"/>
  <c r="AO22" i="240"/>
  <c r="AM22" i="240"/>
  <c r="E22" i="240"/>
  <c r="C22" i="240"/>
  <c r="CX21" i="240"/>
  <c r="CV21" i="240"/>
  <c r="CT21" i="240"/>
  <c r="CR21" i="240"/>
  <c r="CP21" i="240"/>
  <c r="CN21" i="240"/>
  <c r="CL21" i="240"/>
  <c r="CJ21" i="240"/>
  <c r="CH21" i="240"/>
  <c r="CF21" i="240"/>
  <c r="CD21" i="240"/>
  <c r="CB21" i="240"/>
  <c r="BZ21" i="240"/>
  <c r="BX21" i="240"/>
  <c r="BV21" i="240"/>
  <c r="BT21" i="240"/>
  <c r="BR21" i="240"/>
  <c r="BP21" i="240"/>
  <c r="BN21" i="240"/>
  <c r="BL21" i="240"/>
  <c r="BI21" i="240"/>
  <c r="BG21" i="240"/>
  <c r="BE21" i="240"/>
  <c r="BC21" i="240"/>
  <c r="AY21" i="240"/>
  <c r="AW21" i="240"/>
  <c r="AU21" i="240"/>
  <c r="AS21" i="240"/>
  <c r="AQ21" i="240"/>
  <c r="AO21" i="240"/>
  <c r="AM21" i="240"/>
  <c r="CX20" i="240"/>
  <c r="CV20" i="240"/>
  <c r="CT20" i="240"/>
  <c r="CR20" i="240"/>
  <c r="CP20" i="240"/>
  <c r="CN20" i="240"/>
  <c r="CL20" i="240"/>
  <c r="CJ20" i="240"/>
  <c r="CH20" i="240"/>
  <c r="CF20" i="240"/>
  <c r="CD20" i="240"/>
  <c r="CB20" i="240"/>
  <c r="BZ20" i="240"/>
  <c r="BX20" i="240"/>
  <c r="BV20" i="240"/>
  <c r="BT20" i="240"/>
  <c r="BR20" i="240"/>
  <c r="BP20" i="240"/>
  <c r="BN20" i="240"/>
  <c r="BL20" i="240"/>
  <c r="BI20" i="240"/>
  <c r="BG20" i="240"/>
  <c r="BE20" i="240"/>
  <c r="BC20" i="240"/>
  <c r="AY20" i="240"/>
  <c r="AW20" i="240"/>
  <c r="AU20" i="240"/>
  <c r="AS20" i="240"/>
  <c r="AQ20" i="240"/>
  <c r="AO20" i="240"/>
  <c r="AM20" i="240"/>
  <c r="O20" i="240"/>
  <c r="I20" i="240"/>
  <c r="CX19" i="240"/>
  <c r="CV19" i="240"/>
  <c r="CT19" i="240"/>
  <c r="CR19" i="240"/>
  <c r="CP19" i="240"/>
  <c r="CN19" i="240"/>
  <c r="CL19" i="240"/>
  <c r="CJ19" i="240"/>
  <c r="CH19" i="240"/>
  <c r="CF19" i="240"/>
  <c r="CD19" i="240"/>
  <c r="CB19" i="240"/>
  <c r="BZ19" i="240"/>
  <c r="BX19" i="240"/>
  <c r="BV19" i="240"/>
  <c r="BT19" i="240"/>
  <c r="BR19" i="240"/>
  <c r="BP19" i="240"/>
  <c r="BN19" i="240"/>
  <c r="BL19" i="240"/>
  <c r="BI19" i="240"/>
  <c r="BG19" i="240"/>
  <c r="BE19" i="240"/>
  <c r="BC19" i="240"/>
  <c r="AY19" i="240"/>
  <c r="AW19" i="240"/>
  <c r="AU19" i="240"/>
  <c r="AS19" i="240"/>
  <c r="AQ19" i="240"/>
  <c r="AO19" i="240"/>
  <c r="AM19" i="240"/>
  <c r="O19" i="240"/>
  <c r="K19" i="240"/>
  <c r="I19" i="240"/>
  <c r="CX18" i="240"/>
  <c r="CV18" i="240"/>
  <c r="CT18" i="240"/>
  <c r="CR18" i="240"/>
  <c r="CP18" i="240"/>
  <c r="CN18" i="240"/>
  <c r="CL18" i="240"/>
  <c r="CJ18" i="240"/>
  <c r="CH18" i="240"/>
  <c r="CF18" i="240"/>
  <c r="CD18" i="240"/>
  <c r="CB18" i="240"/>
  <c r="BZ18" i="240"/>
  <c r="BX18" i="240"/>
  <c r="BV18" i="240"/>
  <c r="BT18" i="240"/>
  <c r="BR18" i="240"/>
  <c r="BP18" i="240"/>
  <c r="BN18" i="240"/>
  <c r="BL18" i="240"/>
  <c r="BI18" i="240"/>
  <c r="BG18" i="240"/>
  <c r="BE18" i="240"/>
  <c r="BC18" i="240"/>
  <c r="AY18" i="240"/>
  <c r="AW18" i="240"/>
  <c r="AU18" i="240"/>
  <c r="AS18" i="240"/>
  <c r="AQ18" i="240"/>
  <c r="AO18" i="240"/>
  <c r="AM18" i="240"/>
  <c r="O18" i="240"/>
  <c r="I18" i="240"/>
  <c r="CX17" i="240"/>
  <c r="CV17" i="240"/>
  <c r="CT17" i="240"/>
  <c r="CR17" i="240"/>
  <c r="CP17" i="240"/>
  <c r="CN17" i="240"/>
  <c r="CL17" i="240"/>
  <c r="CJ17" i="240"/>
  <c r="CH17" i="240"/>
  <c r="CF17" i="240"/>
  <c r="CD17" i="240"/>
  <c r="CB17" i="240"/>
  <c r="BZ17" i="240"/>
  <c r="BX17" i="240"/>
  <c r="BV17" i="240"/>
  <c r="BT17" i="240"/>
  <c r="BR17" i="240"/>
  <c r="BP17" i="240"/>
  <c r="BN17" i="240"/>
  <c r="BL17" i="240"/>
  <c r="BI17" i="240"/>
  <c r="BG17" i="240"/>
  <c r="BE17" i="240"/>
  <c r="BC17" i="240"/>
  <c r="AY17" i="240"/>
  <c r="AW17" i="240"/>
  <c r="AU17" i="240"/>
  <c r="AS17" i="240"/>
  <c r="AQ17" i="240"/>
  <c r="AO17" i="240"/>
  <c r="AM17" i="240"/>
  <c r="E17" i="240"/>
  <c r="C17" i="240" s="1"/>
  <c r="CX16" i="240"/>
  <c r="CV16" i="240"/>
  <c r="CT16" i="240"/>
  <c r="CR16" i="240"/>
  <c r="CP16" i="240"/>
  <c r="CN16" i="240"/>
  <c r="CL16" i="240"/>
  <c r="CJ16" i="240"/>
  <c r="CH16" i="240"/>
  <c r="CF16" i="240"/>
  <c r="CD16" i="240"/>
  <c r="CB16" i="240"/>
  <c r="BZ16" i="240"/>
  <c r="BX16" i="240"/>
  <c r="BV16" i="240"/>
  <c r="BT16" i="240"/>
  <c r="BR16" i="240"/>
  <c r="BP16" i="240"/>
  <c r="BN16" i="240"/>
  <c r="BL16" i="240"/>
  <c r="BI16" i="240"/>
  <c r="BG16" i="240"/>
  <c r="BE16" i="240"/>
  <c r="BC16" i="240"/>
  <c r="AY16" i="240"/>
  <c r="AW16" i="240"/>
  <c r="AU16" i="240"/>
  <c r="AS16" i="240"/>
  <c r="AQ16" i="240"/>
  <c r="AO16" i="240"/>
  <c r="AM16" i="240"/>
  <c r="CX15" i="240"/>
  <c r="CV15" i="240"/>
  <c r="CT15" i="240"/>
  <c r="CR15" i="240"/>
  <c r="CP15" i="240"/>
  <c r="CN15" i="240"/>
  <c r="CL15" i="240"/>
  <c r="CJ15" i="240"/>
  <c r="CH15" i="240"/>
  <c r="CF15" i="240"/>
  <c r="CD15" i="240"/>
  <c r="CB15" i="240"/>
  <c r="BZ15" i="240"/>
  <c r="BX15" i="240"/>
  <c r="BV15" i="240"/>
  <c r="BT15" i="240"/>
  <c r="BR15" i="240"/>
  <c r="BP15" i="240"/>
  <c r="BN15" i="240"/>
  <c r="BL15" i="240"/>
  <c r="BI15" i="240"/>
  <c r="BG15" i="240"/>
  <c r="BE15" i="240"/>
  <c r="BC15" i="240"/>
  <c r="AY15" i="240"/>
  <c r="AW15" i="240"/>
  <c r="AU15" i="240"/>
  <c r="AS15" i="240"/>
  <c r="AQ15" i="240"/>
  <c r="AO15" i="240"/>
  <c r="AM15" i="240"/>
  <c r="E15" i="240"/>
  <c r="CX14" i="240"/>
  <c r="CV14" i="240"/>
  <c r="CT14" i="240"/>
  <c r="CR14" i="240"/>
  <c r="CP14" i="240"/>
  <c r="CN14" i="240"/>
  <c r="CL14" i="240"/>
  <c r="CJ14" i="240"/>
  <c r="CH14" i="240"/>
  <c r="CF14" i="240"/>
  <c r="CD14" i="240"/>
  <c r="CB14" i="240"/>
  <c r="BZ14" i="240"/>
  <c r="BX14" i="240"/>
  <c r="BV14" i="240"/>
  <c r="BT14" i="240"/>
  <c r="BR14" i="240"/>
  <c r="BP14" i="240"/>
  <c r="BN14" i="240"/>
  <c r="BL14" i="240"/>
  <c r="BI14" i="240"/>
  <c r="BG14" i="240"/>
  <c r="BE14" i="240"/>
  <c r="BC14" i="240"/>
  <c r="AY14" i="240"/>
  <c r="AW14" i="240"/>
  <c r="AU14" i="240"/>
  <c r="AS14" i="240"/>
  <c r="AQ14" i="240"/>
  <c r="AO14" i="240"/>
  <c r="AM14" i="240"/>
  <c r="CX13" i="240"/>
  <c r="CV13" i="240"/>
  <c r="CT13" i="240"/>
  <c r="CR13" i="240"/>
  <c r="CP13" i="240"/>
  <c r="CN13" i="240"/>
  <c r="CL13" i="240"/>
  <c r="CJ13" i="240"/>
  <c r="CH13" i="240"/>
  <c r="CF13" i="240"/>
  <c r="CD13" i="240"/>
  <c r="CB13" i="240"/>
  <c r="BZ13" i="240"/>
  <c r="BX13" i="240"/>
  <c r="BV13" i="240"/>
  <c r="BT13" i="240"/>
  <c r="BR13" i="240"/>
  <c r="BP13" i="240"/>
  <c r="BN13" i="240"/>
  <c r="BL13" i="240"/>
  <c r="BI13" i="240"/>
  <c r="BG13" i="240"/>
  <c r="BE13" i="240"/>
  <c r="BC13" i="240"/>
  <c r="AY13" i="240"/>
  <c r="AW13" i="240"/>
  <c r="AU13" i="240"/>
  <c r="AS13" i="240"/>
  <c r="AQ13" i="240"/>
  <c r="AO13" i="240"/>
  <c r="AM13" i="240"/>
  <c r="E13" i="240"/>
  <c r="C13" i="240" s="1"/>
  <c r="CX12" i="240"/>
  <c r="CV12" i="240"/>
  <c r="CT12" i="240"/>
  <c r="CR12" i="240"/>
  <c r="CP12" i="240"/>
  <c r="CN12" i="240"/>
  <c r="CL12" i="240"/>
  <c r="CJ12" i="240"/>
  <c r="CH12" i="240"/>
  <c r="CF12" i="240"/>
  <c r="CD12" i="240"/>
  <c r="CB12" i="240"/>
  <c r="BZ12" i="240"/>
  <c r="BX12" i="240"/>
  <c r="BV12" i="240"/>
  <c r="BT12" i="240"/>
  <c r="BR12" i="240"/>
  <c r="BP12" i="240"/>
  <c r="BN12" i="240"/>
  <c r="BL12" i="240"/>
  <c r="BI12" i="240"/>
  <c r="BG12" i="240"/>
  <c r="BE12" i="240"/>
  <c r="BC12" i="240"/>
  <c r="AY12" i="240"/>
  <c r="AW12" i="240"/>
  <c r="AU12" i="240"/>
  <c r="AS12" i="240"/>
  <c r="AQ12" i="240"/>
  <c r="AO12" i="240"/>
  <c r="AM12" i="240"/>
  <c r="CX11" i="240"/>
  <c r="CV11" i="240"/>
  <c r="CT11" i="240"/>
  <c r="CR11" i="240"/>
  <c r="CP11" i="240"/>
  <c r="CN11" i="240"/>
  <c r="CL11" i="240"/>
  <c r="CJ11" i="240"/>
  <c r="CH11" i="240"/>
  <c r="CF11" i="240"/>
  <c r="CD11" i="240"/>
  <c r="CB11" i="240"/>
  <c r="BZ11" i="240"/>
  <c r="BX11" i="240"/>
  <c r="BV11" i="240"/>
  <c r="BT11" i="240"/>
  <c r="BR11" i="240"/>
  <c r="BP11" i="240"/>
  <c r="BN11" i="240"/>
  <c r="BL11" i="240"/>
  <c r="BI11" i="240"/>
  <c r="BG11" i="240"/>
  <c r="BE11" i="240"/>
  <c r="BC11" i="240"/>
  <c r="AY11" i="240"/>
  <c r="AW11" i="240"/>
  <c r="AU11" i="240"/>
  <c r="AS11" i="240"/>
  <c r="AQ11" i="240"/>
  <c r="AO11" i="240"/>
  <c r="AM11" i="240"/>
  <c r="I11" i="240"/>
  <c r="CX10" i="240"/>
  <c r="CV10" i="240"/>
  <c r="CT10" i="240"/>
  <c r="CR10" i="240"/>
  <c r="CP10" i="240"/>
  <c r="CN10" i="240"/>
  <c r="CL10" i="240"/>
  <c r="CJ10" i="240"/>
  <c r="CH10" i="240"/>
  <c r="CF10" i="240"/>
  <c r="CD10" i="240"/>
  <c r="CB10" i="240"/>
  <c r="BZ10" i="240"/>
  <c r="BX10" i="240"/>
  <c r="BV10" i="240"/>
  <c r="BT10" i="240"/>
  <c r="BR10" i="240"/>
  <c r="BP10" i="240"/>
  <c r="BN10" i="240"/>
  <c r="BL10" i="240"/>
  <c r="BI10" i="240"/>
  <c r="BG10" i="240"/>
  <c r="BE10" i="240"/>
  <c r="BC10" i="240"/>
  <c r="AY10" i="240"/>
  <c r="AW10" i="240"/>
  <c r="AU10" i="240"/>
  <c r="AS10" i="240"/>
  <c r="AQ10" i="240"/>
  <c r="AO10" i="240"/>
  <c r="AM10" i="240"/>
  <c r="E10" i="240"/>
  <c r="C10" i="240"/>
  <c r="CX9" i="240"/>
  <c r="CV9" i="240"/>
  <c r="CT9" i="240"/>
  <c r="CR9" i="240"/>
  <c r="CP9" i="240"/>
  <c r="CN9" i="240"/>
  <c r="CL9" i="240"/>
  <c r="CJ9" i="240"/>
  <c r="CH9" i="240"/>
  <c r="CF9" i="240"/>
  <c r="CD9" i="240"/>
  <c r="CB9" i="240"/>
  <c r="BZ9" i="240"/>
  <c r="BX9" i="240"/>
  <c r="BV9" i="240"/>
  <c r="BT9" i="240"/>
  <c r="BR9" i="240"/>
  <c r="BP9" i="240"/>
  <c r="BN9" i="240"/>
  <c r="BL9" i="240"/>
  <c r="BI9" i="240"/>
  <c r="BG9" i="240"/>
  <c r="BE9" i="240"/>
  <c r="BC9" i="240"/>
  <c r="AY9" i="240"/>
  <c r="AW9" i="240"/>
  <c r="AU9" i="240"/>
  <c r="AS9" i="240"/>
  <c r="AQ9" i="240"/>
  <c r="AO9" i="240"/>
  <c r="AM9" i="240"/>
  <c r="CX8" i="240"/>
  <c r="CV8" i="240"/>
  <c r="CT8" i="240"/>
  <c r="CR8" i="240"/>
  <c r="CP8" i="240"/>
  <c r="CN8" i="240"/>
  <c r="CL8" i="240"/>
  <c r="CJ8" i="240"/>
  <c r="CH8" i="240"/>
  <c r="CF8" i="240"/>
  <c r="CD8" i="240"/>
  <c r="CB8" i="240"/>
  <c r="BZ8" i="240"/>
  <c r="BX8" i="240"/>
  <c r="BV8" i="240"/>
  <c r="BT8" i="240"/>
  <c r="BR8" i="240"/>
  <c r="BP8" i="240"/>
  <c r="BN8" i="240"/>
  <c r="BL8" i="240"/>
  <c r="BI8" i="240"/>
  <c r="BG8" i="240"/>
  <c r="BE8" i="240"/>
  <c r="BC8" i="240"/>
  <c r="AY8" i="240"/>
  <c r="AW8" i="240"/>
  <c r="AU8" i="240"/>
  <c r="AS8" i="240"/>
  <c r="AQ8" i="240"/>
  <c r="AO8" i="240"/>
  <c r="AM8" i="240"/>
  <c r="E8" i="240"/>
  <c r="C8" i="240"/>
  <c r="CX7" i="240"/>
  <c r="CV7" i="240"/>
  <c r="CT7" i="240"/>
  <c r="CR7" i="240"/>
  <c r="CP7" i="240"/>
  <c r="CN7" i="240"/>
  <c r="CL7" i="240"/>
  <c r="CJ7" i="240"/>
  <c r="CH7" i="240"/>
  <c r="CF7" i="240"/>
  <c r="CD7" i="240"/>
  <c r="CB7" i="240"/>
  <c r="BZ7" i="240"/>
  <c r="BX7" i="240"/>
  <c r="BV7" i="240"/>
  <c r="BT7" i="240"/>
  <c r="BR7" i="240"/>
  <c r="BP7" i="240"/>
  <c r="BN7" i="240"/>
  <c r="BL7" i="240"/>
  <c r="BI7" i="240"/>
  <c r="BG7" i="240"/>
  <c r="BE7" i="240"/>
  <c r="BC7" i="240"/>
  <c r="AY7" i="240"/>
  <c r="AW7" i="240"/>
  <c r="AU7" i="240"/>
  <c r="AS7" i="240"/>
  <c r="AQ7" i="240"/>
  <c r="AO7" i="240"/>
  <c r="AM7" i="240"/>
  <c r="O7" i="240"/>
  <c r="K7" i="240"/>
  <c r="I7" i="240"/>
  <c r="CX6" i="240"/>
  <c r="CV6" i="240"/>
  <c r="CT6" i="240"/>
  <c r="CR6" i="240"/>
  <c r="CP6" i="240"/>
  <c r="CN6" i="240"/>
  <c r="CL6" i="240"/>
  <c r="CJ6" i="240"/>
  <c r="CH6" i="240"/>
  <c r="CF6" i="240"/>
  <c r="CD6" i="240"/>
  <c r="CB6" i="240"/>
  <c r="BZ6" i="240"/>
  <c r="BX6" i="240"/>
  <c r="BV6" i="240"/>
  <c r="BT6" i="240"/>
  <c r="BR6" i="240"/>
  <c r="BP6" i="240"/>
  <c r="BN6" i="240"/>
  <c r="BL6" i="240"/>
  <c r="BI6" i="240"/>
  <c r="BG6" i="240"/>
  <c r="BE6" i="240"/>
  <c r="BC6" i="240"/>
  <c r="AY6" i="240"/>
  <c r="AW6" i="240"/>
  <c r="AU6" i="240"/>
  <c r="AS6" i="240"/>
  <c r="AQ6" i="240"/>
  <c r="AO6" i="240"/>
  <c r="AM6" i="240"/>
  <c r="I6" i="240"/>
  <c r="G6" i="240"/>
  <c r="CX5" i="240"/>
  <c r="CV5" i="240"/>
  <c r="CT5" i="240"/>
  <c r="CR5" i="240"/>
  <c r="CP5" i="240"/>
  <c r="CN5" i="240"/>
  <c r="CL5" i="240"/>
  <c r="CJ5" i="240"/>
  <c r="CH5" i="240"/>
  <c r="CF5" i="240"/>
  <c r="CD5" i="240"/>
  <c r="CB5" i="240"/>
  <c r="BZ5" i="240"/>
  <c r="BX5" i="240"/>
  <c r="BV5" i="240"/>
  <c r="BT5" i="240"/>
  <c r="BR5" i="240"/>
  <c r="BP5" i="240"/>
  <c r="BN5" i="240"/>
  <c r="BL5" i="240"/>
  <c r="BI5" i="240"/>
  <c r="BG5" i="240"/>
  <c r="BE5" i="240"/>
  <c r="BC5" i="240"/>
  <c r="AY5" i="240"/>
  <c r="AW5" i="240"/>
  <c r="AU5" i="240"/>
  <c r="AS5" i="240"/>
  <c r="AQ5" i="240"/>
  <c r="AO5" i="240"/>
  <c r="AM5" i="240"/>
  <c r="Q5" i="240"/>
  <c r="CX4" i="240"/>
  <c r="CV4" i="240"/>
  <c r="CT4" i="240"/>
  <c r="CR4" i="240"/>
  <c r="CP4" i="240"/>
  <c r="CN4" i="240"/>
  <c r="CL4" i="240"/>
  <c r="CJ4" i="240"/>
  <c r="CH4" i="240"/>
  <c r="CF4" i="240"/>
  <c r="CD4" i="240"/>
  <c r="CB4" i="240"/>
  <c r="BZ4" i="240"/>
  <c r="BX4" i="240"/>
  <c r="BV4" i="240"/>
  <c r="BT4" i="240"/>
  <c r="BR4" i="240"/>
  <c r="BP4" i="240"/>
  <c r="BN4" i="240"/>
  <c r="BL4" i="240"/>
  <c r="BI4" i="240"/>
  <c r="BG4" i="240"/>
  <c r="BE4" i="240"/>
  <c r="BC4" i="240"/>
  <c r="AY4" i="240"/>
  <c r="AW4" i="240"/>
  <c r="AU4" i="240"/>
  <c r="AS4" i="240"/>
  <c r="AQ4" i="240"/>
  <c r="AO4" i="240"/>
  <c r="AM4" i="240"/>
  <c r="CX3" i="240"/>
  <c r="CV3" i="240"/>
  <c r="CT3" i="240"/>
  <c r="CR3" i="240"/>
  <c r="CP3" i="240"/>
  <c r="CN3" i="240"/>
  <c r="CL3" i="240"/>
  <c r="CJ3" i="240"/>
  <c r="CH3" i="240"/>
  <c r="CF3" i="240"/>
  <c r="CD3" i="240"/>
  <c r="CB3" i="240"/>
  <c r="BZ3" i="240"/>
  <c r="BX3" i="240"/>
  <c r="BV3" i="240"/>
  <c r="BT3" i="240"/>
  <c r="BR3" i="240"/>
  <c r="BP3" i="240"/>
  <c r="BN3" i="240"/>
  <c r="BL3" i="240"/>
  <c r="BI3" i="240"/>
  <c r="BG3" i="240"/>
  <c r="BE3" i="240"/>
  <c r="BC3" i="240"/>
  <c r="AY3" i="240"/>
  <c r="AW3" i="240"/>
  <c r="AU3" i="240"/>
  <c r="AS3" i="240"/>
  <c r="AQ3" i="240"/>
  <c r="AO3" i="240"/>
  <c r="AM3" i="240"/>
  <c r="E3" i="240"/>
  <c r="C3" i="240" s="1"/>
  <c r="CX2" i="240"/>
  <c r="CV2" i="240"/>
  <c r="CT2" i="240"/>
  <c r="CR2" i="240"/>
  <c r="CP2" i="240"/>
  <c r="CN2" i="240"/>
  <c r="CL2" i="240"/>
  <c r="CJ2" i="240"/>
  <c r="CH2" i="240"/>
  <c r="CF2" i="240"/>
  <c r="CD2" i="240"/>
  <c r="CB2" i="240"/>
  <c r="BZ2" i="240"/>
  <c r="BX2" i="240"/>
  <c r="BV2" i="240"/>
  <c r="BT2" i="240"/>
  <c r="BR2" i="240"/>
  <c r="BP2" i="240"/>
  <c r="BN2" i="240"/>
  <c r="BL2" i="240"/>
  <c r="BI2" i="240"/>
  <c r="BG2" i="240"/>
  <c r="BE2" i="240"/>
  <c r="BC2" i="240"/>
  <c r="AY2" i="240"/>
  <c r="AW2" i="240"/>
  <c r="AU2" i="240"/>
  <c r="AS2" i="240"/>
  <c r="AQ2" i="240"/>
  <c r="AO2" i="240"/>
  <c r="AM2" i="240"/>
  <c r="E2" i="240"/>
  <c r="C2" i="240"/>
  <c r="G1" i="240"/>
  <c r="AY4" i="167"/>
  <c r="AW4" i="167"/>
  <c r="AU4" i="167"/>
  <c r="AS4" i="167"/>
  <c r="AQ4" i="167"/>
  <c r="AO4" i="167"/>
  <c r="AM4" i="167"/>
  <c r="AK4" i="167"/>
  <c r="AI4" i="167"/>
  <c r="V4" i="167"/>
  <c r="E4" i="167"/>
  <c r="C4" i="167"/>
  <c r="AY3" i="167"/>
  <c r="AW3" i="167"/>
  <c r="AU3" i="167"/>
  <c r="AS3" i="167"/>
  <c r="AQ3" i="167"/>
  <c r="AO3" i="167"/>
  <c r="AM3" i="167"/>
  <c r="AK3" i="167"/>
  <c r="AI3" i="167"/>
  <c r="V3" i="167"/>
  <c r="AY2" i="167"/>
  <c r="AW2" i="167"/>
  <c r="AU2" i="167"/>
  <c r="AS2" i="167"/>
  <c r="AQ2" i="167"/>
  <c r="AO2" i="167"/>
  <c r="AM2" i="167"/>
  <c r="AK2" i="167"/>
  <c r="AI2" i="167"/>
  <c r="V2" i="167"/>
  <c r="C2" i="167"/>
  <c r="G1" i="167"/>
  <c r="E27" i="206" l="1"/>
  <c r="C27" i="206" s="1"/>
  <c r="E102" i="164"/>
  <c r="C102" i="164" s="1"/>
  <c r="E7" i="154"/>
  <c r="C7" i="154" s="1"/>
  <c r="E26" i="154"/>
  <c r="C26" i="154" s="1"/>
  <c r="E29" i="153"/>
  <c r="C29" i="153" s="1"/>
  <c r="E6" i="153"/>
  <c r="C6" i="153" s="1"/>
  <c r="D26" i="142"/>
  <c r="S5" i="98"/>
  <c r="Y5" i="98" s="1"/>
  <c r="AC5" i="98" s="1"/>
  <c r="E5" i="98" s="1"/>
  <c r="C5" i="98" s="1"/>
  <c r="D5" i="245"/>
  <c r="C5" i="245" s="1"/>
  <c r="E31" i="240"/>
  <c r="C31" i="240" s="1"/>
  <c r="E20" i="185"/>
  <c r="C20" i="185" s="1"/>
  <c r="E8" i="164"/>
  <c r="C8" i="164" s="1"/>
  <c r="E7" i="240"/>
  <c r="C7" i="240" s="1"/>
  <c r="E6" i="206"/>
  <c r="C6" i="206" s="1"/>
  <c r="E8" i="155"/>
  <c r="C8" i="155" s="1"/>
  <c r="E5" i="90"/>
  <c r="C5" i="90" s="1"/>
  <c r="E7" i="156"/>
  <c r="C7" i="156" s="1"/>
  <c r="H41" i="185"/>
  <c r="I4" i="185" s="1"/>
  <c r="I5" i="185" s="1"/>
  <c r="J43" i="185"/>
  <c r="E27" i="152"/>
  <c r="C27" i="152" s="1"/>
  <c r="E30" i="170"/>
  <c r="C30" i="170" s="1"/>
  <c r="E30" i="155"/>
  <c r="C30" i="155" s="1"/>
  <c r="E32" i="156"/>
  <c r="C32" i="156" s="1"/>
  <c r="E27" i="151"/>
  <c r="C27" i="151" s="1"/>
  <c r="E6" i="152"/>
  <c r="C6" i="152" s="1"/>
  <c r="E7" i="170"/>
  <c r="C7" i="170" s="1"/>
  <c r="E6" i="228"/>
  <c r="C6" i="228" s="1"/>
  <c r="E28" i="170"/>
  <c r="C28" i="170" s="1"/>
  <c r="E4" i="182"/>
  <c r="C4" i="182" s="1"/>
  <c r="E6" i="156"/>
  <c r="C6" i="156" s="1"/>
  <c r="G21" i="185"/>
  <c r="G26" i="185" s="1"/>
  <c r="G28" i="185" s="1"/>
  <c r="E4" i="121"/>
  <c r="C4" i="121" s="1"/>
  <c r="E4" i="115"/>
  <c r="C4" i="115" s="1"/>
  <c r="E4" i="242"/>
  <c r="C4" i="242" s="1"/>
  <c r="E100" i="164"/>
  <c r="C100" i="164" s="1"/>
  <c r="G68" i="206" a="1"/>
  <c r="G68" i="206" s="1"/>
  <c r="E25" i="151"/>
  <c r="C25" i="151" s="1"/>
  <c r="E27" i="153"/>
  <c r="C27" i="153" s="1"/>
  <c r="E28" i="156"/>
  <c r="C28" i="156" s="1"/>
  <c r="E23" i="185"/>
  <c r="C23" i="185" s="1"/>
  <c r="E5" i="105"/>
  <c r="C5" i="105" s="1"/>
  <c r="E27" i="183"/>
  <c r="C27" i="183" s="1"/>
  <c r="E8" i="87"/>
  <c r="C8" i="87" s="1"/>
  <c r="G15" i="183"/>
  <c r="E15" i="183" s="1"/>
  <c r="C15" i="183" s="1"/>
  <c r="E29" i="160"/>
  <c r="C29" i="160" s="1"/>
  <c r="E36" i="155"/>
  <c r="C36" i="155" s="1"/>
  <c r="Y19" i="151"/>
  <c r="G24" i="183"/>
  <c r="E24" i="183" s="1"/>
  <c r="C24" i="183" s="1"/>
  <c r="G39" i="183"/>
  <c r="E39" i="183" s="1"/>
  <c r="C39" i="183" s="1"/>
  <c r="E7" i="87"/>
  <c r="C7" i="87" s="1"/>
  <c r="E6" i="151"/>
  <c r="C6" i="151" s="1"/>
  <c r="E28" i="206"/>
  <c r="C28" i="206" s="1"/>
  <c r="E7" i="151"/>
  <c r="C7" i="151" s="1"/>
  <c r="E32" i="155"/>
  <c r="C32" i="155" s="1"/>
  <c r="E26" i="206"/>
  <c r="C26" i="206" s="1"/>
  <c r="G13" i="183"/>
  <c r="E13" i="183" s="1"/>
  <c r="C13" i="183" s="1"/>
  <c r="E4" i="143"/>
  <c r="C4" i="143" s="1"/>
  <c r="E23" i="228"/>
  <c r="C23" i="228" s="1"/>
  <c r="E34" i="154"/>
  <c r="C34" i="154" s="1"/>
  <c r="E34" i="155"/>
  <c r="C34" i="155" s="1"/>
  <c r="E28" i="183"/>
  <c r="C28" i="183" s="1"/>
  <c r="E24" i="206"/>
  <c r="C24" i="206" s="1"/>
  <c r="E25" i="160"/>
  <c r="C25" i="160" s="1"/>
  <c r="E7" i="160"/>
  <c r="C7" i="160" s="1"/>
  <c r="E25" i="152"/>
  <c r="C25" i="152" s="1"/>
  <c r="E49" i="185"/>
  <c r="C49" i="185" s="1"/>
  <c r="E5" i="87"/>
  <c r="C5" i="87" s="1"/>
  <c r="E11" i="183"/>
  <c r="C11" i="183" s="1"/>
  <c r="E7" i="185"/>
  <c r="C7" i="185" s="1"/>
  <c r="D5" i="244"/>
  <c r="C5" i="244" s="1"/>
  <c r="E29" i="183"/>
  <c r="C29" i="183" s="1"/>
  <c r="E7" i="152"/>
  <c r="C7" i="152" s="1"/>
  <c r="F81" i="155" a="1"/>
  <c r="F81" i="155" s="1"/>
  <c r="E82" i="155"/>
  <c r="G69" i="206" a="1"/>
  <c r="G69" i="206" s="1"/>
  <c r="F70" i="206"/>
  <c r="D57" i="228" a="1"/>
  <c r="D57" i="228" s="1"/>
  <c r="C58" i="228"/>
  <c r="F75" i="156"/>
  <c r="G74" i="156" a="1"/>
  <c r="G74" i="156" s="1"/>
  <c r="F73" i="240" a="1"/>
  <c r="F73" i="240" s="1"/>
  <c r="E74" i="240"/>
  <c r="E75" i="240" s="1"/>
  <c r="F75" i="240" s="1" a="1"/>
  <c r="F75" i="240" s="1"/>
  <c r="E75" i="154"/>
  <c r="F74" i="154" a="1"/>
  <c r="F74" i="154" s="1"/>
  <c r="E7" i="153"/>
  <c r="C7" i="153" s="1"/>
  <c r="E6" i="160"/>
  <c r="C6" i="160" s="1"/>
  <c r="H43" i="228"/>
  <c r="E30" i="156"/>
  <c r="C30" i="156" s="1"/>
  <c r="E22" i="228"/>
  <c r="C22" i="228" s="1"/>
  <c r="J43" i="228"/>
  <c r="F73" i="154" a="1"/>
  <c r="F73" i="154" s="1"/>
  <c r="G48" i="228"/>
  <c r="E25" i="156"/>
  <c r="C25" i="156" s="1"/>
  <c r="E27" i="160"/>
  <c r="C27" i="160" s="1"/>
  <c r="E5" i="144"/>
  <c r="C5" i="144" s="1"/>
  <c r="D56" i="228" a="1"/>
  <c r="D56" i="228" s="1"/>
  <c r="E6" i="240"/>
  <c r="C6" i="240" s="1"/>
  <c r="E20" i="228"/>
  <c r="C20" i="228" s="1"/>
  <c r="E5" i="182"/>
  <c r="C5" i="182" s="1"/>
  <c r="E7" i="206"/>
  <c r="C7" i="206" s="1"/>
  <c r="E33" i="240"/>
  <c r="C33" i="240" s="1"/>
  <c r="E104" i="164"/>
  <c r="C104" i="164" s="1"/>
  <c r="G42" i="185"/>
  <c r="W27" i="154"/>
  <c r="E30" i="154"/>
  <c r="C30" i="154" s="1"/>
  <c r="E32" i="154"/>
  <c r="C32" i="154" s="1"/>
  <c r="E24" i="185"/>
  <c r="C24" i="185" s="1"/>
  <c r="H42" i="185"/>
  <c r="E5" i="118"/>
  <c r="C5" i="118" s="1"/>
  <c r="H43" i="185"/>
  <c r="C57" i="185"/>
  <c r="C58" i="185" s="1"/>
  <c r="C59" i="185" s="1"/>
  <c r="D59" i="185" s="1" a="1"/>
  <c r="D59" i="185" s="1"/>
  <c r="E22" i="185"/>
  <c r="C22" i="185" s="1"/>
  <c r="E11" i="228"/>
  <c r="C11" i="228" s="1"/>
  <c r="E7" i="183"/>
  <c r="C7" i="183" s="1"/>
  <c r="E33" i="185"/>
  <c r="C33" i="185" s="1"/>
  <c r="F80" i="155" a="1"/>
  <c r="F80" i="155" s="1"/>
  <c r="G47" i="228"/>
  <c r="J42" i="228" s="1"/>
  <c r="E4" i="109"/>
  <c r="C4" i="109" s="1"/>
  <c r="E9" i="155"/>
  <c r="C9" i="155" s="1"/>
  <c r="G73" i="156" a="1"/>
  <c r="G73" i="156" s="1"/>
  <c r="G48" i="185"/>
  <c r="G41" i="228"/>
  <c r="E25" i="183"/>
  <c r="C25" i="183" s="1"/>
  <c r="E26" i="170"/>
  <c r="C26" i="170" s="1"/>
  <c r="H41" i="228"/>
  <c r="I4" i="228" s="1"/>
  <c r="I5" i="228" s="1"/>
  <c r="J41" i="228"/>
  <c r="Q5" i="228" s="1"/>
  <c r="E25" i="153"/>
  <c r="C25" i="153" s="1"/>
  <c r="F72" i="240" a="1"/>
  <c r="F72" i="240" s="1"/>
  <c r="G42" i="228"/>
  <c r="K5" i="93"/>
  <c r="E5" i="93" s="1"/>
  <c r="C5" i="93" s="1"/>
  <c r="E8" i="170"/>
  <c r="C8" i="170" s="1"/>
  <c r="E6" i="185"/>
  <c r="C6" i="185" s="1"/>
  <c r="E24" i="228"/>
  <c r="C24" i="228" s="1"/>
  <c r="G31" i="155"/>
  <c r="E7" i="155"/>
  <c r="C7" i="155" s="1"/>
  <c r="G23" i="155"/>
  <c r="G14" i="240"/>
  <c r="G48" i="240"/>
  <c r="E48" i="240" s="1"/>
  <c r="C48" i="240" s="1"/>
  <c r="G12" i="240"/>
  <c r="G27" i="240"/>
  <c r="E27" i="240" s="1"/>
  <c r="C27" i="240" s="1"/>
  <c r="G16" i="240"/>
  <c r="E16" i="240" s="1"/>
  <c r="C16" i="240" s="1"/>
  <c r="G38" i="240"/>
  <c r="G36" i="240"/>
  <c r="E36" i="240" s="1"/>
  <c r="C36" i="240" s="1"/>
  <c r="E11" i="240"/>
  <c r="C11" i="240" s="1"/>
  <c r="G23" i="240"/>
  <c r="G52" i="240"/>
  <c r="E52" i="240" s="1"/>
  <c r="C52" i="240" s="1"/>
  <c r="G21" i="240"/>
  <c r="E21" i="240" s="1"/>
  <c r="C21" i="240" s="1"/>
  <c r="G47" i="240"/>
  <c r="E46" i="164"/>
  <c r="C46" i="164" s="1"/>
  <c r="U47" i="164"/>
  <c r="U48" i="164" s="1"/>
  <c r="U49" i="164" s="1"/>
  <c r="U50" i="164" s="1"/>
  <c r="U51" i="164" s="1"/>
  <c r="U52" i="164" s="1"/>
  <c r="G6" i="154"/>
  <c r="I24" i="154"/>
  <c r="E5" i="154"/>
  <c r="C5" i="154" s="1"/>
  <c r="O44" i="154"/>
  <c r="O43" i="154"/>
  <c r="N6" i="250"/>
  <c r="E8" i="154"/>
  <c r="C8" i="154" s="1"/>
  <c r="N6" i="161"/>
  <c r="E5" i="170"/>
  <c r="C5" i="170" s="1"/>
  <c r="G6" i="170"/>
  <c r="E11" i="160"/>
  <c r="C11" i="160" s="1"/>
  <c r="G6" i="177"/>
  <c r="G23" i="156"/>
  <c r="E11" i="156"/>
  <c r="C11" i="156" s="1"/>
  <c r="E24" i="160"/>
  <c r="C24" i="160" s="1"/>
  <c r="G33" i="160"/>
  <c r="O6" i="250"/>
  <c r="O6" i="176"/>
  <c r="O6" i="161"/>
  <c r="G34" i="170"/>
  <c r="E34" i="170" s="1"/>
  <c r="C34" i="170" s="1"/>
  <c r="I65" i="154"/>
  <c r="M20" i="154" s="1"/>
  <c r="G15" i="170"/>
  <c r="G39" i="170"/>
  <c r="E39" i="170" s="1"/>
  <c r="C39" i="170" s="1"/>
  <c r="G12" i="156"/>
  <c r="G62" i="164"/>
  <c r="C57" i="164"/>
  <c r="R26" i="164"/>
  <c r="E26" i="164"/>
  <c r="C26" i="164" s="1"/>
  <c r="G44" i="170"/>
  <c r="E44" i="170" s="1"/>
  <c r="C44" i="170" s="1"/>
  <c r="O53" i="155"/>
  <c r="I63" i="160"/>
  <c r="M20" i="160" s="1"/>
  <c r="G37" i="170"/>
  <c r="E37" i="170" s="1"/>
  <c r="C37" i="170" s="1"/>
  <c r="H63" i="160"/>
  <c r="I20" i="160" s="1"/>
  <c r="J61" i="160"/>
  <c r="K18" i="160" s="1"/>
  <c r="G20" i="164"/>
  <c r="G5" i="164"/>
  <c r="G6" i="164"/>
  <c r="E6" i="164" s="1"/>
  <c r="C6" i="164" s="1"/>
  <c r="G21" i="164"/>
  <c r="E21" i="164" s="1"/>
  <c r="C21" i="164" s="1"/>
  <c r="G136" i="164"/>
  <c r="E39" i="154"/>
  <c r="C39" i="154" s="1"/>
  <c r="E4" i="144"/>
  <c r="C4" i="144" s="1"/>
  <c r="E22" i="160"/>
  <c r="C22" i="160" s="1"/>
  <c r="I12" i="160"/>
  <c r="I14" i="160"/>
  <c r="I45" i="160"/>
  <c r="E45" i="160" s="1"/>
  <c r="C45" i="160" s="1"/>
  <c r="I46" i="160"/>
  <c r="E46" i="160" s="1"/>
  <c r="C46" i="160" s="1"/>
  <c r="G5" i="206"/>
  <c r="O38" i="206"/>
  <c r="O37" i="206"/>
  <c r="G63" i="156"/>
  <c r="G22" i="164"/>
  <c r="E22" i="164" s="1"/>
  <c r="C22" i="164" s="1"/>
  <c r="E25" i="164"/>
  <c r="C25" i="164" s="1"/>
  <c r="J137" i="164"/>
  <c r="K22" i="164" s="1"/>
  <c r="H137" i="164"/>
  <c r="I22" i="164" s="1"/>
  <c r="I135" i="164"/>
  <c r="M20" i="164" s="1"/>
  <c r="I136" i="164"/>
  <c r="M21" i="164" s="1"/>
  <c r="E25" i="240"/>
  <c r="C25" i="240" s="1"/>
  <c r="G25" i="170"/>
  <c r="E25" i="170" s="1"/>
  <c r="C25" i="170" s="1"/>
  <c r="O47" i="170"/>
  <c r="G52" i="170"/>
  <c r="E52" i="170" s="1"/>
  <c r="C52" i="170" s="1"/>
  <c r="E12" i="170"/>
  <c r="C12" i="170" s="1"/>
  <c r="G53" i="170"/>
  <c r="E53" i="170" s="1"/>
  <c r="C53" i="170" s="1"/>
  <c r="G41" i="170"/>
  <c r="E41" i="170" s="1"/>
  <c r="C41" i="170" s="1"/>
  <c r="G17" i="170"/>
  <c r="E17" i="170" s="1"/>
  <c r="C17" i="170" s="1"/>
  <c r="E47" i="164"/>
  <c r="C47" i="164" s="1"/>
  <c r="S48" i="164"/>
  <c r="S49" i="164" s="1"/>
  <c r="S50" i="164" s="1"/>
  <c r="E45" i="164"/>
  <c r="C45" i="164" s="1"/>
  <c r="G13" i="185"/>
  <c r="G35" i="228"/>
  <c r="G17" i="185"/>
  <c r="E17" i="185" s="1"/>
  <c r="C17" i="185" s="1"/>
  <c r="G14" i="185"/>
  <c r="E11" i="185"/>
  <c r="C11" i="185" s="1"/>
  <c r="G31" i="206"/>
  <c r="E25" i="206"/>
  <c r="C25" i="206" s="1"/>
  <c r="G23" i="170"/>
  <c r="I23" i="156"/>
  <c r="O42" i="156"/>
  <c r="E29" i="240"/>
  <c r="C29" i="240" s="1"/>
  <c r="I23" i="170"/>
  <c r="G43" i="170"/>
  <c r="E43" i="170" s="1"/>
  <c r="C43" i="170" s="1"/>
  <c r="I23" i="206"/>
  <c r="I62" i="170"/>
  <c r="M19" i="170" s="1"/>
  <c r="O46" i="160"/>
  <c r="E4" i="160"/>
  <c r="C4" i="160" s="1"/>
  <c r="G5" i="160"/>
  <c r="G64" i="240"/>
  <c r="G4" i="240"/>
  <c r="G5" i="156"/>
  <c r="I63" i="240"/>
  <c r="M18" i="240" s="1"/>
  <c r="G49" i="154"/>
  <c r="E49" i="154" s="1"/>
  <c r="C49" i="154" s="1"/>
  <c r="G17" i="154"/>
  <c r="E17" i="154" s="1"/>
  <c r="C17" i="154" s="1"/>
  <c r="G15" i="154"/>
  <c r="G28" i="154"/>
  <c r="E28" i="154" s="1"/>
  <c r="C28" i="154" s="1"/>
  <c r="G4" i="249"/>
  <c r="E4" i="249" s="1"/>
  <c r="C4" i="249" s="1"/>
  <c r="E12" i="154"/>
  <c r="C12" i="154" s="1"/>
  <c r="E94" i="164"/>
  <c r="C94" i="164" s="1"/>
  <c r="G111" i="164"/>
  <c r="H74" i="155"/>
  <c r="I25" i="155" s="1"/>
  <c r="J72" i="155"/>
  <c r="K23" i="155" s="1"/>
  <c r="I63" i="154"/>
  <c r="K6" i="154" s="1"/>
  <c r="E5" i="178"/>
  <c r="C5" i="178" s="1"/>
  <c r="G6" i="178"/>
  <c r="I64" i="240"/>
  <c r="M19" i="240" s="1"/>
  <c r="I63" i="170"/>
  <c r="M20" i="170" s="1"/>
  <c r="E7" i="228"/>
  <c r="C7" i="228" s="1"/>
  <c r="I28" i="155"/>
  <c r="O52" i="155"/>
  <c r="G14" i="160"/>
  <c r="E12" i="160"/>
  <c r="C12" i="160" s="1"/>
  <c r="E14" i="155"/>
  <c r="C14" i="155" s="1"/>
  <c r="G15" i="155"/>
  <c r="G26" i="155"/>
  <c r="E26" i="155" s="1"/>
  <c r="C26" i="155" s="1"/>
  <c r="E44" i="164"/>
  <c r="C44" i="164" s="1"/>
  <c r="N6" i="176"/>
  <c r="E48" i="154"/>
  <c r="C48" i="154" s="1"/>
  <c r="I54" i="154"/>
  <c r="E54" i="154" s="1"/>
  <c r="C54" i="154" s="1"/>
  <c r="I64" i="154"/>
  <c r="M19" i="154" s="1"/>
  <c r="G51" i="170"/>
  <c r="G14" i="206"/>
  <c r="I60" i="160"/>
  <c r="K5" i="160" s="1"/>
  <c r="I65" i="240"/>
  <c r="M20" i="240" s="1"/>
  <c r="E6" i="87"/>
  <c r="C6" i="87" s="1"/>
  <c r="G16" i="164"/>
  <c r="E4" i="124"/>
  <c r="C4" i="124" s="1"/>
  <c r="G42" i="151"/>
  <c r="E42" i="151" s="1"/>
  <c r="C42" i="151" s="1"/>
  <c r="E7" i="164"/>
  <c r="C7" i="164" s="1"/>
  <c r="E5" i="119"/>
  <c r="C5" i="119" s="1"/>
  <c r="J57" i="206"/>
  <c r="K18" i="206" s="1"/>
  <c r="R5" i="88"/>
  <c r="E5" i="88" s="1"/>
  <c r="C5" i="88" s="1"/>
  <c r="Z18" i="153"/>
  <c r="Y18" i="153" s="1"/>
  <c r="G19" i="228"/>
  <c r="G21" i="228"/>
  <c r="E5" i="183"/>
  <c r="C5" i="183" s="1"/>
  <c r="I22" i="151"/>
  <c r="O46" i="151"/>
  <c r="O45" i="151"/>
  <c r="G5" i="151"/>
  <c r="I14" i="151"/>
  <c r="I16" i="151" s="1"/>
  <c r="I45" i="151" s="1"/>
  <c r="E4" i="151"/>
  <c r="C4" i="151" s="1"/>
  <c r="G57" i="151"/>
  <c r="E57" i="151" s="1"/>
  <c r="C57" i="151" s="1"/>
  <c r="G39" i="151"/>
  <c r="E39" i="151" s="1"/>
  <c r="C39" i="151" s="1"/>
  <c r="G51" i="151"/>
  <c r="E51" i="151" s="1"/>
  <c r="C51" i="151" s="1"/>
  <c r="G38" i="151"/>
  <c r="E38" i="151" s="1"/>
  <c r="C38" i="151" s="1"/>
  <c r="G22" i="151"/>
  <c r="E22" i="151" s="1"/>
  <c r="C22" i="151" s="1"/>
  <c r="G50" i="151"/>
  <c r="G36" i="151"/>
  <c r="E36" i="151" s="1"/>
  <c r="C36" i="151" s="1"/>
  <c r="G33" i="151"/>
  <c r="E33" i="151" s="1"/>
  <c r="C33" i="151" s="1"/>
  <c r="G16" i="151"/>
  <c r="E16" i="151" s="1"/>
  <c r="C16" i="151" s="1"/>
  <c r="G44" i="151"/>
  <c r="E44" i="151" s="1"/>
  <c r="C44" i="151" s="1"/>
  <c r="G14" i="151"/>
  <c r="E14" i="151" s="1"/>
  <c r="C14" i="151" s="1"/>
  <c r="G43" i="151"/>
  <c r="E43" i="151" s="1"/>
  <c r="C43" i="151" s="1"/>
  <c r="G13" i="151"/>
  <c r="E13" i="151" s="1"/>
  <c r="C13" i="151" s="1"/>
  <c r="G41" i="151"/>
  <c r="E41" i="151" s="1"/>
  <c r="C41" i="151" s="1"/>
  <c r="E50" i="153"/>
  <c r="C50" i="153" s="1"/>
  <c r="I55" i="153"/>
  <c r="E55" i="153" s="1"/>
  <c r="C55" i="153" s="1"/>
  <c r="Z20" i="151"/>
  <c r="Y20" i="151" s="1"/>
  <c r="I63" i="152"/>
  <c r="K5" i="152" s="1"/>
  <c r="I66" i="152"/>
  <c r="M20" i="152" s="1"/>
  <c r="I65" i="152"/>
  <c r="M19" i="152" s="1"/>
  <c r="R6" i="88"/>
  <c r="E6" i="88"/>
  <c r="C6" i="88" s="1"/>
  <c r="M5" i="147"/>
  <c r="E5" i="147" s="1"/>
  <c r="C5" i="147" s="1"/>
  <c r="E29" i="152"/>
  <c r="C29" i="152" s="1"/>
  <c r="G24" i="151"/>
  <c r="E24" i="151" s="1"/>
  <c r="C24" i="151" s="1"/>
  <c r="G13" i="228"/>
  <c r="E13" i="228" s="1"/>
  <c r="C13" i="228" s="1"/>
  <c r="Z20" i="153"/>
  <c r="Y20" i="153" s="1"/>
  <c r="E11" i="151"/>
  <c r="C11" i="151" s="1"/>
  <c r="E29" i="151"/>
  <c r="C29" i="151" s="1"/>
  <c r="E6" i="183"/>
  <c r="C6" i="183" s="1"/>
  <c r="E4" i="113"/>
  <c r="C4" i="113" s="1"/>
  <c r="Z18" i="152"/>
  <c r="Y18" i="152" s="1"/>
  <c r="E64" i="183"/>
  <c r="F63" i="183" a="1"/>
  <c r="F63" i="183" s="1"/>
  <c r="G19" i="183"/>
  <c r="I13" i="183"/>
  <c r="G35" i="183"/>
  <c r="E35" i="183" s="1"/>
  <c r="C35" i="183" s="1"/>
  <c r="E4" i="152"/>
  <c r="C4" i="152" s="1"/>
  <c r="I22" i="152"/>
  <c r="O46" i="152"/>
  <c r="O45" i="152"/>
  <c r="G5" i="152"/>
  <c r="E5" i="97"/>
  <c r="C5" i="97" s="1"/>
  <c r="Z18" i="151"/>
  <c r="Y18" i="151" s="1"/>
  <c r="G36" i="153"/>
  <c r="E36" i="153" s="1"/>
  <c r="C36" i="153" s="1"/>
  <c r="G33" i="153"/>
  <c r="E33" i="153" s="1"/>
  <c r="C33" i="153" s="1"/>
  <c r="G16" i="153"/>
  <c r="G44" i="153"/>
  <c r="E44" i="153" s="1"/>
  <c r="C44" i="153" s="1"/>
  <c r="G14" i="153"/>
  <c r="G43" i="153"/>
  <c r="E43" i="153" s="1"/>
  <c r="C43" i="153" s="1"/>
  <c r="G13" i="153"/>
  <c r="E13" i="153" s="1"/>
  <c r="C13" i="153" s="1"/>
  <c r="G42" i="153"/>
  <c r="E42" i="153" s="1"/>
  <c r="C42" i="153" s="1"/>
  <c r="G41" i="153"/>
  <c r="E41" i="153" s="1"/>
  <c r="C41" i="153" s="1"/>
  <c r="G40" i="153"/>
  <c r="E40" i="153" s="1"/>
  <c r="C40" i="153" s="1"/>
  <c r="G53" i="153"/>
  <c r="E53" i="153" s="1"/>
  <c r="C53" i="153" s="1"/>
  <c r="G24" i="153"/>
  <c r="E24" i="153" s="1"/>
  <c r="C24" i="153" s="1"/>
  <c r="G51" i="153"/>
  <c r="E51" i="153" s="1"/>
  <c r="C51" i="153" s="1"/>
  <c r="G38" i="153"/>
  <c r="E38" i="153" s="1"/>
  <c r="C38" i="153" s="1"/>
  <c r="G22" i="153"/>
  <c r="E22" i="153" s="1"/>
  <c r="C22" i="153" s="1"/>
  <c r="J41" i="185"/>
  <c r="Q5" i="185" s="1"/>
  <c r="G41" i="185"/>
  <c r="G47" i="185"/>
  <c r="G14" i="228"/>
  <c r="G40" i="151"/>
  <c r="E40" i="151" s="1"/>
  <c r="C40" i="151" s="1"/>
  <c r="G17" i="183"/>
  <c r="E17" i="183" s="1"/>
  <c r="C17" i="183" s="1"/>
  <c r="I22" i="153"/>
  <c r="G26" i="183"/>
  <c r="E26" i="183" s="1"/>
  <c r="C26" i="183" s="1"/>
  <c r="I55" i="183"/>
  <c r="M20" i="183" s="1"/>
  <c r="G16" i="152"/>
  <c r="G33" i="152"/>
  <c r="E33" i="152" s="1"/>
  <c r="C33" i="152" s="1"/>
  <c r="G36" i="152"/>
  <c r="E36" i="152" s="1"/>
  <c r="C36" i="152" s="1"/>
  <c r="G38" i="183"/>
  <c r="G22" i="152"/>
  <c r="E22" i="152" s="1"/>
  <c r="C22" i="152" s="1"/>
  <c r="G38" i="152"/>
  <c r="E38" i="152" s="1"/>
  <c r="C38" i="152" s="1"/>
  <c r="G51" i="152"/>
  <c r="E51" i="152" s="1"/>
  <c r="C51" i="152" s="1"/>
  <c r="Y19" i="153"/>
  <c r="G43" i="183"/>
  <c r="G39" i="152"/>
  <c r="E39" i="152" s="1"/>
  <c r="C39" i="152" s="1"/>
  <c r="E4" i="153"/>
  <c r="C4" i="153" s="1"/>
  <c r="G40" i="152"/>
  <c r="E40" i="152" s="1"/>
  <c r="C40" i="152" s="1"/>
  <c r="E11" i="152"/>
  <c r="C11" i="152" s="1"/>
  <c r="G5" i="153"/>
  <c r="G41" i="152"/>
  <c r="E41" i="152" s="1"/>
  <c r="C41" i="152" s="1"/>
  <c r="O45" i="153"/>
  <c r="G31" i="183"/>
  <c r="E31" i="183" s="1"/>
  <c r="C31" i="183" s="1"/>
  <c r="Y19" i="152"/>
  <c r="G42" i="152"/>
  <c r="E42" i="152" s="1"/>
  <c r="C42" i="152" s="1"/>
  <c r="Y5" i="153"/>
  <c r="G13" i="152"/>
  <c r="E13" i="152" s="1"/>
  <c r="C13" i="152" s="1"/>
  <c r="D27" i="142" l="1"/>
  <c r="E26" i="142" a="1"/>
  <c r="E26" i="142" s="1"/>
  <c r="F74" i="240" a="1"/>
  <c r="F74" i="240" s="1"/>
  <c r="E76" i="240"/>
  <c r="E77" i="240" s="1"/>
  <c r="E21" i="185"/>
  <c r="C21" i="185" s="1"/>
  <c r="E26" i="185"/>
  <c r="C26" i="185" s="1"/>
  <c r="J44" i="228"/>
  <c r="H44" i="228"/>
  <c r="I42" i="228"/>
  <c r="I41" i="228"/>
  <c r="K5" i="228" s="1"/>
  <c r="I43" i="228"/>
  <c r="I44" i="228"/>
  <c r="G43" i="228"/>
  <c r="G4" i="228"/>
  <c r="G5" i="228"/>
  <c r="I42" i="185"/>
  <c r="I44" i="185"/>
  <c r="I43" i="185"/>
  <c r="I41" i="185"/>
  <c r="K5" i="185" s="1"/>
  <c r="D58" i="185" a="1"/>
  <c r="D58" i="185" s="1"/>
  <c r="C60" i="185"/>
  <c r="D60" i="185" s="1" a="1"/>
  <c r="D60" i="185" s="1"/>
  <c r="E76" i="154"/>
  <c r="F75" i="154" a="1"/>
  <c r="F75" i="154" s="1"/>
  <c r="F76" i="156"/>
  <c r="G75" i="156" a="1"/>
  <c r="G75" i="156" s="1"/>
  <c r="F71" i="206"/>
  <c r="G70" i="206" a="1"/>
  <c r="G70" i="206" s="1"/>
  <c r="F82" i="155" a="1"/>
  <c r="F82" i="155" s="1"/>
  <c r="E83" i="155"/>
  <c r="G5" i="185"/>
  <c r="G43" i="185"/>
  <c r="G4" i="185"/>
  <c r="D58" i="228" a="1"/>
  <c r="D58" i="228" s="1"/>
  <c r="C59" i="228"/>
  <c r="D57" i="185" a="1"/>
  <c r="D57" i="185" s="1"/>
  <c r="E14" i="153"/>
  <c r="C14" i="153" s="1"/>
  <c r="I15" i="155"/>
  <c r="E15" i="155" s="1"/>
  <c r="C15" i="155" s="1"/>
  <c r="I52" i="155"/>
  <c r="E52" i="155" s="1"/>
  <c r="C52" i="155" s="1"/>
  <c r="I18" i="155"/>
  <c r="I53" i="155"/>
  <c r="E53" i="155" s="1"/>
  <c r="C53" i="155" s="1"/>
  <c r="E5" i="152"/>
  <c r="C5" i="152" s="1"/>
  <c r="G18" i="152"/>
  <c r="E6" i="178"/>
  <c r="C6" i="178" s="1"/>
  <c r="G7" i="178"/>
  <c r="E7" i="178" s="1"/>
  <c r="C7" i="178" s="1"/>
  <c r="E23" i="170"/>
  <c r="C23" i="170" s="1"/>
  <c r="I44" i="183"/>
  <c r="E44" i="183" s="1"/>
  <c r="C44" i="183" s="1"/>
  <c r="E38" i="183"/>
  <c r="C38" i="183" s="1"/>
  <c r="E48" i="164"/>
  <c r="C48" i="164" s="1"/>
  <c r="E31" i="206"/>
  <c r="C31" i="206" s="1"/>
  <c r="G33" i="206"/>
  <c r="G67" i="164"/>
  <c r="C62" i="164"/>
  <c r="I15" i="154"/>
  <c r="C11" i="249" s="1"/>
  <c r="I44" i="154"/>
  <c r="E44" i="154" s="1"/>
  <c r="C44" i="154" s="1"/>
  <c r="I27" i="154"/>
  <c r="E27" i="154" s="1"/>
  <c r="C27" i="154" s="1"/>
  <c r="E24" i="154"/>
  <c r="C24" i="154" s="1"/>
  <c r="I43" i="154"/>
  <c r="E43" i="154" s="1"/>
  <c r="C43" i="154" s="1"/>
  <c r="I13" i="154"/>
  <c r="E13" i="154" s="1"/>
  <c r="C13" i="154" s="1"/>
  <c r="G14" i="156"/>
  <c r="E16" i="152"/>
  <c r="C16" i="152" s="1"/>
  <c r="G18" i="164"/>
  <c r="I46" i="170"/>
  <c r="E46" i="170" s="1"/>
  <c r="C46" i="170" s="1"/>
  <c r="I47" i="170"/>
  <c r="E47" i="170" s="1"/>
  <c r="C47" i="170" s="1"/>
  <c r="I13" i="170"/>
  <c r="E13" i="170" s="1"/>
  <c r="C13" i="170" s="1"/>
  <c r="I15" i="170"/>
  <c r="E15" i="170" s="1"/>
  <c r="C15" i="170" s="1"/>
  <c r="I43" i="156"/>
  <c r="E43" i="156" s="1"/>
  <c r="C43" i="156" s="1"/>
  <c r="I42" i="156"/>
  <c r="E42" i="156" s="1"/>
  <c r="C42" i="156" s="1"/>
  <c r="I14" i="156"/>
  <c r="I12" i="156"/>
  <c r="E12" i="156" s="1"/>
  <c r="C12" i="156" s="1"/>
  <c r="E5" i="206"/>
  <c r="C5" i="206" s="1"/>
  <c r="G18" i="206"/>
  <c r="I14" i="152"/>
  <c r="E14" i="152" s="1"/>
  <c r="C14" i="152" s="1"/>
  <c r="I16" i="152"/>
  <c r="I45" i="152" s="1"/>
  <c r="E6" i="154"/>
  <c r="C6" i="154" s="1"/>
  <c r="G19" i="154"/>
  <c r="G16" i="185"/>
  <c r="E49" i="164"/>
  <c r="C49" i="164" s="1"/>
  <c r="I16" i="153"/>
  <c r="I45" i="153" s="1"/>
  <c r="I14" i="153"/>
  <c r="G20" i="183"/>
  <c r="E19" i="183"/>
  <c r="C19" i="183" s="1"/>
  <c r="E111" i="164"/>
  <c r="C111" i="164" s="1"/>
  <c r="G120" i="164"/>
  <c r="I125" i="164"/>
  <c r="E125" i="164" s="1"/>
  <c r="C125" i="164" s="1"/>
  <c r="E13" i="185"/>
  <c r="C13" i="185" s="1"/>
  <c r="G4" i="101"/>
  <c r="E4" i="101" s="1"/>
  <c r="C4" i="101" s="1"/>
  <c r="E47" i="240"/>
  <c r="C47" i="240" s="1"/>
  <c r="I53" i="240"/>
  <c r="E53" i="240" s="1"/>
  <c r="C53" i="240" s="1"/>
  <c r="E38" i="240"/>
  <c r="C38" i="240" s="1"/>
  <c r="G40" i="240"/>
  <c r="E40" i="240" s="1"/>
  <c r="C40" i="240" s="1"/>
  <c r="E65" i="183"/>
  <c r="F64" i="183" a="1"/>
  <c r="F64" i="183" s="1"/>
  <c r="G46" i="183"/>
  <c r="E46" i="183" s="1"/>
  <c r="C46" i="183" s="1"/>
  <c r="E43" i="183"/>
  <c r="C43" i="183" s="1"/>
  <c r="H44" i="185"/>
  <c r="J42" i="185"/>
  <c r="J44" i="185"/>
  <c r="I12" i="206"/>
  <c r="E12" i="206" s="1"/>
  <c r="C12" i="206" s="1"/>
  <c r="E23" i="206"/>
  <c r="C23" i="206" s="1"/>
  <c r="I37" i="206"/>
  <c r="E37" i="206" s="1"/>
  <c r="C37" i="206" s="1"/>
  <c r="I38" i="206"/>
  <c r="E38" i="206" s="1"/>
  <c r="C38" i="206" s="1"/>
  <c r="I14" i="206"/>
  <c r="E14" i="206" s="1"/>
  <c r="C14" i="206" s="1"/>
  <c r="G26" i="240"/>
  <c r="E28" i="185"/>
  <c r="C28" i="185" s="1"/>
  <c r="G30" i="185"/>
  <c r="G16" i="228"/>
  <c r="E33" i="160"/>
  <c r="C33" i="160" s="1"/>
  <c r="G36" i="160"/>
  <c r="E51" i="170"/>
  <c r="C51" i="170" s="1"/>
  <c r="I54" i="170"/>
  <c r="E54" i="170" s="1"/>
  <c r="C54" i="170" s="1"/>
  <c r="G18" i="156"/>
  <c r="E5" i="156"/>
  <c r="C5" i="156" s="1"/>
  <c r="G26" i="156"/>
  <c r="E23" i="156"/>
  <c r="C23" i="156" s="1"/>
  <c r="O43" i="240"/>
  <c r="I23" i="240"/>
  <c r="E23" i="240" s="1"/>
  <c r="C23" i="240" s="1"/>
  <c r="G5" i="240"/>
  <c r="E4" i="240"/>
  <c r="C4" i="240" s="1"/>
  <c r="O42" i="240"/>
  <c r="F32" i="164"/>
  <c r="C32" i="164" s="1"/>
  <c r="O66" i="164"/>
  <c r="C66" i="164" s="1"/>
  <c r="F30" i="164"/>
  <c r="C30" i="164" s="1"/>
  <c r="O76" i="164"/>
  <c r="C76" i="164" s="1"/>
  <c r="F31" i="164"/>
  <c r="C31" i="164" s="1"/>
  <c r="F33" i="164"/>
  <c r="C33" i="164" s="1"/>
  <c r="F34" i="164"/>
  <c r="C34" i="164" s="1"/>
  <c r="O116" i="164"/>
  <c r="F35" i="164"/>
  <c r="C35" i="164" s="1"/>
  <c r="F29" i="164"/>
  <c r="C29" i="164" s="1"/>
  <c r="I96" i="164"/>
  <c r="E96" i="164" s="1"/>
  <c r="C96" i="164" s="1"/>
  <c r="O61" i="164"/>
  <c r="C61" i="164" s="1"/>
  <c r="O71" i="164"/>
  <c r="C71" i="164" s="1"/>
  <c r="O115" i="164"/>
  <c r="F36" i="164"/>
  <c r="C36" i="164" s="1"/>
  <c r="I28" i="164"/>
  <c r="E5" i="164"/>
  <c r="C5" i="164" s="1"/>
  <c r="O56" i="164"/>
  <c r="I46" i="151"/>
  <c r="E46" i="151" s="1"/>
  <c r="C46" i="151" s="1"/>
  <c r="E45" i="151"/>
  <c r="C45" i="151" s="1"/>
  <c r="E20" i="164"/>
  <c r="C20" i="164" s="1"/>
  <c r="G18" i="151"/>
  <c r="E5" i="151"/>
  <c r="C5" i="151" s="1"/>
  <c r="O5" i="176"/>
  <c r="E5" i="176" s="1"/>
  <c r="C5" i="176" s="1"/>
  <c r="E6" i="177"/>
  <c r="C6" i="177" s="1"/>
  <c r="G7" i="177"/>
  <c r="E7" i="177" s="1"/>
  <c r="C7" i="177" s="1"/>
  <c r="E16" i="153"/>
  <c r="C16" i="153" s="1"/>
  <c r="S51" i="164"/>
  <c r="E50" i="164"/>
  <c r="C50" i="164" s="1"/>
  <c r="G16" i="160"/>
  <c r="E16" i="160" s="1"/>
  <c r="C16" i="160" s="1"/>
  <c r="E14" i="160"/>
  <c r="C14" i="160" s="1"/>
  <c r="E50" i="151"/>
  <c r="C50" i="151" s="1"/>
  <c r="I55" i="151"/>
  <c r="E55" i="151" s="1"/>
  <c r="C55" i="151" s="1"/>
  <c r="I4" i="117"/>
  <c r="E4" i="117" s="1"/>
  <c r="C4" i="117" s="1"/>
  <c r="G21" i="206"/>
  <c r="E21" i="206" s="1"/>
  <c r="C21" i="206" s="1"/>
  <c r="G16" i="206"/>
  <c r="E16" i="206" s="1"/>
  <c r="C16" i="206" s="1"/>
  <c r="G18" i="160"/>
  <c r="E5" i="160"/>
  <c r="C5" i="160" s="1"/>
  <c r="G19" i="170"/>
  <c r="E6" i="170"/>
  <c r="C6" i="170" s="1"/>
  <c r="G24" i="155"/>
  <c r="E23" i="155"/>
  <c r="C23" i="155" s="1"/>
  <c r="G18" i="153"/>
  <c r="E5" i="153"/>
  <c r="C5" i="153" s="1"/>
  <c r="G18" i="155"/>
  <c r="O5" i="161"/>
  <c r="E5" i="161" s="1"/>
  <c r="C5" i="161" s="1"/>
  <c r="E28" i="155"/>
  <c r="C28" i="155" s="1"/>
  <c r="G26" i="228"/>
  <c r="E21" i="228"/>
  <c r="C21" i="228" s="1"/>
  <c r="E31" i="155"/>
  <c r="C31" i="155" s="1"/>
  <c r="G40" i="155"/>
  <c r="E5" i="185" l="1"/>
  <c r="C5" i="185" s="1"/>
  <c r="D28" i="142"/>
  <c r="E27" i="142" a="1"/>
  <c r="E27" i="142" s="1"/>
  <c r="F76" i="240" a="1"/>
  <c r="F76" i="240" s="1"/>
  <c r="E5" i="228"/>
  <c r="C5" i="228" s="1"/>
  <c r="C60" i="228"/>
  <c r="D59" i="228" a="1"/>
  <c r="D59" i="228" s="1"/>
  <c r="E4" i="185"/>
  <c r="C4" i="185" s="1"/>
  <c r="I19" i="185"/>
  <c r="E84" i="155"/>
  <c r="F83" i="155" a="1"/>
  <c r="F83" i="155" s="1"/>
  <c r="F72" i="206"/>
  <c r="G71" i="206" a="1"/>
  <c r="G71" i="206" s="1"/>
  <c r="E77" i="154"/>
  <c r="F76" i="154" a="1"/>
  <c r="F76" i="154" s="1"/>
  <c r="C61" i="185"/>
  <c r="C62" i="185" s="1"/>
  <c r="E4" i="228"/>
  <c r="C4" i="228" s="1"/>
  <c r="I19" i="228"/>
  <c r="F77" i="156"/>
  <c r="G76" i="156" a="1"/>
  <c r="G76" i="156" s="1"/>
  <c r="E18" i="151"/>
  <c r="C18" i="151" s="1"/>
  <c r="G19" i="151"/>
  <c r="S52" i="164"/>
  <c r="E52" i="164" s="1"/>
  <c r="C52" i="164" s="1"/>
  <c r="E51" i="164"/>
  <c r="C51" i="164" s="1"/>
  <c r="G18" i="240"/>
  <c r="E5" i="240"/>
  <c r="C5" i="240" s="1"/>
  <c r="E78" i="240"/>
  <c r="F78" i="240" s="1" a="1"/>
  <c r="F78" i="240" s="1"/>
  <c r="F77" i="240" a="1"/>
  <c r="F77" i="240" s="1"/>
  <c r="E36" i="160"/>
  <c r="C36" i="160" s="1"/>
  <c r="G38" i="160"/>
  <c r="K81" i="164"/>
  <c r="C56" i="164"/>
  <c r="G21" i="155"/>
  <c r="E21" i="155" s="1"/>
  <c r="C21" i="155" s="1"/>
  <c r="E18" i="155"/>
  <c r="C18" i="155" s="1"/>
  <c r="G43" i="155"/>
  <c r="E40" i="155"/>
  <c r="C40" i="155" s="1"/>
  <c r="E26" i="228"/>
  <c r="C26" i="228" s="1"/>
  <c r="G28" i="228"/>
  <c r="E18" i="156"/>
  <c r="C18" i="156" s="1"/>
  <c r="G19" i="156"/>
  <c r="G25" i="155"/>
  <c r="E25" i="155" s="1"/>
  <c r="C25" i="155" s="1"/>
  <c r="E24" i="155"/>
  <c r="C24" i="155" s="1"/>
  <c r="E26" i="240"/>
  <c r="C26" i="240" s="1"/>
  <c r="I46" i="153"/>
  <c r="E46" i="153" s="1"/>
  <c r="C46" i="153" s="1"/>
  <c r="E45" i="153"/>
  <c r="C45" i="153" s="1"/>
  <c r="G35" i="185"/>
  <c r="G20" i="154"/>
  <c r="E19" i="154"/>
  <c r="C19" i="154" s="1"/>
  <c r="C67" i="164"/>
  <c r="G72" i="164"/>
  <c r="E33" i="206"/>
  <c r="C33" i="206" s="1"/>
  <c r="G35" i="206"/>
  <c r="I46" i="152"/>
  <c r="E46" i="152" s="1"/>
  <c r="C46" i="152" s="1"/>
  <c r="E45" i="152"/>
  <c r="C45" i="152" s="1"/>
  <c r="E18" i="153"/>
  <c r="C18" i="153" s="1"/>
  <c r="G19" i="153"/>
  <c r="I115" i="164"/>
  <c r="E115" i="164" s="1"/>
  <c r="C115" i="164" s="1"/>
  <c r="I16" i="164"/>
  <c r="E16" i="164" s="1"/>
  <c r="C16" i="164" s="1"/>
  <c r="E28" i="164"/>
  <c r="C28" i="164" s="1"/>
  <c r="I116" i="164"/>
  <c r="E116" i="164" s="1"/>
  <c r="C116" i="164" s="1"/>
  <c r="I13" i="164"/>
  <c r="E13" i="164" s="1"/>
  <c r="C13" i="164" s="1"/>
  <c r="G121" i="164"/>
  <c r="E121" i="164" s="1"/>
  <c r="C121" i="164" s="1"/>
  <c r="G123" i="164"/>
  <c r="E120" i="164"/>
  <c r="C120" i="164" s="1"/>
  <c r="C123" i="164" s="1"/>
  <c r="G21" i="156"/>
  <c r="E21" i="156" s="1"/>
  <c r="C21" i="156" s="1"/>
  <c r="E14" i="156"/>
  <c r="C14" i="156" s="1"/>
  <c r="G16" i="156"/>
  <c r="E16" i="156" s="1"/>
  <c r="C16" i="156" s="1"/>
  <c r="G32" i="185"/>
  <c r="E30" i="185"/>
  <c r="C30" i="185" s="1"/>
  <c r="E19" i="170"/>
  <c r="C19" i="170" s="1"/>
  <c r="G20" i="170"/>
  <c r="E20" i="183"/>
  <c r="C20" i="183" s="1"/>
  <c r="G21" i="183"/>
  <c r="E21" i="183" s="1"/>
  <c r="C21" i="183" s="1"/>
  <c r="G19" i="160"/>
  <c r="E18" i="160"/>
  <c r="C18" i="160" s="1"/>
  <c r="E15" i="154"/>
  <c r="C15" i="154" s="1"/>
  <c r="E18" i="206"/>
  <c r="C18" i="206" s="1"/>
  <c r="G19" i="206"/>
  <c r="I26" i="240"/>
  <c r="I12" i="240"/>
  <c r="E12" i="240" s="1"/>
  <c r="C12" i="240" s="1"/>
  <c r="I14" i="240"/>
  <c r="E14" i="240" s="1"/>
  <c r="C14" i="240" s="1"/>
  <c r="I43" i="240"/>
  <c r="E43" i="240" s="1"/>
  <c r="C43" i="240" s="1"/>
  <c r="I42" i="240"/>
  <c r="E42" i="240" s="1"/>
  <c r="C42" i="240" s="1"/>
  <c r="G19" i="152"/>
  <c r="E18" i="152"/>
  <c r="C18" i="152" s="1"/>
  <c r="F65" i="183" a="1"/>
  <c r="F65" i="183" s="1"/>
  <c r="E66" i="183"/>
  <c r="G35" i="156"/>
  <c r="E26" i="156"/>
  <c r="C26" i="156" s="1"/>
  <c r="G80" i="164"/>
  <c r="E80" i="164" s="1"/>
  <c r="C80" i="164" s="1"/>
  <c r="G65" i="164"/>
  <c r="E65" i="164" s="1"/>
  <c r="C65" i="164" s="1"/>
  <c r="G39" i="164"/>
  <c r="E39" i="164" s="1"/>
  <c r="C39" i="164" s="1"/>
  <c r="E18" i="164"/>
  <c r="C18" i="164" s="1"/>
  <c r="G75" i="164"/>
  <c r="E75" i="164" s="1"/>
  <c r="C75" i="164" s="1"/>
  <c r="G70" i="164"/>
  <c r="E70" i="164" s="1"/>
  <c r="C70" i="164" s="1"/>
  <c r="G55" i="164"/>
  <c r="E55" i="164" s="1"/>
  <c r="C55" i="164" s="1"/>
  <c r="G84" i="164"/>
  <c r="E84" i="164" s="1"/>
  <c r="C84" i="164" s="1"/>
  <c r="G60" i="164"/>
  <c r="E60" i="164" s="1"/>
  <c r="C60" i="164" s="1"/>
  <c r="G41" i="240" l="1"/>
  <c r="E41" i="240" s="1"/>
  <c r="C41" i="240" s="1"/>
  <c r="D29" i="142"/>
  <c r="E28" i="142" a="1"/>
  <c r="E28" i="142" s="1"/>
  <c r="D61" i="185" a="1"/>
  <c r="D61" i="185" s="1"/>
  <c r="D60" i="228" a="1"/>
  <c r="D60" i="228" s="1"/>
  <c r="C61" i="228"/>
  <c r="I16" i="185"/>
  <c r="E19" i="185"/>
  <c r="C19" i="185" s="1"/>
  <c r="F78" i="156"/>
  <c r="G77" i="156" a="1"/>
  <c r="G77" i="156" s="1"/>
  <c r="I16" i="228"/>
  <c r="E19" i="228"/>
  <c r="C19" i="228" s="1"/>
  <c r="E78" i="154"/>
  <c r="F77" i="154" a="1"/>
  <c r="F77" i="154" s="1"/>
  <c r="F73" i="206"/>
  <c r="G72" i="206" a="1"/>
  <c r="G72" i="206" s="1"/>
  <c r="F84" i="155" a="1"/>
  <c r="F84" i="155" s="1"/>
  <c r="E85" i="155"/>
  <c r="C63" i="185"/>
  <c r="D62" i="185" a="1"/>
  <c r="D62" i="185" s="1"/>
  <c r="E67" i="183"/>
  <c r="F66" i="183" a="1"/>
  <c r="F66" i="183" s="1"/>
  <c r="E19" i="152"/>
  <c r="C19" i="152" s="1"/>
  <c r="G20" i="152"/>
  <c r="E20" i="152" s="1"/>
  <c r="C20" i="152" s="1"/>
  <c r="E19" i="160"/>
  <c r="C19" i="160" s="1"/>
  <c r="G20" i="160"/>
  <c r="E20" i="160" s="1"/>
  <c r="C20" i="160" s="1"/>
  <c r="E38" i="160"/>
  <c r="C38" i="160" s="1"/>
  <c r="G39" i="160"/>
  <c r="E35" i="156"/>
  <c r="C35" i="156" s="1"/>
  <c r="G37" i="156"/>
  <c r="E28" i="228"/>
  <c r="C28" i="228" s="1"/>
  <c r="G30" i="228"/>
  <c r="G21" i="170"/>
  <c r="E21" i="170" s="1"/>
  <c r="C21" i="170" s="1"/>
  <c r="E20" i="170"/>
  <c r="C20" i="170" s="1"/>
  <c r="G20" i="156"/>
  <c r="E20" i="156" s="1"/>
  <c r="C20" i="156" s="1"/>
  <c r="E19" i="156"/>
  <c r="C19" i="156" s="1"/>
  <c r="G34" i="185"/>
  <c r="E32" i="185"/>
  <c r="C32" i="185" s="1"/>
  <c r="G45" i="155"/>
  <c r="E43" i="155"/>
  <c r="C43" i="155" s="1"/>
  <c r="G43" i="206"/>
  <c r="E35" i="206"/>
  <c r="C35" i="206" s="1"/>
  <c r="C72" i="164"/>
  <c r="G77" i="164"/>
  <c r="C77" i="164" s="1"/>
  <c r="G20" i="151"/>
  <c r="E20" i="151" s="1"/>
  <c r="C20" i="151" s="1"/>
  <c r="E19" i="151"/>
  <c r="C19" i="151" s="1"/>
  <c r="E19" i="206"/>
  <c r="C19" i="206" s="1"/>
  <c r="G20" i="206"/>
  <c r="E20" i="206" s="1"/>
  <c r="C20" i="206" s="1"/>
  <c r="E123" i="164"/>
  <c r="G127" i="164"/>
  <c r="E127" i="164" s="1"/>
  <c r="C127" i="164" s="1"/>
  <c r="K85" i="164"/>
  <c r="E85" i="164" s="1"/>
  <c r="C85" i="164" s="1"/>
  <c r="E81" i="164"/>
  <c r="C81" i="164" s="1"/>
  <c r="G20" i="153"/>
  <c r="E20" i="153" s="1"/>
  <c r="C20" i="153" s="1"/>
  <c r="E19" i="153"/>
  <c r="C19" i="153" s="1"/>
  <c r="G19" i="240"/>
  <c r="E18" i="240"/>
  <c r="C18" i="240" s="1"/>
  <c r="G21" i="154"/>
  <c r="E21" i="154" s="1"/>
  <c r="C21" i="154" s="1"/>
  <c r="E20" i="154"/>
  <c r="C20" i="154" s="1"/>
  <c r="D30" i="142" l="1"/>
  <c r="E29" i="142" a="1"/>
  <c r="E29" i="142" s="1"/>
  <c r="G31" i="185"/>
  <c r="E31" i="185" s="1"/>
  <c r="C31" i="185" s="1"/>
  <c r="I14" i="185"/>
  <c r="E16" i="185"/>
  <c r="C16" i="185" s="1"/>
  <c r="C62" i="228"/>
  <c r="D61" i="228" a="1"/>
  <c r="D61" i="228" s="1"/>
  <c r="F85" i="155" a="1"/>
  <c r="F85" i="155" s="1"/>
  <c r="E86" i="155"/>
  <c r="F86" i="155" s="1" a="1"/>
  <c r="F86" i="155" s="1"/>
  <c r="F74" i="206"/>
  <c r="G74" i="206" s="1" a="1"/>
  <c r="G74" i="206" s="1"/>
  <c r="G73" i="206" a="1"/>
  <c r="G73" i="206" s="1"/>
  <c r="G36" i="206" s="1"/>
  <c r="E36" i="206" s="1"/>
  <c r="C36" i="206" s="1"/>
  <c r="E79" i="154"/>
  <c r="F79" i="154" s="1" a="1"/>
  <c r="F79" i="154" s="1"/>
  <c r="F78" i="154" a="1"/>
  <c r="F78" i="154" s="1"/>
  <c r="I14" i="228"/>
  <c r="E14" i="228" s="1"/>
  <c r="C14" i="228" s="1"/>
  <c r="E16" i="228"/>
  <c r="C16" i="228" s="1"/>
  <c r="G78" i="156" a="1"/>
  <c r="G78" i="156" s="1"/>
  <c r="F79" i="156"/>
  <c r="G79" i="156" s="1" a="1"/>
  <c r="G79" i="156" s="1"/>
  <c r="E68" i="183"/>
  <c r="F67" i="183" a="1"/>
  <c r="F67" i="183" s="1"/>
  <c r="E34" i="185"/>
  <c r="C34" i="185" s="1"/>
  <c r="G34" i="228"/>
  <c r="E34" i="228" s="1"/>
  <c r="C34" i="228" s="1"/>
  <c r="G39" i="156"/>
  <c r="E39" i="156" s="1"/>
  <c r="C39" i="156" s="1"/>
  <c r="E37" i="156"/>
  <c r="C37" i="156" s="1"/>
  <c r="C64" i="185"/>
  <c r="D63" i="185" a="1"/>
  <c r="D63" i="185" s="1"/>
  <c r="I33" i="228"/>
  <c r="E33" i="228" s="1"/>
  <c r="C33" i="228" s="1"/>
  <c r="G32" i="228"/>
  <c r="E32" i="228" s="1"/>
  <c r="C32" i="228" s="1"/>
  <c r="E30" i="228"/>
  <c r="C30" i="228" s="1"/>
  <c r="E39" i="160"/>
  <c r="C39" i="160" s="1"/>
  <c r="G40" i="160"/>
  <c r="E19" i="240"/>
  <c r="C19" i="240" s="1"/>
  <c r="G20" i="240"/>
  <c r="E20" i="240" s="1"/>
  <c r="C20" i="240" s="1"/>
  <c r="E43" i="206"/>
  <c r="C43" i="206" s="1"/>
  <c r="G45" i="206"/>
  <c r="E45" i="206" s="1"/>
  <c r="C45" i="206" s="1"/>
  <c r="E45" i="155"/>
  <c r="C45" i="155" s="1"/>
  <c r="G46" i="155"/>
  <c r="D31" i="142" l="1"/>
  <c r="E31" i="142" s="1" a="1"/>
  <c r="E31" i="142" s="1"/>
  <c r="E30" i="142" a="1"/>
  <c r="E30" i="142" s="1"/>
  <c r="G42" i="154"/>
  <c r="E42" i="154" s="1"/>
  <c r="C42" i="154" s="1"/>
  <c r="C63" i="228"/>
  <c r="D62" i="228" a="1"/>
  <c r="D62" i="228" s="1"/>
  <c r="G31" i="228" s="1"/>
  <c r="E31" i="228" s="1"/>
  <c r="C31" i="228" s="1"/>
  <c r="E14" i="185"/>
  <c r="C14" i="185" s="1"/>
  <c r="Q35" i="185"/>
  <c r="E35" i="185" s="1"/>
  <c r="C35" i="185" s="1"/>
  <c r="Q35" i="228"/>
  <c r="E35" i="228" s="1"/>
  <c r="C35" i="228" s="1"/>
  <c r="G40" i="156"/>
  <c r="E40" i="156" s="1"/>
  <c r="C40" i="156" s="1"/>
  <c r="C65" i="185"/>
  <c r="D64" i="185" a="1"/>
  <c r="D64" i="185" s="1"/>
  <c r="F68" i="183" a="1"/>
  <c r="F68" i="183" s="1"/>
  <c r="E69" i="183"/>
  <c r="F69" i="183" s="1" a="1"/>
  <c r="F69" i="183" s="1"/>
  <c r="G47" i="155"/>
  <c r="E46" i="155"/>
  <c r="C46" i="155" s="1"/>
  <c r="E40" i="160"/>
  <c r="C40" i="160" s="1"/>
  <c r="G41" i="160"/>
  <c r="C64" i="228" l="1"/>
  <c r="D63" i="228" a="1"/>
  <c r="D63" i="228" s="1"/>
  <c r="G36" i="183"/>
  <c r="E36" i="183" s="1"/>
  <c r="C36" i="183" s="1"/>
  <c r="G42" i="160"/>
  <c r="E41" i="160"/>
  <c r="C41" i="160" s="1"/>
  <c r="E47" i="155"/>
  <c r="C47" i="155" s="1"/>
  <c r="G48" i="155"/>
  <c r="C66" i="185"/>
  <c r="D65" i="185" a="1"/>
  <c r="D65" i="185" s="1"/>
  <c r="D64" i="228" l="1" a="1"/>
  <c r="D64" i="228" s="1"/>
  <c r="C65" i="228"/>
  <c r="C67" i="185"/>
  <c r="D66" i="185" a="1"/>
  <c r="D66" i="185" s="1"/>
  <c r="G49" i="155"/>
  <c r="E48" i="155"/>
  <c r="C48" i="155" s="1"/>
  <c r="G43" i="160"/>
  <c r="E42" i="160"/>
  <c r="C42" i="160" s="1"/>
  <c r="D65" i="228" l="1" a="1"/>
  <c r="D65" i="228" s="1"/>
  <c r="C66" i="228"/>
  <c r="E43" i="160"/>
  <c r="C43" i="160" s="1"/>
  <c r="G44" i="160"/>
  <c r="G50" i="155"/>
  <c r="E49" i="155"/>
  <c r="C49" i="155" s="1"/>
  <c r="C68" i="185"/>
  <c r="D67" i="185" a="1"/>
  <c r="D67" i="185" s="1"/>
  <c r="D66" i="228" l="1" a="1"/>
  <c r="D66" i="228" s="1"/>
  <c r="C67" i="228"/>
  <c r="D68" i="185" a="1"/>
  <c r="D68" i="185" s="1"/>
  <c r="C69" i="185"/>
  <c r="G51" i="155"/>
  <c r="E50" i="155"/>
  <c r="C50" i="155" s="1"/>
  <c r="G48" i="160"/>
  <c r="E44" i="160"/>
  <c r="C44" i="160" s="1"/>
  <c r="D67" i="228" l="1" a="1"/>
  <c r="D67" i="228" s="1"/>
  <c r="C68" i="228"/>
  <c r="E48" i="160"/>
  <c r="C48" i="160" s="1"/>
  <c r="I52" i="160"/>
  <c r="E52" i="160" s="1"/>
  <c r="C52" i="160" s="1"/>
  <c r="G49" i="160"/>
  <c r="G57" i="155"/>
  <c r="E51" i="155"/>
  <c r="C51" i="155" s="1"/>
  <c r="C70" i="185"/>
  <c r="D69" i="185" a="1"/>
  <c r="D69" i="185" s="1"/>
  <c r="C69" i="228" l="1"/>
  <c r="D68" i="228" a="1"/>
  <c r="D68" i="228" s="1"/>
  <c r="C71" i="185"/>
  <c r="D70" i="185" a="1"/>
  <c r="D70" i="185" s="1"/>
  <c r="G58" i="155"/>
  <c r="E57" i="155"/>
  <c r="C57" i="155" s="1"/>
  <c r="I62" i="155"/>
  <c r="E62" i="155" s="1"/>
  <c r="C62" i="155" s="1"/>
  <c r="G51" i="160"/>
  <c r="E51" i="160" s="1"/>
  <c r="C51" i="160" s="1"/>
  <c r="E49" i="160"/>
  <c r="C49" i="160" s="1"/>
  <c r="D69" i="228" l="1" a="1"/>
  <c r="D69" i="228" s="1"/>
  <c r="C70" i="228"/>
  <c r="E58" i="155"/>
  <c r="C58" i="155" s="1"/>
  <c r="G60" i="155"/>
  <c r="E60" i="155" s="1"/>
  <c r="C60" i="155" s="1"/>
  <c r="D71" i="185" a="1"/>
  <c r="D71" i="185" s="1"/>
  <c r="C72" i="185"/>
  <c r="D70" i="228" l="1" a="1"/>
  <c r="D70" i="228" s="1"/>
  <c r="C71" i="228"/>
  <c r="C73" i="185"/>
  <c r="D73" i="185" s="1" a="1"/>
  <c r="D73" i="185" s="1"/>
  <c r="D72" i="185" a="1"/>
  <c r="D72" i="185" s="1"/>
  <c r="C72" i="228" l="1"/>
  <c r="D71" i="228" a="1"/>
  <c r="D71" i="228" s="1"/>
  <c r="D72" i="228" l="1" a="1"/>
  <c r="D72" i="228" s="1"/>
  <c r="C73" i="228"/>
  <c r="D73" i="228" s="1" a="1"/>
  <c r="D73" i="2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Reto Schoder:</t>
        </r>
        <r>
          <rPr>
            <sz val="9"/>
            <color indexed="81"/>
            <rFont val="Tahoma"/>
            <family val="2"/>
          </rPr>
          <t xml:space="preserve">
totalbetrag muss angepasst werden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Reto Schoder:</t>
        </r>
        <r>
          <rPr>
            <sz val="9"/>
            <color indexed="81"/>
            <rFont val="Tahoma"/>
            <family val="2"/>
          </rPr>
          <t xml:space="preserve">
bug erfasst. Menupunkt fehlt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0" authorId="0" shapeId="0" xr:uid="{00000000-0006-0000-0400-000001000000}">
      <text/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4" authorId="0" shapeId="0" xr:uid="{F792C39E-6DE2-4896-9BF3-9CCFA51AAD0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optional damit läuft fix auf keyword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4" authorId="0" shapeId="0" xr:uid="{FF87AA4E-4088-445D-BEA1-CA94A6FB49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optional damit läuft fix auf keyword 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7" authorId="0" shapeId="0" xr:uid="{2ABCBBF5-81B0-4078-AF43-2B229CA471A6}">
      <text/>
    </comment>
    <comment ref="G36" authorId="0" shapeId="0" xr:uid="{6C6E1AA1-05B0-4E8C-BED9-9D8F9E7F03A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max 6 Monate im Vouraus?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<sst xmlns="http://schemas.openxmlformats.org/spreadsheetml/2006/main" count="14725" uniqueCount="1769">
  <si>
    <t>StepNumber</t>
  </si>
  <si>
    <t>Action</t>
  </si>
  <si>
    <t>TestData</t>
  </si>
  <si>
    <t>Screenshot</t>
  </si>
  <si>
    <t>video</t>
  </si>
  <si>
    <t>Testresult</t>
  </si>
  <si>
    <t>09.12.2024 10:35:06</t>
  </si>
  <si>
    <t>09.12.2024 11:14:33</t>
  </si>
  <si>
    <t>Hoch</t>
  </si>
  <si>
    <t>04.02.2025 13:50:39</t>
  </si>
  <si>
    <t>28.03.2025 10:25:49</t>
  </si>
  <si>
    <t>31.03.2025 18:57:12</t>
  </si>
  <si>
    <t>01.04.2025 00:27:19</t>
  </si>
  <si>
    <t>01.04.2025 23:50:20</t>
  </si>
  <si>
    <t>09.04.2025</t>
  </si>
  <si>
    <t>09.04.2025 20:54:34</t>
  </si>
  <si>
    <t>25.06.2025 16:52:40</t>
  </si>
  <si>
    <t>25.06.2025 19:45:42</t>
  </si>
  <si>
    <t xml:space="preserve"> 26.06.2025 08:23:51</t>
  </si>
  <si>
    <t>Message 26.06.2025 08:23:51</t>
  </si>
  <si>
    <t>Message 05.07.2025 02:04:53</t>
  </si>
  <si>
    <t>L00_URLAventis</t>
  </si>
  <si>
    <t>E01_Delay</t>
  </si>
  <si>
    <t>{"Pause":"4000"}</t>
  </si>
  <si>
    <t>Referenz</t>
  </si>
  <si>
    <t>M01_LoginMSOnline</t>
  </si>
  <si>
    <t>{"username":"aventis-test-aml@diartis.ch","password":"E7Qr=3cTiz$8Q!","fullname":"Test AmtsleiterIn Aventis","team":"Superuser"}</t>
  </si>
  <si>
    <t>L05_Check_VersionNumber</t>
  </si>
  <si>
    <t>Yes</t>
  </si>
  <si>
    <t>{"username":"</t>
  </si>
  <si>
    <t>Bern.Sachbearbeiterin@diartis.ch</t>
  </si>
  <si>
    <t>","password":"</t>
  </si>
  <si>
    <t>XXxa22?pdTA66-S@</t>
  </si>
  <si>
    <t>","url":</t>
  </si>
  <si>
    <t>p.AventisURL</t>
  </si>
  <si>
    <t>,"version":"</t>
  </si>
  <si>
    <t>2025.4.48-dev</t>
  </si>
  <si>
    <t>"}</t>
  </si>
  <si>
    <t>seriell</t>
  </si>
  <si>
    <t>5 Parallel</t>
  </si>
  <si>
    <t>Schritt eins und 2 sind eigentlich redundant - ist aber brauchbar so</t>
  </si>
  <si>
    <t>10 Parallel</t>
  </si>
  <si>
    <t>20 Parallel</t>
  </si>
  <si>
    <t xml:space="preserve">Versionsnummer muss angepasst werden </t>
  </si>
  <si>
    <t>50 Parallel</t>
  </si>
  <si>
    <t>2024.4.77.62-dev</t>
  </si>
  <si>
    <t>2024.4.77.102-dev</t>
  </si>
  <si>
    <t>2024.4.77.271-dev</t>
  </si>
  <si>
    <t>2024.6.82.143-dev</t>
  </si>
  <si>
    <t>test</t>
  </si>
  <si>
    <t>2024.6.83.16-dev</t>
  </si>
  <si>
    <t>dev</t>
  </si>
  <si>
    <t>2025.1.84.76-dev</t>
  </si>
  <si>
    <t>2025.1.85.55-dev</t>
  </si>
  <si>
    <t>2025.1.85.63-dev</t>
  </si>
  <si>
    <t>2025.1.85.129-dev</t>
  </si>
  <si>
    <t>2025.2.87.104-dev</t>
  </si>
  <si>
    <t>2025.2.88.113-dev</t>
  </si>
  <si>
    <t>2025.3.112-dev</t>
  </si>
  <si>
    <t>Step</t>
  </si>
  <si>
    <t>Keyword</t>
  </si>
  <si>
    <t>Testdata</t>
  </si>
  <si>
    <t xml:space="preserve"> 09.12.2024</t>
  </si>
  <si>
    <t>09.12.2024</t>
  </si>
  <si>
    <t>04.02.2025</t>
  </si>
  <si>
    <t>09.04.2025 14:35:45</t>
  </si>
  <si>
    <t>Message 09.04.2025 14:35:45</t>
  </si>
  <si>
    <t>{"url":"</t>
  </si>
  <si>
    <t>https://dev.aventis.swiss</t>
  </si>
  <si>
    <t>X01_Delete_BrowserCache</t>
  </si>
  <si>
    <t>{"Pause":"400"}</t>
  </si>
  <si>
    <t>bern.sozialarbeiterin1a@diartis.ch</t>
  </si>
  <si>
    <t>SMze97-jkSJ59!F.</t>
  </si>
  <si>
    <t>","fullname":"</t>
  </si>
  <si>
    <t>Sozialarbeiterin 1A Bern</t>
  </si>
  <si>
    <t>","team":"</t>
  </si>
  <si>
    <t>Sozialarbeit Bern 1</t>
  </si>
  <si>
    <t>P01_Person_Search</t>
  </si>
  <si>
    <t>{"name":</t>
  </si>
  <si>
    <t>,"vorname":</t>
  </si>
  <si>
    <t>,"ahvNumber":""</t>
  </si>
  <si>
    <t>,"geburtsdatum":"</t>
  </si>
  <si>
    <t>P05_Person_Create_Manual_Complete</t>
  </si>
  <si>
    <t>,"ahvNumber":</t>
  </si>
  <si>
    <t>,"language":"</t>
  </si>
  <si>
    <t>Deutsch</t>
  </si>
  <si>
    <t>","zivilstand":"</t>
  </si>
  <si>
    <t>ledig</t>
  </si>
  <si>
    <t>","geburtsdatum":</t>
  </si>
  <si>
    <t>,"national":"</t>
  </si>
  <si>
    <t>Schweiz</t>
  </si>
  <si>
    <t>","gender":"</t>
  </si>
  <si>
    <t>männlich</t>
  </si>
  <si>
    <t>","aufenthalt":"</t>
  </si>
  <si>
    <t>P10_Person_Communikation_Complete</t>
  </si>
  <si>
    <t>{"mobile":"</t>
  </si>
  <si>
    <t>","privateNumber":"</t>
  </si>
  <si>
    <t>","email":"</t>
  </si>
  <si>
    <t>5624abc@gmail.com</t>
  </si>
  <si>
    <t>P15_Person_Adress</t>
  </si>
  <si>
    <t>{"zusatz":"</t>
  </si>
  <si>
    <t>","strasse":"</t>
  </si>
  <si>
    <t>","houseNumber":"</t>
  </si>
  <si>
    <t>","ort":"</t>
  </si>
  <si>
    <t>3053 Münchenbuchsee</t>
  </si>
  <si>
    <t>","validDate":"</t>
  </si>
  <si>
    <t>P20_Person_ZahlungsVerbindung</t>
  </si>
  <si>
    <t>{"iban":</t>
  </si>
  <si>
    <t>p.IBAN1</t>
  </si>
  <si>
    <t>}</t>
  </si>
  <si>
    <t>P30_Person_Uebernehmen</t>
  </si>
  <si>
    <t>H01_Haushalt_Uebernehmen_Zustaendigkeit</t>
  </si>
  <si>
    <t>{"zust_Gemeinde":"</t>
  </si>
  <si>
    <t>Münchenbuchsee</t>
  </si>
  <si>
    <t>","zust_SozTeam":"</t>
  </si>
  <si>
    <t>","zust_SozMitarbeiter":"</t>
  </si>
  <si>
    <t>Bern Sozialarbeiterin 1A</t>
  </si>
  <si>
    <t>","zust_SachbTeam":"</t>
  </si>
  <si>
    <t>Sachbearbeitung Bern</t>
  </si>
  <si>
    <t>","zust_SachbMitarbeiter":"</t>
  </si>
  <si>
    <t>Bern Sachbearbeiterin</t>
  </si>
  <si>
    <t>QA</t>
  </si>
  <si>
    <t>D01_Dossier_Eroeffnen</t>
  </si>
  <si>
    <t>{"dossierBezeichnung":</t>
  </si>
  <si>
    <t>,"eroeffnetAm":"</t>
  </si>
  <si>
    <t>","dossierSprache":"</t>
  </si>
  <si>
    <t>{"Pause":"1000"}</t>
  </si>
  <si>
    <t>BW04_ZahlungsVerbindung_Freigeben</t>
  </si>
  <si>
    <t>{"dossierInstitution":</t>
  </si>
  <si>
    <t>,"klientschaft":`</t>
  </si>
  <si>
    <t>`,"buttonBewilligung":"</t>
  </si>
  <si>
    <t>Anfragen</t>
  </si>
  <si>
    <t>","checkStatus":"</t>
  </si>
  <si>
    <t>In Bearbeitung</t>
  </si>
  <si>
    <t>L03_LogoutAndLoginDiffAccount</t>
  </si>
  <si>
    <t>{"Pause":"5000"}</t>
  </si>
  <si>
    <t>Bewilligen</t>
  </si>
  <si>
    <t>Bewilligt</t>
  </si>
  <si>
    <t>{"username":"bern.sozialarbeiterin1a@diartis.ch","password":"SMze97-jkSJ59!F."}</t>
  </si>
  <si>
    <t>DO11_Dossier_Search_Lupe</t>
  </si>
  <si>
    <t>{"searchDossierOrKlient":</t>
  </si>
  <si>
    <t>,"resultType":"</t>
  </si>
  <si>
    <t>Dossiers</t>
  </si>
  <si>
    <t>WO32_01b_Wohnsituation_Haushalt_Wohnung_anpassen</t>
  </si>
  <si>
    <t>{"vermieter":"</t>
  </si>
  <si>
    <t>Graber Immobilien</t>
  </si>
  <si>
    <t>","wohnungsgrosse":"</t>
  </si>
  <si>
    <t>4 Zimmer</t>
  </si>
  <si>
    <t>","mietkosten":</t>
  </si>
  <si>
    <t>,"nebenkosten":</t>
  </si>
  <si>
    <t>WO30_Wohnsituation_Haushalt_Person_Hinzufuegen</t>
  </si>
  <si>
    <t>,"geburtsdatum":</t>
  </si>
  <si>
    <t>,"personInhausltVon":"</t>
  </si>
  <si>
    <t>","inHauslt":"</t>
  </si>
  <si>
    <t>Übernehmen</t>
  </si>
  <si>
    <t>","ereignis":"</t>
  </si>
  <si>
    <t>Eheschliessung</t>
  </si>
  <si>
    <t>Geburt</t>
  </si>
  <si>
    <t>KL01_Klientschaft_select</t>
  </si>
  <si>
    <t>{"dossier":</t>
  </si>
  <si>
    <t>`}</t>
  </si>
  <si>
    <t>KL03_ErwerbsituationEinnahmen_Lohn_erfassen</t>
  </si>
  <si>
    <t>{</t>
  </si>
  <si>
    <t>"zahlbarDurch":"</t>
  </si>
  <si>
    <t>BKW Energie AG</t>
  </si>
  <si>
    <t>","pensumm":"</t>
  </si>
  <si>
    <t>","betrag":"</t>
  </si>
  <si>
    <t>","gueltigVon":"</t>
  </si>
  <si>
    <t>","gueltigBis":"</t>
  </si>
  <si>
    <t>","checkbox":"</t>
  </si>
  <si>
    <t>x</t>
  </si>
  <si>
    <t>KL0X_ErwerbsituationEinnahmen_erfassen</t>
  </si>
  <si>
    <t>`,"topMenu":"</t>
  </si>
  <si>
    <t>Erwerbseinkommen</t>
  </si>
  <si>
    <t>","subMenu":"</t>
  </si>
  <si>
    <t>Unselbständiges Erwerbseinkommen</t>
  </si>
  <si>
    <t>","zahlbarDurch":"</t>
  </si>
  <si>
    <t>Berner Schuldenberatung</t>
  </si>
  <si>
    <t>","13Ja":"</t>
  </si>
  <si>
    <t>","schweregrad":"</t>
  </si>
  <si>
    <t>A01_AnspruchPruefung_Bedarfspruefung</t>
  </si>
  <si>
    <t>{"entscheidVom":"</t>
  </si>
  <si>
    <t>","begrundung":"</t>
  </si>
  <si>
    <t>Gar keine Begründung</t>
  </si>
  <si>
    <t>","unterstutzungab":"</t>
  </si>
  <si>
    <t>R01_Rahmenbudget_Wohnkosten_Anpassen_V2</t>
  </si>
  <si>
    <t>{"ubernahmeWohnkostenCFH":"</t>
  </si>
  <si>
    <t>","uebernahmeWohnkostenVon":"</t>
  </si>
  <si>
    <t>","uebernahmeWohnkostenBis":"</t>
  </si>
  <si>
    <t>","uebernahemBegruendung":"</t>
  </si>
  <si>
    <t>Die Wohnungen sind teuer hier</t>
  </si>
  <si>
    <t>BW01_Bewilligungs_Workflow_LeistungsEntscheid</t>
  </si>
  <si>
    <t>{"lEvonDate":"</t>
  </si>
  <si>
    <t>","lEbisDate":"</t>
  </si>
  <si>
    <t>{"Pause":"3000"}</t>
  </si>
  <si>
    <t>aventis-gemeinde-ma@diartis.ch</t>
  </si>
  <si>
    <t>#xFymiADPk7wJG/FWMz</t>
  </si>
  <si>
    <t>BW02b_Bewilligungs_Workflow_Step_V2</t>
  </si>
  <si>
    <t>,"buttonName":"</t>
  </si>
  <si>
    <t>Prüfung OK</t>
  </si>
  <si>
    <t>BW03b_Bewilligungs_WF_FreigabeVerwendungsPeriode</t>
  </si>
  <si>
    <t>{"verwendungPeriode":"</t>
  </si>
  <si>
    <t>","status":"</t>
  </si>
  <si>
    <t>Zu bezahlen</t>
  </si>
  <si>
    <t xml:space="preserve">"}																				
</t>
  </si>
  <si>
    <t>WSH05_Haftung_Sozialhilfeschuld_Bearbeiten</t>
  </si>
  <si>
    <t>{"haftungsType":"</t>
  </si>
  <si>
    <t>Einseitige Solidarhaftung erfassen</t>
  </si>
  <si>
    <t>","haftungDurch":`</t>
  </si>
  <si>
    <t>`,"haftungVon":"</t>
  </si>
  <si>
    <t>","haftungBis":"</t>
  </si>
  <si>
    <t>","haftungFuer":`</t>
  </si>
  <si>
    <t>`,"person1":"</t>
  </si>
  <si>
    <t>","person2":"</t>
  </si>
  <si>
    <t>Einzelhaftung erfassen</t>
  </si>
  <si>
    <t>{"Pause":"2000"}</t>
  </si>
  <si>
    <t>A00_BrowserRefresh_F5</t>
  </si>
  <si>
    <t>Z01_WSH_Zahlungen_Freigeben</t>
  </si>
  <si>
    <t>,"freigegebeneZahlungen":"</t>
  </si>
  <si>
    <t>Bern.Buchhalter@diartis.ch</t>
  </si>
  <si>
    <t>HBcc73+ppTX42?E.</t>
  </si>
  <si>
    <t>BU01_ZahlungsAuftrag_Erstellen</t>
  </si>
  <si>
    <t>{"bisValutaDatum":"</t>
  </si>
  <si>
    <t>31.12.2024</t>
  </si>
  <si>
    <t>","dossier":</t>
  </si>
  <si>
    <t>,"zahlungenTotal":"</t>
  </si>
  <si>
    <t>","buchhaltung":`</t>
  </si>
  <si>
    <t>Regionaler Sozialdienst "Bern"</t>
  </si>
  <si>
    <t>`,"zustGemeinde":"</t>
  </si>
  <si>
    <t>WSH99_Zahlungen_AnzahlPruefen</t>
  </si>
  <si>
    <t>,"ausgefuehrteZahlungen":"</t>
  </si>
  <si>
    <t>{"url":p.aventisURL}</t>
  </si>
  <si>
    <t>wird nicht geprüft</t>
  </si>
  <si>
    <t>{"url":"https://dev.aventis.swiss"}</t>
  </si>
  <si>
    <t>{"url":"http://localhost/"}</t>
  </si>
  <si>
    <t>{"url":"https://test.aventis.swiss"}</t>
  </si>
  <si>
    <t>Dossier</t>
  </si>
  <si>
    <t>Mann</t>
  </si>
  <si>
    <t>Familie</t>
  </si>
  <si>
    <t>IBAN CH16 0631 3640 3055 6467 2</t>
  </si>
  <si>
    <t>Achtung Formeln</t>
  </si>
  <si>
    <t>Oktober 2024</t>
  </si>
  <si>
    <t>November 2024</t>
  </si>
  <si>
    <t>Dezember 2024</t>
  </si>
  <si>
    <t>Januar 2025</t>
  </si>
  <si>
    <t xml:space="preserve">Achtung Formeln </t>
  </si>
  <si>
    <t>Februar 2025</t>
  </si>
  <si>
    <t>März 2025</t>
  </si>
  <si>
    <t>April 2025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</si>
  <si>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</si>
  <si>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</si>
  <si>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</si>
  <si>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</si>
  <si>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</si>
  <si>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</si>
  <si>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</si>
  <si>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</si>
  <si>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</si>
  <si>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</si>
  <si>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</si>
  <si>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</si>
  <si>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22.01.2025 16:03:32</t>
  </si>
  <si>
    <t>28.03.2025 00:30:07</t>
  </si>
  <si>
    <t>yes</t>
  </si>
  <si>
    <t>1788abc@gmail.com</t>
  </si>
  <si>
    <t>{"iban":"CH89 30005202 11491010 B"}</t>
  </si>
  <si>
    <t>MOD(97 - MOD(VALUE(CONCAT(VALUE(MID(A3, 5, LEN(A3)-4) &amp; "121700")), ""), 97), 97)</t>
  </si>
  <si>
    <t>Graber Immobilien, 3000 Bern</t>
  </si>
  <si>
    <t>{"panelTitle":"</t>
  </si>
  <si>
    <t>Erwerbssituation / Einnahmen</t>
  </si>
  <si>
    <t>BKW Energie AG, 3013 Bern</t>
  </si>
  <si>
    <t>01.01.2024</t>
  </si>
  <si>
    <t>{"Pause":"10"}</t>
  </si>
  <si>
    <t>BW02_Bewilligungs_Workflow_Step</t>
  </si>
  <si>
    <t>BW03_Bewilligungs_WF_FreigabeVerwendungsPeriode</t>
  </si>
  <si>
    <t>,"verwendungPeriode":"</t>
  </si>
  <si>
    <t>September 2024</t>
  </si>
  <si>
    <t>August 2024</t>
  </si>
  <si>
    <t>Juli 2024</t>
  </si>
  <si>
    <t>,"checkZahlungTotal":"</t>
  </si>
  <si>
    <t>{"Pause":"6000"}</t>
  </si>
  <si>
    <t>09.12.2024 09:30:08</t>
  </si>
  <si>
    <t>09.12.2024 17:42:05</t>
  </si>
  <si>
    <t>17.04.2025 08:35:16</t>
  </si>
  <si>
    <t>17.04.2025 08:38:48</t>
  </si>
  <si>
    <t>5057abc@gmail.com</t>
  </si>
  <si>
    <t>p.IBAN2</t>
  </si>
  <si>
    <t>{"Pause":"100"}</t>
  </si>
  <si>
    <t>CHF 11’918.00</t>
  </si>
  <si>
    <t>AT62 6000 0000 0241 1037</t>
  </si>
  <si>
    <t>CH34 3002 4503 9695 7511 8</t>
  </si>
  <si>
    <t>läuft aber mit Resultatprüfung happert es auf test.</t>
  </si>
  <si>
    <t>Iban</t>
  </si>
  <si>
    <t>Kontonummer</t>
  </si>
  <si>
    <t>TestCaseNumber</t>
  </si>
  <si>
    <t>BLZ</t>
  </si>
  <si>
    <t>00789</t>
  </si>
  <si>
    <t>Land</t>
  </si>
  <si>
    <t>CH</t>
  </si>
  <si>
    <t>Länderkennung Code</t>
  </si>
  <si>
    <t>BLZKontonummer</t>
  </si>
  <si>
    <t>Prüfzahl</t>
  </si>
  <si>
    <t>9 Ziffen Vorne</t>
  </si>
  <si>
    <t>9  Ziffern Hinten</t>
  </si>
  <si>
    <t>1 Ziffer mitte</t>
  </si>
  <si>
    <t>a</t>
  </si>
  <si>
    <t>CH17 0900 0000 8937 3669 4</t>
  </si>
  <si>
    <t>CH16 0900 0000 8000 0541 8</t>
  </si>
  <si>
    <t>s</t>
  </si>
  <si>
    <t>CH92 8148 7000 0436 5611 1</t>
  </si>
  <si>
    <t>CH91 0076 1016 0932 1311 2</t>
  </si>
  <si>
    <t>CH92 0900 0000 1591 5958 2</t>
  </si>
  <si>
    <t>c</t>
  </si>
  <si>
    <t>CH25 0900 0000 6000 7787 7</t>
  </si>
  <si>
    <t>CH77 0900 0000 8750 3770 0</t>
  </si>
  <si>
    <t>DE94 6837 0024 0080 4823 00</t>
  </si>
  <si>
    <t>CH76 0698 0605 1985 0454 2</t>
  </si>
  <si>
    <t>CH18 8080 8007 8518 8186 6</t>
  </si>
  <si>
    <t>CH78 0900 0000 8521 9301 8</t>
  </si>
  <si>
    <t>9728abc@gmail.com</t>
  </si>
  <si>
    <t>p.IBAN3</t>
  </si>
  <si>
    <t>p.DossierName3</t>
  </si>
  <si>
    <t xml:space="preserve">aktueller monat </t>
  </si>
  <si>
    <t>plus 7 Monat</t>
  </si>
  <si>
    <t>28.03.2025 07:14:49</t>
  </si>
  <si>
    <t>8205abc@gmail.com</t>
  </si>
  <si>
    <t>{"iban":"CH21 0078 9100 0000 2920 0"}</t>
  </si>
  <si>
    <t>31.12.2026</t>
  </si>
  <si>
    <t>Video</t>
  </si>
  <si>
    <t xml:space="preserve"> 09.12.2024 09:30:08</t>
  </si>
  <si>
    <t>1704abc@gmail.com</t>
  </si>
  <si>
    <t>3302 Moosseedorf</t>
  </si>
  <si>
    <t>Moosseedorf</t>
  </si>
  <si>
    <t>p.DossierName5</t>
  </si>
  <si>
    <t>{"Pause":"7000"}</t>
  </si>
  <si>
    <t>{"dossierInstitution":`</t>
  </si>
  <si>
    <t>`,"klientschaft":`</t>
  </si>
  <si>
    <t>DO04_Aufgabe_erfassen</t>
  </si>
  <si>
    <t>{"aufgabenStatus":"</t>
  </si>
  <si>
    <t>Nicht begonnen</t>
  </si>
  <si>
    <t>","aufgabenTitel":"</t>
  </si>
  <si>
    <t>","faelligkeitDatum":"</t>
  </si>
  <si>
    <t>12.12.2024</t>
  </si>
  <si>
    <t>","zugewiesenAn":"</t>
  </si>
  <si>
    <t>Bern Sozialarbeiterin 1B</t>
  </si>
  <si>
    <t>","check":"</t>
  </si>
  <si>
    <t>13.12.2024</t>
  </si>
  <si>
    <t>14.12.2024</t>
  </si>
  <si>
    <t>{"dossier":`</t>
  </si>
  <si>
    <t>KL10_Krankenversicherungen_VVG_erfassen</t>
  </si>
  <si>
    <t>{"Klientschaft":`</t>
  </si>
  <si>
    <t>`,"Gueltigkeit":"</t>
  </si>
  <si>
    <t>","KKasse":"</t>
  </si>
  <si>
    <t>Arcosana AG</t>
  </si>
  <si>
    <t>","VersNummer":"</t>
  </si>
  <si>
    <t>","GrundPraemie":"</t>
  </si>
  <si>
    <t>","ZahnInklusive":"</t>
  </si>
  <si>
    <t>ja</t>
  </si>
  <si>
    <t>","Franchise":"</t>
  </si>
  <si>
    <t>","Bemerkung":"</t>
  </si>
  <si>
    <t>Test</t>
  </si>
  <si>
    <t>KL11b_Krankenversicherungen_KVG_erfassen</t>
  </si>
  <si>
    <t>{"klientschaft":`</t>
  </si>
  <si>
    <t>`,"gueltigkeit":"</t>
  </si>
  <si>
    <t>","kKasse":"</t>
  </si>
  <si>
    <t>","versNummer":"</t>
  </si>
  <si>
    <t>","grundPraemie":"</t>
  </si>
  <si>
    <t>","unfall":"</t>
  </si>
  <si>
    <t>","franchise":"</t>
  </si>
  <si>
    <t>","bemerkung":"</t>
  </si>
  <si>
    <t>","IPV":</t>
  </si>
  <si>
    <t>,"police":"</t>
  </si>
  <si>
    <t>c:/temp/KrankenVersicherungPolice.docx</t>
  </si>
  <si>
    <t>PH01_JournalEintrag_erfassen</t>
  </si>
  <si>
    <t>{"titel":"</t>
  </si>
  <si>
    <t>Ein nettes Gespräch</t>
  </si>
  <si>
    <t>","erstelltAm":"</t>
  </si>
  <si>
    <t>","jurnalArt":"</t>
  </si>
  <si>
    <t>Gespräch</t>
  </si>
  <si>
    <t>","thema":"</t>
  </si>
  <si>
    <t>Bildung</t>
  </si>
  <si>
    <t>","relevantSanktion":"</t>
  </si>
  <si>
    <t>","interneVerwendung":"</t>
  </si>
  <si>
    <t>","teilnehmende":`</t>
  </si>
  <si>
    <t>"Adrian Messerli"</t>
  </si>
  <si>
    <t>`,"betroffene":`</t>
  </si>
  <si>
    <t>${p.FamilyName5}, ${p.ManFirstName5}</t>
  </si>
  <si>
    <t>`,"notiz":"</t>
  </si>
  <si>
    <t>so was</t>
  </si>
  <si>
    <t>C:/temp/JournalEintrag.docx</t>
  </si>
  <si>
    <t>Ein Mail ohne Inhalt</t>
  </si>
  <si>
    <t>Mail</t>
  </si>
  <si>
    <t>${p.FamilyName5}, ${p.ManFirstName6}</t>
  </si>
  <si>
    <t>Ein Telefon über das Wetter</t>
  </si>
  <si>
    <t>Telefon</t>
  </si>
  <si>
    <t>Eine unerwartete Notiz</t>
  </si>
  <si>
    <t>Notiz</t>
  </si>
  <si>
    <t>Situaion ist gut</t>
  </si>
  <si>
    <t>Situationsbeschrieb</t>
  </si>
  <si>
    <t>Das Telefon klingelt</t>
  </si>
  <si>
    <t>Das ist anders als erwaret</t>
  </si>
  <si>
    <t>Andere</t>
  </si>
  <si>
    <t>Ein erwärmendes Gespräche</t>
  </si>
  <si>
    <t>Ein neues Mail</t>
  </si>
  <si>
    <t>Ein weiteres Telefon</t>
  </si>
  <si>
    <t>Eine tolle Notiz</t>
  </si>
  <si>
    <t>Oh so war es</t>
  </si>
  <si>
    <t>{"searchDossierOrKlient":`</t>
  </si>
  <si>
    <t>`,"resultType":"</t>
  </si>
  <si>
    <t>PH04_Ziele_erfassen</t>
  </si>
  <si>
    <t>{"Titel":"</t>
  </si>
  <si>
    <t>Alles ist ein Ziel 1</t>
  </si>
  <si>
    <t>","ZielVom":"</t>
  </si>
  <si>
    <t>","FristBis":"</t>
  </si>
  <si>
    <t>","Mitarbeiter":"</t>
  </si>
  <si>
    <t>","Klientschaft":`</t>
  </si>
  <si>
    <t>`,"Thema":"</t>
  </si>
  <si>
    <t>","Status":"</t>
  </si>
  <si>
    <t>offen</t>
  </si>
  <si>
    <t>","Beschreibung":"</t>
  </si>
  <si>
    <t>Ein kleiner Text</t>
  </si>
  <si>
    <t>","ErwarteteHandlung":"</t>
  </si>
  <si>
    <t>Eine wichtige Handlung</t>
  </si>
  <si>
    <t>","BeschaeftigungsMassnahme":"</t>
  </si>
  <si>
    <t>","Partner":"</t>
  </si>
  <si>
    <t>AFOREM</t>
  </si>
  <si>
    <t>PH05_Zielvereinbarung_ohneWorkflow_erfassen</t>
  </si>
  <si>
    <t>`,"bemerkung":"</t>
  </si>
  <si>
    <t>Wichtige Bemerkung</t>
  </si>
  <si>
    <t>","zugeZielTitelSelect":"</t>
  </si>
  <si>
    <t>","unterzeichnZielvereinbarungPfad":"</t>
  </si>
  <si>
    <t>Alles ist ein Ziel 2</t>
  </si>
  <si>
    <t>Wichtige Bemerkung 1</t>
  </si>
  <si>
    <t>Alles ist ein Ziel 3</t>
  </si>
  <si>
    <t>Wichtige Bemerkung 2</t>
  </si>
  <si>
    <t>Alles ist ein Ziel 4</t>
  </si>
  <si>
    <t>Wichtige Bemerkung 3</t>
  </si>
  <si>
    <t>Alles ist ein Ziel 5</t>
  </si>
  <si>
    <t>Wichtige Bemerkung 4</t>
  </si>
  <si>
    <t>H04_Dokumente_ausVorlage_erstellen_IIS_Form</t>
  </si>
  <si>
    <t>{"vorlage":"</t>
  </si>
  <si>
    <t>IIZ Formular - Deutsch</t>
  </si>
  <si>
    <t>","titel":"</t>
  </si>
  <si>
    <t>Wunderbar</t>
  </si>
  <si>
    <t>","klient":`</t>
  </si>
  <si>
    <t>`,"adresse":"</t>
  </si>
  <si>
    <t>Wohnsituation: Strasse_906 7, 3302 Moosseedorf</t>
  </si>
  <si>
    <t>Wunder 2 ist alles schön</t>
  </si>
  <si>
    <t>U01_Bezugsperson_erfassen</t>
  </si>
  <si>
    <t>p.DossierName1</t>
  </si>
  <si>
    <t>,"name":"</t>
  </si>
  <si>
    <t>Moser</t>
  </si>
  <si>
    <t>","vorname":"</t>
  </si>
  <si>
    <t>Luici</t>
  </si>
  <si>
    <t>","rolle":"</t>
  </si>
  <si>
    <t>Clown</t>
  </si>
  <si>
    <t>","zusatz":"</t>
  </si>
  <si>
    <t>Strassenweg</t>
  </si>
  <si>
    <t>","hausNummer":"</t>
  </si>
  <si>
    <t>","Ort":"</t>
  </si>
  <si>
    <t>4566 Halten</t>
  </si>
  <si>
    <t>{"Pause":"8000"}</t>
  </si>
  <si>
    <t>U01b_Bezugsperson_ZahlVerbindung_erfassen</t>
  </si>
  <si>
    <t>`,"bezPerson":"</t>
  </si>
  <si>
    <t>Moser, Luici</t>
  </si>
  <si>
    <t>","IBAN":"</t>
  </si>
  <si>
    <t>CH21 0078 9100 0000 2920 0</t>
  </si>
  <si>
    <t>08.04.2024</t>
  </si>
  <si>
    <t>Weg</t>
  </si>
  <si>
    <t>","nummer":"</t>
  </si>
  <si>
    <t>","postfach":"</t>
  </si>
  <si>
    <t>","datei":"</t>
  </si>
  <si>
    <t>C:/temp/test.docx</t>
  </si>
  <si>
    <t>{"Pause":"15000"}</t>
  </si>
  <si>
    <t>U01c_Bezugsperson_ZahlVerbindung_freigeben</t>
  </si>
  <si>
    <t>Error: locator.click: Test timeout of 800000ms exceeded.Call log:  [2m- waiting for getByRole('button', { name: 'Prüfung OK' })[22m
Video: C:\KeyWordAventis\Key005\Aventis_Playwright\test-results\videos\50DossierKVGVVG-05-05-Microsoft-Edge\video.webm</t>
  </si>
  <si>
    <t>`,"buttonName":"</t>
  </si>
  <si>
    <t>{"Pause":"14000"}</t>
  </si>
  <si>
    <t>{"Pause":"12000"}</t>
  </si>
  <si>
    <t>`,"freigegebeneZahlungen":"</t>
  </si>
  <si>
    <t>","dossier":`</t>
  </si>
  <si>
    <t>`,"checkZahlungTotal":"</t>
  </si>
  <si>
    <t>","buchhaltung":"</t>
  </si>
  <si>
    <t>Regionaler Sozialdienst</t>
  </si>
  <si>
    <t>","zustGemeinde":"</t>
  </si>
  <si>
    <t>`,"ausgefuehrteZahlungen":"</t>
  </si>
  <si>
    <t>RandomStart</t>
  </si>
  <si>
    <t>nj</t>
  </si>
  <si>
    <t>09.12.2024 10:55:11</t>
  </si>
  <si>
    <t>09.12.2024 14:55:44</t>
  </si>
  <si>
    <t>A01b_Zu_AnsprPruef_Bedarfspruef_ChecklistErgaenzen</t>
  </si>
  <si>
    <t>{"bedarfsPrDate":"</t>
  </si>
  <si>
    <t>${p.FamilyName1}, ${p.ManFirstName1}</t>
  </si>
  <si>
    <t>`,"thema":"</t>
  </si>
  <si>
    <t>Ausbildung</t>
  </si>
  <si>
    <t>","unterLagen":"</t>
  </si>
  <si>
    <t>Studien / Ausbildungsbestätigung</t>
  </si>
  <si>
    <t>vorhanden</t>
  </si>
  <si>
    <t>keine</t>
  </si>
  <si>
    <t>Error: locator.click: Target page, context or browser has been closedCall log:[2m  - waiting for locator('mat-expansion-panel-header:has-text(\'25.06.2025\')').getByRole('button', { name: /Bearbeiten|Modifier/i }).last()[22m
Video: C:\KeyWordAventis\Key005\Aventis_Playwright\test-results\videos\006_KeyWords_Smoketest-A01b-A01b-Microsoft-Edge\video.webm</t>
  </si>
  <si>
    <t>Error: locator.click: Target page, context or browser has been closedCall log:[2m  - waiting for locator('mat-expansion-panel-header:has-text(\'04.07.2025\')').getByRole('button', { name: /Bearbeiten|Modifier/i }).last()[22m
Video: C:\KeyWordAventis\Key005\Aventis_Playwright\test-results\videos\006_KeyWords_Smoketest-A01b-A01b-Microsoft-Edge\video.webm</t>
  </si>
  <si>
    <t>Versicherungen</t>
  </si>
  <si>
    <t>Krankenkassenpolicen (KVG und VVG)</t>
  </si>
  <si>
    <t>einzureichen</t>
  </si>
  <si>
    <t>Vermögen / Schulden</t>
  </si>
  <si>
    <t>Bank- und Postkontoauszüge</t>
  </si>
  <si>
    <t>nicht relevant</t>
  </si>
  <si>
    <t>Prüfen ob die Einträge auf den Dossier noch vorhanden ist … test ist ok aber ich sehe das Resultat nicht</t>
  </si>
  <si>
    <t>achtung mit den Filtern, die blenden dann alles aus</t>
  </si>
  <si>
    <t>A01c_Zu_AnsprPruef_Bedarfspruef_ChecklistNichtRelevant</t>
  </si>
  <si>
    <t>Error: locator.click: Target page, context or browser has been closedCall log:[2m  - waiting for locator('mat-expansion-panel-header:has-text(\'25.06.2025\')').getByRole('button', { name: /Bearbeiten|Modifier/i }).last()[22m
Video: C:\KeyWordAventis\Key005\Aventis_Playwright\test-results\videos\006_KeyWords_Smoketest-A01c-A01c-Microsoft-Edge\video.webm</t>
  </si>
  <si>
    <t>Error: locator.click: Target page, context or browser has been closedCall log:[2m  - waiting for locator('mat-expansion-panel-header:has-text(\'04.07.2025\')').getByRole('button', { name: /Bearbeiten|Modifier/i }).last()[22m
Video: C:\KeyWordAventis\Key005\Aventis_Playwright\test-results\videos\006_KeyWords_Smoketest-A01c-A01c-Microsoft-Edge\video.webm</t>
  </si>
  <si>
    <t>A02_AnspruchPruefung_Bedarfspruefung_FEV</t>
  </si>
  <si>
    <t>p.DossierName2</t>
  </si>
  <si>
    <t>,"entscheidVon":"</t>
  </si>
  <si>
    <t>","begruendung":"</t>
  </si>
  <si>
    <t>","unterstuetzungAb":"</t>
  </si>
  <si>
    <t>","kontoVerbindung":`</t>
  </si>
  <si>
    <t>${p.FamilyName2}, ${p.ManFirstName2}</t>
  </si>
  <si>
    <t>doppelt verwendete Kontenverbindung in Klärung was der Grund ist</t>
  </si>
  <si>
    <t xml:space="preserve">Geklärt .. Das konto wird mit Klienten gemeinsam angelegt .. </t>
  </si>
  <si>
    <t xml:space="preserve">Datenanlage mit neuer Kontnummer aus dem Internet .. </t>
  </si>
  <si>
    <t>Verhält sich komisch .. Failes obwohl ok</t>
  </si>
  <si>
    <t>Bug erfasst</t>
  </si>
  <si>
    <t>FE01_FEV_BudgetPosition_New</t>
  </si>
  <si>
    <t>,"konto":"</t>
  </si>
  <si>
    <t>3002 Elektrizität</t>
  </si>
  <si>
    <t>","beschreibung":"</t>
  </si>
  <si>
    <t>BKW Rechnung Strom</t>
  </si>
  <si>
    <t>","betragMonatl":</t>
  </si>
  <si>
    <t>,"geplantAb":"</t>
  </si>
  <si>
    <t>","geplantBis":"</t>
  </si>
  <si>
    <t>","zahlMethode":"</t>
  </si>
  <si>
    <t>Wiederkehrende Zahlung</t>
  </si>
  <si>
    <t>","zahlungsEmpfang":"</t>
  </si>
  <si>
    <t>","zahlungsVerbindung":"</t>
  </si>
  <si>
    <t>BKW Energie AG CH19 3000 0001 3069 3796 2 @PostFinance AG</t>
  </si>
  <si>
    <t>","periode":"</t>
  </si>
  <si>
    <t>Halbmonatlich</t>
  </si>
  <si>
    <t>","referenzScor":"</t>
  </si>
  <si>
    <t>45 03000 00041 14845 05343 74019</t>
  </si>
  <si>
    <t>","mitteilung":"</t>
  </si>
  <si>
    <t>Dies ist eine ganz lange Mitteilung welche völlig unnötig ist und 140 Zeichen enthalten wird dies werde ich aber nicht ausprobieren, oder do</t>
  </si>
  <si>
    <t>3000 Miete und Nebenkosten</t>
  </si>
  <si>
    <t>Miete und Nebenkosten vom Lohn</t>
  </si>
  <si>
    <t>Klientschaft</t>
  </si>
  <si>
    <t>Monatlich</t>
  </si>
  <si>
    <t>nicht alle möglichkeiten werden abgedeckt .. Anpassen des Keywords für zahlung Dritte dauerzahlung</t>
  </si>
  <si>
    <t>FE02_FEV_Budget_Anzeige</t>
  </si>
  <si>
    <t>,"beschreibung":"</t>
  </si>
  <si>
    <t>","zahlEmpf":"</t>
  </si>
  <si>
    <t>","zahlMeth":"</t>
  </si>
  <si>
    <t>","konto":"</t>
  </si>
  <si>
    <t>","gueltigkeit":"</t>
  </si>
  <si>
    <t>","zahlVerbinudung":`</t>
  </si>
  <si>
    <t>`,"periode":"</t>
  </si>
  <si>
    <t>","betrag":</t>
  </si>
  <si>
    <t>,"total":</t>
  </si>
  <si>
    <t>error on  check value</t>
  </si>
  <si>
    <t>Prüfen auf das Datum oder Periode ist etwas schwierig wegen der Formatierung</t>
  </si>
  <si>
    <t>2. Position wird überprüft</t>
  </si>
  <si>
    <t>Bank Name wird nicht mitgegeben  - nun wenn bankname dabei geht nicht mehr</t>
  </si>
  <si>
    <t>ev. Prüfen ob wenn gueltigkeit leer ob geht - ok</t>
  </si>
  <si>
    <t xml:space="preserve">klick auf spaltenselektor dann geht </t>
  </si>
  <si>
    <t>Keyword CHECK</t>
  </si>
  <si>
    <t>variable spelling wrong</t>
  </si>
  <si>
    <t>FE03_FEV_Zahlungen_freigeben</t>
  </si>
  <si>
    <t>,"ausgewaehltePosSum":"</t>
  </si>
  <si>
    <t>"} </t>
  </si>
  <si>
    <t>ohne Geld auf dem Konto können keine Zahlungen freigegeben werden</t>
  </si>
  <si>
    <t>wie Konto füllen ?</t>
  </si>
  <si>
    <t>Lohneingang ?</t>
  </si>
  <si>
    <t>Message</t>
  </si>
  <si>
    <t>AN01_Soforthilfe_erfassen</t>
  </si>
  <si>
    <t>,"expectedErrorContains":"</t>
  </si>
  <si>
    <t>Für dieses Dossier kann keine Soforthilfe mehr erfasst werden, da bereits WSH-Leistungen vorhanden sind.</t>
  </si>
  <si>
    <t>","klientschaft":"</t>
  </si>
  <si>
    <t>","Zahlungsverbindung":"</t>
  </si>
  <si>
    <t>","klientschaft":`</t>
  </si>
  <si>
    <t>`,"Zahlungsverbindung":"</t>
  </si>
  <si>
    <t>Barzahlung</t>
  </si>
  <si>
    <t>`,"Zahlungsverbindung":`</t>
  </si>
  <si>
    <t>${p.FamilyName2}, ${p.ManFirstName2} - ${p.IBAN2}</t>
  </si>
  <si>
    <t>`,"betrag":</t>
  </si>
  <si>
    <t>soforthilfe wird nicht gespeichert und Bewilligung wird nicht geöffnet</t>
  </si>
  <si>
    <t>05.02.2025 10:53:32</t>
  </si>
  <si>
    <t>{"username":"Bern.Buchhalter@diartis.ch","password":"HBcc73+ppTX42?E.","fullname":"Buchhalter Bern","team":"Administration Bern"}</t>
  </si>
  <si>
    <t>AW01_Kontoauszug</t>
  </si>
  <si>
    <t>GBL</t>
  </si>
  <si>
    <t>","zeitRaumBis":"</t>
  </si>
  <si>
    <t>","zeitRaum":"</t>
  </si>
  <si>
    <t>Verwendungsperiode</t>
  </si>
  <si>
    <t>","insOrKlient":"</t>
  </si>
  <si>
    <t>Person</t>
  </si>
  <si>
    <t>","zahlEmpfaenger":"</t>
  </si>
  <si>
    <t>","option":"</t>
  </si>
  <si>
    <t>Keine Details</t>
  </si>
  <si>
    <t>","nurRueckerstBuchX":"</t>
  </si>
  <si>
    <t>","korrBuchInklOriginalX":"</t>
  </si>
  <si>
    <t>","totalAusgaben":</t>
  </si>
  <si>
    <t>,"totalEinahmen":</t>
  </si>
  <si>
    <t>,"kontoauszugHerunterladenX":"</t>
  </si>
  <si>
    <t>1.12.2024</t>
  </si>
  <si>
    <t>https://test.aventis.swiss</t>
  </si>
  <si>
    <t>BC02_Buchungen_importieren_Check</t>
  </si>
  <si>
    <t>{"bisDatum":"</t>
  </si>
  <si>
    <t>,"zustGemeinde":"</t>
  </si>
  <si>
    <t>","buDate":"</t>
  </si>
  <si>
    <t>","buText":"</t>
  </si>
  <si>
    <t>","IBAN":</t>
  </si>
  <si>
    <t>,"sumBetrag":"</t>
  </si>
  <si>
    <t>BC04_BuchungsJournal_filtern</t>
  </si>
  <si>
    <t>{"buchHaltung":`</t>
  </si>
  <si>
    <t>`,"zeitRaum":"</t>
  </si>
  <si>
    <t>","belegNummer":"</t>
  </si>
  <si>
    <t>,"zeitRaumTyp":"</t>
  </si>
  <si>
    <t>","anzeigeDetail":"</t>
  </si>
  <si>
    <t>Beleg</t>
  </si>
  <si>
    <t>","konten":"</t>
  </si>
  <si>
    <t>","total":"</t>
  </si>
  <si>
    <t>SUCHE Button - nicht geklickt</t>
  </si>
  <si>
    <t>5.2.25</t>
  </si>
  <si>
    <t>Message 25.06.2025 19:45:42</t>
  </si>
  <si>
    <t>,"resultType":"Dossiers"}</t>
  </si>
  <si>
    <t>BU02_Klient_SozialhilfeSchuld_anzeigen</t>
  </si>
  <si>
    <t xml:space="preserve">	{"klient":`</t>
  </si>
  <si>
    <t>`,"dossier":</t>
  </si>
  <si>
    <t>,"stichDatum":"</t>
  </si>
  <si>
    <t>","zeilenTotal":"</t>
  </si>
  <si>
    <t>CHF 0.00</t>
  </si>
  <si>
    <t>oft null .. Wegen vorbedingungen</t>
  </si>
  <si>
    <t>rechte auf dossier ?</t>
  </si>
  <si>
    <t>20’861.1</t>
  </si>
  <si>
    <t>{"username":"bern.sozialarbeiterin1a@diartis.ch","password":"SMze97-jkSJ59!F.","fullname":"Sozialarbeiterin 1A Bern","team":"Sozialarbeit Bern 1"}</t>
  </si>
  <si>
    <t>D01b_Dossier_eroeffnen_absprung</t>
  </si>
  <si>
    <t xml:space="preserve"> {"name":`</t>
  </si>
  <si>
    <t>${p.FamilyName1}</t>
  </si>
  <si>
    <t>`,"vorname":`</t>
  </si>
  <si>
    <t>${p.GirlFirstName1}</t>
  </si>
  <si>
    <t>`,"geburtsTag":`</t>
  </si>
  <si>
    <t>${p.BirthdayKid1}</t>
  </si>
  <si>
    <t>`,"aHV":`</t>
  </si>
  <si>
    <t>${p.AHVNumber3}</t>
  </si>
  <si>
    <t>`,"dossierName":`</t>
  </si>
  <si>
    <t>${p.DossierName1}</t>
  </si>
  <si>
    <t xml:space="preserve"> 25.06.2025 19:45:42</t>
  </si>
  <si>
    <t>D03_Dossier_Suche</t>
  </si>
  <si>
    <t>p.FamilyName1</t>
  </si>
  <si>
    <t>p.ManFirstName1</t>
  </si>
  <si>
    <t>,"AHVNummer":</t>
  </si>
  <si>
    <t>p.AHVNumber1</t>
  </si>
  <si>
    <t>p.BirthdayAdult1</t>
  </si>
  <si>
    <t>,"geschlecht":"</t>
  </si>
  <si>
    <t>","hausNr":"</t>
  </si>
  <si>
    <t>ist nicht implementiert worden … hihhihihih</t>
  </si>
  <si>
    <t>Der neue Menupunkt Liste ist nicht berücksichtigt worden …</t>
  </si>
  <si>
    <t>09.12.2024 17:45:26</t>
  </si>
  <si>
    <t>30.11.2024 10:46:37</t>
  </si>
  <si>
    <t>30.11.2024 21:40:00</t>
  </si>
  <si>
    <t>DO04b_Aufgabe_editieren</t>
  </si>
  <si>
    <t> {"oldFaelligkeitDatum":"</t>
  </si>
  <si>
    <t>","oldAufgabenTitel":"</t>
  </si>
  <si>
    <t>Eine weniger wichtige Aufgabe_013</t>
  </si>
  <si>
    <t>","oldzugewiesenAn":"</t>
  </si>
  <si>
    <t>Ein Neuer Text als Titel 13</t>
  </si>
  <si>
    <t>In Arbeit</t>
  </si>
  <si>
    <t>","prio":"</t>
  </si>
  <si>
    <t>Wichtig</t>
  </si>
  <si>
    <t>","startDatum":"</t>
  </si>
  <si>
    <t>","notizen":"</t>
  </si>
  <si>
    <t>Eine sehr wichtige Notiz</t>
  </si>
  <si>
    <t>","checklistQtt":</t>
  </si>
  <si>
    <t>,"checkList":"</t>
  </si>
  <si>
    <t>'Alles wird gut', 'Der Himmel ist blau', 'Das wasser ist grün'</t>
  </si>
  <si>
    <t>","verKnuepfung":"</t>
  </si>
  <si>
    <t>https://www.google.com/</t>
  </si>
  <si>
    <t>30.11.2024 18:10:12</t>
  </si>
  <si>
    <t>Message 28.03.2025 10:25:49</t>
  </si>
  <si>
    <t>DO04c_Aufgabe_GUI</t>
  </si>
  <si>
    <t> {"dossierBezeichnung":</t>
  </si>
  <si>
    <t>,"zugewiesenAn":"</t>
  </si>
  <si>
    <t>","statusDragTo":"</t>
  </si>
  <si>
    <t>DO12_Dossieruebersicht_Zustaendigkeit_aendern</t>
  </si>
  <si>
    <t>"zustBereich":"</t>
  </si>
  <si>
    <t>Zuständigkeit Beratung</t>
  </si>
  <si>
    <t>","menuSelect":"</t>
  </si>
  <si>
    <t>Zuständigkeit ändern</t>
  </si>
  <si>
    <t>","teamSozial":"</t>
  </si>
  <si>
    <t>","persSozial":"</t>
  </si>
  <si>
    <t>","teamSach":"</t>
  </si>
  <si>
    <t>","persSach":"</t>
  </si>
  <si>
    <t>","gueltigAb":"</t>
  </si>
  <si>
    <t>","eintrUeberschrX":"</t>
  </si>
  <si>
    <t>","offeneAufgUebertrX":"</t>
  </si>
  <si>
    <t>Fehler - bleibt hängen</t>
  </si>
  <si>
    <t>DO12b_DossierMenge_Zustaendigkeit_aendern</t>
  </si>
  <si>
    <t>{"aktuelleZust":"</t>
  </si>
  <si>
    <t>","neuZust":"</t>
  </si>
  <si>
    <t>Message 31.03.2025 18:57:12</t>
  </si>
  <si>
    <t>DO13_Dossier_pruefen_starten</t>
  </si>
  <si>
    <t>rechte rolle ?</t>
  </si>
  <si>
    <t>rechte superuser an sozialarbeiter geben</t>
  </si>
  <si>
    <t>geht auf Test nicht</t>
  </si>
  <si>
    <t>{"username":"aventis-kantons-ma@diartis.ch","password":"W9qc8*fNzt!nGAD2udZc","fullname":"Kantons-MA Aventis","team":"Administration Schweiz"}</t>
  </si>
  <si>
    <t>DO14_Dossier_pruefen_durchfuehren_mitBeanstandung</t>
  </si>
  <si>
    <t>,"zustTeam":"</t>
  </si>
  <si>
    <t>","pruefer":"</t>
  </si>
  <si>
    <t>Aventis Kantons-MA</t>
  </si>
  <si>
    <t>","aufgabeTitel":"</t>
  </si>
  <si>
    <t>Eine Aufgabe durch Dossierprüfung</t>
  </si>
  <si>
    <t>","falligDatum":"</t>
  </si>
  <si>
    <t>","zugMitarbeiter":"</t>
  </si>
  <si>
    <t>","kontrollPunkte":"</t>
  </si>
  <si>
    <t>Subsidiaritätsprüfung</t>
  </si>
  <si>
    <t>DO15_Glocke_Absprung</t>
  </si>
  <si>
    <t xml:space="preserve">	{"entryTitel":"</t>
  </si>
  <si>
    <t>Bewilligungsworkflow beendet</t>
  </si>
  <si>
    <t>","entryDate":"</t>
  </si>
  <si>
    <t>","entryTime":"</t>
  </si>
  <si>
    <t>","textPart":"</t>
  </si>
  <si>
    <t>Ein Bewilligungsworkflow in Ihrer Zuständigkeit wurde bewilligt, abgelehnt oder abgebrochen</t>
  </si>
  <si>
    <t>","buttonName":"</t>
  </si>
  <si>
    <t>Bewilligungen Workflows</t>
  </si>
  <si>
    <t>09.12.2024 18:03:41</t>
  </si>
  <si>
    <t>H03_Dokumente_Filtern_Oeffnen</t>
  </si>
  <si>
    <t>Alle</t>
  </si>
  <si>
    <t>","stichWort":"</t>
  </si>
  <si>
    <t>JournalEintrag</t>
  </si>
  <si>
    <t>","docType":"</t>
  </si>
  <si>
    <t>Journal</t>
  </si>
  <si>
    <t>1 Jahr</t>
  </si>
  <si>
    <t>","checkDokument":"</t>
  </si>
  <si>
    <t xml:space="preserve">Berechtigung anpassen </t>
  </si>
  <si>
    <t> async H03_Dokumente_Filtern_Oeffnen({searchDossierOrKlient,filterThema,stichWort,docType,person,zeitRaum,checkDokument}){</t>
  </si>
  <si>
    <t>Dossier mit Dokumenten erstellen als basis</t>
  </si>
  <si>
    <t>done</t>
  </si>
  <si>
    <t>H04_Dokumente_ausVorlage_erstellen</t>
  </si>
  <si>
    <t>,"vorlage":"</t>
  </si>
  <si>
    <t>Brief an Dritte - Deutsch</t>
  </si>
  <si>
    <t>Allgemein</t>
  </si>
  <si>
    <t>","betrifft":"</t>
  </si>
  <si>
    <t>Ganze Klientschaft</t>
  </si>
  <si>
    <t>","instOderBezug":"</t>
  </si>
  <si>
    <t>Institution</t>
  </si>
  <si>
    <t>","instOBezNamen":"</t>
  </si>
  <si>
    <t>","kontPerson":"</t>
  </si>
  <si>
    <t>","absender":"</t>
  </si>
  <si>
    <t>IIZ Formular</t>
  </si>
  <si>
    <t>","sprache":"</t>
  </si>
  <si>
    <t>Dokumenterfassung wird aufgerufen ohne Dossier</t>
  </si>
  <si>
    <t>dokument wird nicht göffnet und geschlossen, access zu word ist nicht gelöst / Close word</t>
  </si>
  <si>
    <t>Berechtigungen nach reset anpassen</t>
  </si>
  <si>
    <t>Wohnsituation: Strasse_556 22, 3302 Moosseedorf"}</t>
  </si>
  <si>
    <t>{"vorlage":"IIS Formular","sprache":"Deutsch","titel":"Wunderbar","klient":"Müller24351, Emma","adresse":"Wohnsituation: Strasse_556 22, 3302 Moosseedorf"}</t>
  </si>
  <si>
    <t>Wohnsituation: Strasse_810 63, 3053 Münchenbuchsee</t>
  </si>
  <si>
    <t>H04c_Dokumente_ausVorlage_erstellen_Brief_anKlient</t>
  </si>
  <si>
    <t>Brief an Klientschaft</t>
  </si>
  <si>
    <t>Wunderbar dieser Titel</t>
  </si>
  <si>
    <t>{"vorlage":"Brief an Klientschaft","sprache":"Deutsch","titel":"Wunderbar der Titel","klient":"Müller24351, Emma","adresse":"Wohnsituation: Strasse_556 22, 3302 Moosseedorf","thema":"Allgemein"}</t>
  </si>
  <si>
    <t>KG01_Antrag_Kostengutsprache_Erfassen</t>
  </si>
  <si>
    <t>,"level1":"</t>
  </si>
  <si>
    <t>Situationsbedingte Leistungen</t>
  </si>
  <si>
    <t>","level2":"</t>
  </si>
  <si>
    <t>Gesundheit</t>
  </si>
  <si>
    <t>","level3":"</t>
  </si>
  <si>
    <t>Brille</t>
  </si>
  <si>
    <t>Keine Brille</t>
  </si>
  <si>
    <t>","leistungserbringer":"</t>
  </si>
  <si>
    <t>Agrisano Krankenkasse AG, 5210 Brugg</t>
  </si>
  <si>
    <t>,"klient":`</t>
  </si>
  <si>
    <t>`,"gultigAb":"</t>
  </si>
  <si>
    <t>","verFallDatum":"</t>
  </si>
  <si>
    <t>Keine</t>
  </si>
  <si>
    <t>Grille</t>
  </si>
  <si>
    <t>KG01b_Antrag_Kostengutsprache_Erfassen_mitDocument</t>
  </si>
  <si>
    <t>Agrisano Krankenkasse AG</t>
  </si>
  <si>
    <t>","kostenVorDoc":"</t>
  </si>
  <si>
    <t>c:/temp/Kostenvoranschlag.pdf</t>
  </si>
  <si>
    <t>","bewilligtDoc":"</t>
  </si>
  <si>
    <t>c:/temp/bewilligDoc.docx</t>
  </si>
  <si>
    <t>","diverseDoc":"</t>
  </si>
  <si>
    <t>KG02_Antrag_Kostengutsprache_Bewilligen_WF</t>
  </si>
  <si>
    <t>,"titel":"</t>
  </si>
  <si>
    <t>KO01_Institution_erfassen</t>
  </si>
  <si>
    <t>{"instName":"</t>
  </si>
  <si>
    <t>","namenZusatz":"</t>
  </si>
  <si>
    <t>Inst.</t>
  </si>
  <si>
    <t>am</t>
  </si>
  <si>
    <t>Strasse</t>
  </si>
  <si>
    <t>","hausNum":"</t>
  </si>
  <si>
    <t>","telNummer":"</t>
  </si>
  <si>
    <t>ein@zwei.ch</t>
  </si>
  <si>
    <t>","website":"</t>
  </si>
  <si>
    <t>https://www.web.ww</t>
  </si>
  <si>
    <t>","typisierung":"</t>
  </si>
  <si>
    <t>Kollektivunterkunft</t>
  </si>
  <si>
    <t>24.05.2024</t>
  </si>
  <si>
    <t>31.12.2030</t>
  </si>
  <si>
    <t>name wird manchmal nicht gefüllt</t>
  </si>
  <si>
    <t>KO02_Fachperson_erfassen</t>
  </si>
  <si>
    <t>{"vorname":"</t>
  </si>
  <si>
    <t>Peter</t>
  </si>
  <si>
    <t>","fachPersName":"</t>
  </si>
  <si>
    <t>Dockter</t>
  </si>
  <si>
    <t>Dr.</t>
  </si>
  <si>
    <t>","geschlecht":"</t>
  </si>
  <si>
    <t>Kinderbetreuung</t>
  </si>
  <si>
    <t>Gui ist etwas verwirrlich bug erfasst</t>
  </si>
  <si>
    <t>Message 01.04.2025 23:50:20</t>
  </si>
  <si>
    <t>02.04.2025 08:45:04</t>
  </si>
  <si>
    <t>KO03_Vorlage_erfassen</t>
  </si>
  <si>
    <t>{"datei":"</t>
  </si>
  <si>
    <t>","vorlageBez":"</t>
  </si>
  <si>
    <t>","verwKontext":"</t>
  </si>
  <si>
    <t>Trennblatt</t>
  </si>
  <si>
    <t>","vorlageSprache":"</t>
  </si>
  <si>
    <t>","erlaueterung":"</t>
  </si>
  <si>
    <t>Ganz sinnvoll ist das</t>
  </si>
  <si>
    <t>","dossierRegion":"</t>
  </si>
  <si>
    <t>Münchenbuchsee,Wohlen,Frauenfeld</t>
  </si>
  <si>
    <t>Error: locator.click: Test timeout of 1200000ms exceeded.Call log:[2m  - waiting for getByTestId('contextKeys').getByTestId('root-control')[22m[2m    - locator resolved to &lt;mat-select matinput="" tabindex="0" role="combobox" id="mat-select-4" aria-invalid="false" aria-expanded="false" aria-required="false" aria-disabled="false" aria-haspopup="listbox" data-testid="root-control" aria-labelledby="mat-mdc-form-field-label-24 mat-select-value-5" class="mat-mdc-select ng-tns-c1711764913-31 ng-tns-c508571215-30 mat-mdc-select-empty mat-mdc-select-multiple ng-untouched ng-pristine ng-valid ng-star-inserted"&gt;…&lt;/mat-select&gt;[22m[2m  - attempting click action[22m[2m    2 × waiting for element to be visible, enabled and stable[22m[2m      - element is visible, enabled and stable[22m[2m      - scrolling into view if needed[22m[2m      - done scrolling[22m[2m      - &lt;div class="cdk-overlay-backdrop cdk-overlay-dark-backdrop cdk-overlay-backdrop-showing"&gt;&lt;/div&gt; from &lt;div class="cdk-overlay-container"&gt;…&lt;/div&gt; subtree intercepts pointer events[22m[2m    - retrying click action[22m[2m    - waiting 20ms[22m[2m    2 × waiting for element to be visible, enabled and stable[22m[2m      - element is visible, enabled and stable[22m[2m      - scrolling into view if needed[22m[2m      - done scrolling[22m[2m      - &lt;div class="cdk-overlay-backdrop cdk-overlay-dark-backdrop cdk-overlay-backdrop-showing"&gt;&lt;/div&gt; from &lt;div class="cdk-overlay-container"&gt;…&lt;/div&gt; subtree intercepts pointer events[22m[2m    - retrying click action[22m[2m      - waiting 100ms[22m[2m    2222 × waiting for element to be visible, enabled and stable[22m[2m         - element is visible, enabled and stable[22m[2m         - scrolling into view if needed[22m[2m         - done scrolling[22m[2m         - &lt;div class="cdk-overlay-backdrop cdk-overlay-dark-backdrop cdk-overlay-backdrop-showing"&gt;&lt;/div&gt; from &lt;div class="cdk-overlay-container"&gt;…&lt;/div&gt; subtree intercepts pointer events[22m[2m       - retrying click action[22m[2m         - waiting 500ms[22m
Video: C:\KeyWordAventis\Key005\Aventis_PlaywrightDEV\test-results\videos\006_KeyWords_Smoketest-KO03-KO03-Microsoft-Edge\video.webm</t>
  </si>
  <si>
    <t>Rechte anpassen  - nach Reset fehlen die Rechte</t>
  </si>
  <si>
    <t>Voralge  vom verwendungskontext vorher löschen -&gt; ev keyword</t>
  </si>
  <si>
    <t>6.12.24</t>
  </si>
  <si>
    <t>keyword anpassen</t>
  </si>
  <si>
    <t>Barauszahlungsanweisung</t>
  </si>
  <si>
    <t>Schulderlass</t>
  </si>
  <si>
    <t xml:space="preserve">Vorlage löschen wäre super </t>
  </si>
  <si>
    <t>Rückforderung QR-Rechnung</t>
  </si>
  <si>
    <t>Rückforderung Mahnbrief</t>
  </si>
  <si>
    <t>Zahlungsübersicht</t>
  </si>
  <si>
    <t>Monatsbudget</t>
  </si>
  <si>
    <t>Kostengutsprache</t>
  </si>
  <si>
    <t>Leistungsentscheid</t>
  </si>
  <si>
    <t>Integrationsmassnahme: Auswertung Anfang</t>
  </si>
  <si>
    <t>Einnahme Abtretung</t>
  </si>
  <si>
    <t>Einnahme Abtretung Widerruf</t>
  </si>
  <si>
    <t>KVG Abtretung</t>
  </si>
  <si>
    <t>KVG Abtretung Widerruf</t>
  </si>
  <si>
    <t>VVG Abtretung</t>
  </si>
  <si>
    <t>VVG Abtretung Widerruf</t>
  </si>
  <si>
    <t>IIZ Dokument</t>
  </si>
  <si>
    <t>Brief an Dritte Dokument</t>
  </si>
  <si>
    <t>P10b_Person_Communikation</t>
  </si>
  <si>
    <t>${p.FamilyName2}, ${p.WomanFirstName2}</t>
  </si>
  <si>
    <t>`,"kanal":"</t>
  </si>
  <si>
    <t>Telefonnummer erfassen</t>
  </si>
  <si>
    <t>","typ":"</t>
  </si>
  <si>
    <t>Telefonnummer Mobil</t>
  </si>
  <si>
    <t>","numberOrEmail":"</t>
  </si>
  <si>
    <t>078 222 33 44</t>
  </si>
  <si>
    <t>","mainChannel":"</t>
  </si>
  <si>
    <t>nein</t>
  </si>
  <si>
    <t>{"dossier":p.DossierName2,"klient":` ${p.FamilyName2}, ${p.ManFirstName2}`,"kanal":"Telefonnummer erfassen","typ":"Telefonnummer Mobil","numberOrEmail":"078 222 33 44","mainChannel":"ja"}</t>
  </si>
  <si>
    <t>nochmals überlegen was Sinn macht</t>
  </si>
  <si>
    <t>P19_Person_Personendaten_Update</t>
  </si>
  <si>
    <t>`,"national":"</t>
  </si>
  <si>
    <t>weiblich</t>
  </si>
  <si>
    <t>verheiratet</t>
  </si>
  <si>
    <t>","korrSprache":"</t>
  </si>
  <si>
    <t>","todesDatum":"</t>
  </si>
  <si>
    <t>","dokumente":"</t>
  </si>
  <si>
    <t>Italien</t>
  </si>
  <si>
    <t>Französisch</t>
  </si>
  <si>
    <t>c:/temp/PersonenüöäDaten.docx</t>
  </si>
  <si>
    <t>Das TodesDatum ist keine gute Idee</t>
  </si>
  <si>
    <t>bis hier bin ich am 10.07</t>
  </si>
  <si>
    <t>P19_Person_Bezugsperson_Stammdaten</t>
  </si>
  <si>
    <t>{"bezugsPerson":"</t>
  </si>
  <si>
    <t>Moser,Luici</t>
  </si>
  <si>
    <t>","telefonGeschaeft":"</t>
  </si>
  <si>
    <t>","emailPrivat":"</t>
  </si>
  <si>
    <t>e@mail.mail</t>
  </si>
  <si>
    <t>","emailGeschaeft":"</t>
  </si>
  <si>
    <t>e@mailgeschaeft.mail</t>
  </si>
  <si>
    <t>weg23</t>
  </si>
  <si>
    <t>","hNummer":"</t>
  </si>
  <si>
    <t>3455 Grünen</t>
  </si>
  <si>
    <t>","beziehungRolle":"</t>
  </si>
  <si>
    <t>netter typ</t>
  </si>
  <si>
    <t>","beziehungsTyp":"</t>
  </si>
  <si>
    <t>nicht verwandt</t>
  </si>
  <si>
    <t>","vonKlient":"</t>
  </si>
  <si>
    <t>Müller2452, Liam</t>
  </si>
  <si>
    <t>","gueltVon":"</t>
  </si>
  <si>
    <t>21.09.2024</t>
  </si>
  <si>
    <t>","gueltBis":"</t>
  </si>
  <si>
    <t>21.09.2025</t>
  </si>
  <si>
    <t>noch nicht implementiert … priorisierung und umfang anpassen</t>
  </si>
  <si>
    <t>{"searchDossierOrKlient":p.DossierName2,"resultType":"Dossiers"}</t>
  </si>
  <si>
    <t>Ein netter Titel</t>
  </si>
  <si>
    <t>"Adrian Messerli",${p.FamilyName2}, ${p.ManFirstName2}</t>
  </si>
  <si>
    <t>Muss angepasst werden damit ohne 2 und 3 läuft</t>
  </si>
  <si>
    <t>PH01d_Journal_Eintrag_editieren</t>
  </si>
  <si>
    <t>,"erstelltAm":"</t>
  </si>
  <si>
    <t>","deleteBetroffene":`</t>
  </si>
  <si>
    <t>`,"adBetroffene":`</t>
  </si>
  <si>
    <t>${p.FamilyName2}, ${p.GirlFirstName2}</t>
  </si>
  <si>
    <t>`,"adDocument":"</t>
  </si>
  <si>
    <t>c:/temp/JournalEintrag2.docx</t>
  </si>
  <si>
    <t>","atNameOrInstitution":"</t>
  </si>
  <si>
    <t>","noteTextAsFollows":"</t>
  </si>
  <si>
    <t>wichtig ist alles</t>
  </si>
  <si>
    <t>{"searchDossierOrKlient":p.DossierName1,"resultType":"Dossiers"}</t>
  </si>
  <si>
    <t>R02_Rahmenbudget_ZahlungsInfosAnpassen</t>
  </si>
  <si>
    <t>{"zahlungsEmpfaengerCheck":`</t>
  </si>
  <si>
    <t>Barauszahlung</t>
  </si>
  <si>
    <t>","periodizitaet":"</t>
  </si>
  <si>
    <t>","referenzNummer":"</t>
  </si>
  <si>
    <t>Message 01.04.2025 00:27:19</t>
  </si>
  <si>
    <t>R03_RahmenBudget_Kennzahlen_pruefen</t>
  </si>
  <si>
    <t>,"unterstBetrag":</t>
  </si>
  <si>
    <t>Error: [31mTimed out 5000ms waiting for [39m[2mexpect([22m[31mlocator[39m[2m).[22mtoBeVisible[2m()[22mLocator: locator('app-naechste-faelligkeiten-sidesheet').filter({ hasText: 'Anspruch Januar 2025 31.12.2025' }).first()Expected: visibleReceived: &lt;element(s) not found&gt;Call log:[2m  - expect.soft.toBeVisible with timeout 5000ms[22m[2m  - waiting for locator('app-naechste-faelligkeiten-sidesheet').filter({ hasText: 'Anspruch Januar 2025 31.12.2025' }).first()[22m
Video: C:\KeyWordAventis\Key005\Aventis_PlaywrightDEV\test-results\videos\006_KeyWords_Smoketest-R03-R03-Microsoft-Edge\video.webm</t>
  </si>
  <si>
    <t>Valutatermine ev. Ausschliessen - nochmals prüfen was wo geprüft werden soll</t>
  </si>
  <si>
    <t>Anspruch Juli 2024 28.06.2024</t>
  </si>
  <si>
    <t xml:space="preserve">Betrag anpassen </t>
  </si>
  <si>
    <t>24.1.25</t>
  </si>
  <si>
    <t>journalteinehmer zugriff ?</t>
  </si>
  <si>
    <t>j</t>
  </si>
  <si>
    <t>R05_GBL_Rahmenbudget_anpassen_Folgeposition</t>
  </si>
  <si>
    <t>`,"berGrundlage":"</t>
  </si>
  <si>
    <t>Besondere Wohnform</t>
  </si>
  <si>
    <t>","geplantVon":"</t>
  </si>
  <si>
    <t>","individuelleAnpa":"</t>
  </si>
  <si>
    <t>Braucht mehr Geld</t>
  </si>
  <si>
    <t>","newTotal":"</t>
  </si>
  <si>
    <t>Funktioniert</t>
  </si>
  <si>
    <t>achtung, dass änderung in der Zukunft liegt, sonst findes KW das Resultat nicht</t>
  </si>
  <si>
    <t>Nachtest .. Das Total war falsch</t>
  </si>
  <si>
    <t>R06_Rahmenbudget_SpaltenEinAusblenden</t>
  </si>
  <si>
    <t>,"spaltenName":"</t>
  </si>
  <si>
    <t>Konto anzeigen</t>
  </si>
  <si>
    <t>","pruefenVisibleTitel":"</t>
  </si>
  <si>
    <t>Konto</t>
  </si>
  <si>
    <t>Zahlungsempfänger/in anzeigen</t>
  </si>
  <si>
    <t>Bewilligung anzeigen</t>
  </si>
  <si>
    <t>Gültigkeit Position anzeigen</t>
  </si>
  <si>
    <t>Gültigkeit Position</t>
  </si>
  <si>
    <t>Message 30.11.2024 10:46:37</t>
  </si>
  <si>
    <t>Error: page.waitForSelector: Target page, context or browser has been closedCall log:  [2m- waiting for locator('.selection-card-slim.user-card .username .name') to be visible[22m</t>
  </si>
  <si>
    <t>R07_Einkommen_Freibetrag_anpassen</t>
  </si>
  <si>
    <t>`,"geplantVon":"</t>
  </si>
  <si>
    <t>","eFB":</t>
  </si>
  <si>
    <t>,"begruendung":"</t>
  </si>
  <si>
    <t>Ein wichtiger Grund</t>
  </si>
  <si>
    <t>","totalNeu":</t>
  </si>
  <si>
    <t>RV00_Ermittlung_erfassen</t>
  </si>
  <si>
    <t>,"betrifft":`</t>
  </si>
  <si>
    <t>`,"gueltigAb":"</t>
  </si>
  <si>
    <t>Eine wichtige Bemerkung</t>
  </si>
  <si>
    <t>","document":"</t>
  </si>
  <si>
    <t>c:/temp/Ermittlung.docx</t>
  </si>
  <si>
    <t>{"username":"aventis-jurist@diartis.ch","password":"W8YSynUi9hJ3+6w@","fullname":"JuristIn Aventis","team":"Administration Schweiz"}</t>
  </si>
  <si>
    <t>C:\temp\test.docx</t>
  </si>
  <si>
    <t>Error: No unique result found
Video: C:\KeyWordAventis\Key005\Aventis_Playwright\test-results\videos\006_KeyWords_Smoketest-neu-RV01-RV01-Microsoft-Edge\video.webm</t>
  </si>
  <si>
    <t>RV01_Beschwerde_erstellen</t>
  </si>
  <si>
    <t>Ein Titel einer Beschwerde 001</t>
  </si>
  <si>
    <t>","zustaendig":"</t>
  </si>
  <si>
    <t>Adrian Messerli</t>
  </si>
  <si>
    <t>","beschFuehrer":`</t>
  </si>
  <si>
    <t>${p.FamilyName1}, ${p.WomanFirstName1}</t>
  </si>
  <si>
    <t>`,"vName":"</t>
  </si>
  <si>
    <t>Hausiwald</t>
  </si>
  <si>
    <t>","vVorname":"</t>
  </si>
  <si>
    <t>Paul</t>
  </si>
  <si>
    <t>","vStrasseInklNr":"</t>
  </si>
  <si>
    <t>Strasse 12</t>
  </si>
  <si>
    <t>","vOrt":"</t>
  </si>
  <si>
    <t>4556 Bolken</t>
  </si>
  <si>
    <t>","beschwerdeVon":"</t>
  </si>
  <si>
    <t>","grund":"</t>
  </si>
  <si>
    <t>Hypothetisches Einkommen</t>
  </si>
  <si>
    <t>","anfechtDatumEnscheid":"</t>
  </si>
  <si>
    <t>","zustellungDatumEnscheid":"</t>
  </si>
  <si>
    <t>","documente":"</t>
  </si>
  <si>
    <t>RV01b_Beschwerde_erweitern</t>
  </si>
  <si>
    <t>{"</t>
  </si>
  <si>
    <t>titel":"</t>
  </si>
  <si>
    <t>","instanz":"</t>
  </si>
  <si>
    <t>Staatsrat</t>
  </si>
  <si>
    <t>In Beurteilung</t>
  </si>
  <si>
    <t>","stellungNahme":"</t>
  </si>
  <si>
    <t>In Beurteilung ist doch toll</t>
  </si>
  <si>
    <t>","beschwerdenummer":"</t>
  </si>
  <si>
    <t>","datumVom":"</t>
  </si>
  <si>
    <t>","artDerEntsch":"</t>
  </si>
  <si>
    <t>Angenommen</t>
  </si>
  <si>
    <t>","dokument1":"</t>
  </si>
  <si>
    <t>C:/temp/test.txt</t>
  </si>
  <si>
    <t>","zugestVom":"</t>
  </si>
  <si>
    <t>","entscheidOk":"</t>
  </si>
  <si>
    <t>","weiterzug":"</t>
  </si>
  <si>
    <t>","beschwerdeDoc":"</t>
  </si>
  <si>
    <t>wichtiger Grund</t>
  </si>
  <si>
    <t>RV02_Auflagen_erfassen</t>
  </si>
  <si>
    <t>{"verfahren":"</t>
  </si>
  <si>
    <t>Auflagen</t>
  </si>
  <si>
    <t>","status1":"</t>
  </si>
  <si>
    <t>Laufend</t>
  </si>
  <si>
    <t>","erstelltDurch":"</t>
  </si>
  <si>
    <t>","betroffenPersonen":`</t>
  </si>
  <si>
    <t>`,"titel":"</t>
  </si>
  <si>
    <t>Ohne Jobsuche werden Zahlungen gekürzt</t>
  </si>
  <si>
    <t>","zugeteiltAn":"</t>
  </si>
  <si>
    <t>","frist":"</t>
  </si>
  <si>
    <t>","status2":"</t>
  </si>
  <si>
    <t>in Vorbereitung</t>
  </si>
  <si>
    <t>","ausgangslage":"</t>
  </si>
  <si>
    <t>Freier Text Augangslage</t>
  </si>
  <si>
    <t>","auflagen":"</t>
  </si>
  <si>
    <t>","entscheid":"</t>
  </si>
  <si>
    <t>Entscheid Text</t>
  </si>
  <si>
    <t>","sanktionen":"</t>
  </si>
  <si>
    <t>Sanktionen Text</t>
  </si>
  <si>
    <t>","weitereSanktionen":"</t>
  </si>
  <si>
    <t>Weitere Sanktionen Text</t>
  </si>
  <si>
    <t xml:space="preserve">zugeteilt an findet er nicht </t>
  </si>
  <si>
    <t>01.12.2024 10:15:02</t>
  </si>
  <si>
    <t>RV02b_Auflagen_Folgeschritt</t>
  </si>
  <si>
    <t>{"seit":"</t>
  </si>
  <si>
    <t>","titelForSelect":"</t>
  </si>
  <si>
    <t>","typeOfNextStep":"</t>
  </si>
  <si>
    <t>Leistungskürzung</t>
  </si>
  <si>
    <t>Eine Leistungkuerzung ist möglich</t>
  </si>
  <si>
    <t> ","sanktionVon":"</t>
  </si>
  <si>
    <t>","sanktionBis":"</t>
  </si>
  <si>
    <t>In Vorbereitung</t>
  </si>
  <si>
    <t>Keine bekannt</t>
  </si>
  <si>
    <t>Es gibt wichtige Auflagen</t>
  </si>
  <si>
    <t>Kein Entscheid</t>
  </si>
  <si>
    <t>sehr wichtige Sanktion</t>
  </si>
  <si>
    <t>sehr wichtige weitere Sanktion</t>
  </si>
  <si>
    <t>C:/temp/Bankverbindung.docx</t>
  </si>
  <si>
    <t>SL01_SituationsbedingteLeistung_erfassen</t>
  </si>
  <si>
    <t>{"klient":`</t>
  </si>
  <si>
    <t>`,"kontonummer":"</t>
  </si>
  <si>
    <t>","bezeichnung":"</t>
  </si>
  <si>
    <t>KVG überhöhter Anteil</t>
  </si>
  <si>
    <t>Zahnarzpraxis Zentrum</t>
  </si>
  <si>
    <t>","value":"</t>
  </si>
  <si>
    <t>","datumVon":"</t>
  </si>
  <si>
    <t>","datumBis":"</t>
  </si>
  <si>
    <t>3510.20</t>
  </si>
  <si>
    <t>Zusatzversicherung VVG</t>
  </si>
  <si>
    <t>3510.10</t>
  </si>
  <si>
    <t>Hilfe, Pflege und Betreuung zu Hause</t>
  </si>
  <si>
    <t>Association le Transit</t>
  </si>
  <si>
    <t>Mehrkosten im Zusammenhang mit Bildung</t>
  </si>
  <si>
    <t>SL02_SituationsbedingteLeistung_anpassen</t>
  </si>
  <si>
    <t>{"bezeichnung":"</t>
  </si>
  <si>
    <t>","betrifft":`</t>
  </si>
  <si>
    <t>","geplantVonNeu":"</t>
  </si>
  <si>
    <t>","betragNeu":</t>
  </si>
  <si>
    <t>,"bezPerson":"</t>
  </si>
  <si>
    <t xml:space="preserve">Bewilligung aktivieren, </t>
  </si>
  <si>
    <t>workflow läuft nicht durch</t>
  </si>
  <si>
    <t>UM02_InstitutionFachperson_erfassen</t>
  </si>
  <si>
    <t>{"institution":"</t>
  </si>
  <si>
    <t>","kontaktPerson":"</t>
  </si>
  <si>
    <t>","Rolle":"</t>
  </si>
  <si>
    <t>ganz wichtige Rolle</t>
  </si>
  <si>
    <t>Institution wird nicht gefüllte</t>
  </si>
  <si>
    <t>WO31_Wohnsituation_Haushalt_PersonEn_entfernen</t>
  </si>
  <si>
    <t>${p.FamilyName1}, ${p.GirlFirstName1}</t>
  </si>
  <si>
    <t>`,"inHaushaltBis":"</t>
  </si>
  <si>
    <t>","inUeBis":"</t>
  </si>
  <si>
    <t>Wegzug</t>
  </si>
  <si>
    <t>Error: [31mTimed out 5000ms waiting for [39m[2mexpect([22m[31mlocator[39m[2m).[22mtoBeVisible[2m()[22mLocator: locator('div[class*=\'date-caption\']:has-text(\'28.04.2025\')')Expected: visibleReceived: &lt;element(s) not found&gt;Call log:[2m  - expect.soft.toBeVisible with timeout 5000ms[22m[2m  - waiting for locator('div[class*=\'date-caption\']:has-text(\'28.04.2025\')')[22m
Video: C:\KeyWordAventis\Key005\Aventis_PlaywrightDEV\test-results\videos\006_KeyWords_Smoketest-WO31-WO31-Microsoft-Edge\video.webm</t>
  </si>
  <si>
    <t>WO32b_Wohnsituation_Wohnung_neuErfassenKopie</t>
  </si>
  <si>
    <t>{"gultigVon":"</t>
  </si>
  <si>
    <t>","gultigBis":"</t>
  </si>
  <si>
    <t>","ohnePerson":`</t>
  </si>
  <si>
    <t>`,"mitPerson":`</t>
  </si>
  <si>
    <t>${p.FamilyName2}, ${p.ManFirstName3}</t>
  </si>
  <si>
    <t>`,"zusatz":"</t>
  </si>
  <si>
    <t>Neuweg</t>
  </si>
  <si>
    <t>12b</t>
  </si>
  <si>
    <t>","plzOrt":"</t>
  </si>
  <si>
    <t>","vermieter":"</t>
  </si>
  <si>
    <t>","groess":"</t>
  </si>
  <si>
    <t>","miete":</t>
  </si>
  <si>
    <t>,"nebKosten":</t>
  </si>
  <si>
    <t>,"documentDiv":"</t>
  </si>
  <si>
    <t>","documentMietVert":"</t>
  </si>
  <si>
    <t>","documentMZGarant":"</t>
  </si>
  <si>
    <t>","docSicherheit":"</t>
  </si>
  <si>
    <t>C:\temp\test.txt</t>
  </si>
  <si>
    <t>","mZinsGarantBetrag":</t>
  </si>
  <si>
    <t>,"mietSicherheitsLeist":</t>
  </si>
  <si>
    <t>,"garantVonDate":"</t>
  </si>
  <si>
    <t>WO33_Wohnsituation_Haushalt_DateienHochladen</t>
  </si>
  <si>
    <t>,"docType":"</t>
  </si>
  <si>
    <t>Miet-Sicherheitsleistung</t>
  </si>
  <si>
    <t>c:/temp/diverseDoc.docx</t>
  </si>
  <si>
    <t>Mietvertrag</t>
  </si>
  <si>
    <t>Mietzinsgarantie</t>
  </si>
  <si>
    <t>WO33_Wohnsituation_Haushalt_DateienHochladen{"dossier":p.dossierName1,"docType":"Diverse Dokumente","c:/temp/diverseDoc.docx"}</t>
  </si>
  <si>
    <t>WSH04_Rueckforderung_erfassen_persoenlich</t>
  </si>
  <si>
    <t>","rueckModus":"</t>
  </si>
  <si>
    <t>Monatlicher Abzug</t>
  </si>
  <si>
    <t>","datum":"</t>
  </si>
  <si>
    <t>","verJahrung":"</t>
  </si>
  <si>
    <t>","schuldner":`</t>
  </si>
  <si>
    <t> ${p.FamilyName1}, ${p.ManFirstName1}</t>
  </si>
  <si>
    <t>`,"monatlicherBetrag":"</t>
  </si>
  <si>
    <t>","erstmalig":"</t>
  </si>
  <si>
    <t>","dateiPfad":"</t>
  </si>
  <si>
    <t>Titel wird nicht ausgefüllte</t>
  </si>
  <si>
    <t>WSH04b_Rueckforderung_erfassen_persoenlich_missbrauch</t>
  </si>
  <si>
    <t>Tolle Sache</t>
  </si>
  <si>
    <t>09.05.2035</t>
  </si>
  <si>
    <t>01.02.2025</t>
  </si>
  <si>
    <t>C:/temp/Ermittlung.docx</t>
  </si>
  <si>
    <t xml:space="preserve">Neuer Titel … anpassen </t>
  </si>
  <si>
    <t>{"dossier":"11_E2E_2024.10.3|17:1:32_896","titel":"Tolle Sache","rueckModus":"Monatlicher Abzug","datum":"09.10.2024","verJahrung":"09.05.2035","betrag":"1000","schuldner":"Gerber18898, Sofiai","monatlicherBetrag":"100","erstmalig":"Februar 2025","dateiPfad":"C:\temp\Ermittlung.docx","begruendung":"keine"}</t>
  </si>
  <si>
    <t>Samuel Meyer18424</t>
  </si>
  <si>
    <t>Komplett_7561326588762 1-No09</t>
  </si>
  <si>
    <t>WSH06_Kontoauszug_Sozialhilfeschuld_Berechnen</t>
  </si>
  <si>
    <t> {"stichDatum":"</t>
  </si>
  <si>
    <t>,"person":`</t>
  </si>
  <si>
    <t>${p.FamilyName1}, ${p.ManFirstName1}</t>
  </si>
  <si>
    <t>`,"solidarSchuld":</t>
  </si>
  <si>
    <t>0.00</t>
  </si>
  <si>
    <t>,"einzelSchuld":</t>
  </si>
  <si>
    <t>,"sozialHilfeSchuld":</t>
  </si>
  <si>
    <t>Werte bei jedem Test nachprüfen und wiederholen</t>
  </si>
  <si>
    <t>"solidarSchuld":4343.50,"sozialHilfeSchuld":13484}</t>
  </si>
  <si>
    <t>WSH08_Kontoauszug_Sozialhilfeschuld_Bescheinigen</t>
  </si>
  <si>
    <t>{"stichDatum":"</t>
  </si>
  <si>
    <t>SozialhilfeschuldBescheinigung - Deutsch</t>
  </si>
  <si>
    <t>testresult</t>
  </si>
  <si>
    <t>WSH08b_Kontoauszug_Sozialhilfeschuld_Buchhaltung</t>
  </si>
  <si>
    <t>${p.FamilyName3}, ${p.ManFirstName3}</t>
  </si>
  <si>
    <t>`,"sozialHilfeSchuld":</t>
  </si>
  <si>
    <t>WSH09_Unterstuetzung_ende_UE</t>
  </si>
  <si>
    <t>,"letzerMonat":"</t>
  </si>
  <si>
    <t>","grundBFS":"</t>
  </si>
  <si>
    <t>Aufnahme einer Erwerbstätigkeit</t>
  </si>
  <si>
    <t>Ausgeführte nur 1 ?</t>
  </si>
  <si>
    <t>02.04.2025 10:41:11</t>
  </si>
  <si>
    <t>{"dossierBezeichnung":`</t>
  </si>
  <si>
    <t>`,"eroeffnetAm":"</t>
  </si>
  <si>
    <t>Z01b_WSH_Zahlungen_Freigeben_meinAventis</t>
  </si>
  <si>
    <t>`,"totalbetrag":"</t>
  </si>
  <si>
    <t>AHVNeuBerechnet</t>
  </si>
  <si>
    <t>Pruefziffer</t>
  </si>
  <si>
    <t>Nationalitaet</t>
  </si>
  <si>
    <t>Ausweis</t>
  </si>
  <si>
    <t>AHVBasis</t>
  </si>
  <si>
    <t>weiss nicht</t>
  </si>
  <si>
    <t>9142abc@gmail.com</t>
  </si>
  <si>
    <t>456789ABX</t>
  </si>
  <si>
    <t>{"username":"Bern.Sachbearbeiterin@diartis.ch","password":"XXxa22?pdTA66-S@"}</t>
  </si>
  <si>
    <t>R01_Rahmenbudget_Wohnkosten_Anpassen</t>
  </si>
  <si>
    <t>{"Pause":"40"}</t>
  </si>
  <si>
    <t>Juni 2024</t>
  </si>
  <si>
    <t>8631abc@gmail.com</t>
  </si>
  <si>
    <t>9334abc@gmail.com</t>
  </si>
  <si>
    <t>9.4.25</t>
  </si>
  <si>
    <t>000: passed</t>
  </si>
  <si>
    <t>10.4.25</t>
  </si>
  <si>
    <t>001a: failed</t>
  </si>
  <si>
    <t>001a: timedOut</t>
  </si>
  <si>
    <t>f</t>
  </si>
  <si>
    <t>001b: passed</t>
  </si>
  <si>
    <t>001b: failed</t>
  </si>
  <si>
    <t>002: passed</t>
  </si>
  <si>
    <t>003a: passed</t>
  </si>
  <si>
    <t>003a: timedOut</t>
  </si>
  <si>
    <t>003b</t>
  </si>
  <si>
    <t>003b: failed</t>
  </si>
  <si>
    <t>005: failed</t>
  </si>
  <si>
    <t>005: passed</t>
  </si>
  <si>
    <t>A01b: passed</t>
  </si>
  <si>
    <t>A01c: passed</t>
  </si>
  <si>
    <t>A02-FE00: passed</t>
  </si>
  <si>
    <t>A03-FE01: passed</t>
  </si>
  <si>
    <t>A04-FE02: passed</t>
  </si>
  <si>
    <t>A05-FE03: passed</t>
  </si>
  <si>
    <t>AN01: passed</t>
  </si>
  <si>
    <t>AW01: timedOut</t>
  </si>
  <si>
    <t>AW01: failed</t>
  </si>
  <si>
    <t>BC02: timedOut</t>
  </si>
  <si>
    <t>BC02: failed</t>
  </si>
  <si>
    <t>BC04: failed</t>
  </si>
  <si>
    <t>BU02: failed</t>
  </si>
  <si>
    <t>BU02: passed</t>
  </si>
  <si>
    <t>D01b: passed</t>
  </si>
  <si>
    <t>D03: passed</t>
  </si>
  <si>
    <t>DO04: timedOut</t>
  </si>
  <si>
    <t>DO04: passed</t>
  </si>
  <si>
    <t>DO04b: timedOut</t>
  </si>
  <si>
    <t>DO04b: passed</t>
  </si>
  <si>
    <t>DO04b: failed</t>
  </si>
  <si>
    <t>DO04c: timedOut</t>
  </si>
  <si>
    <t>DO04c: passed</t>
  </si>
  <si>
    <t>DO04c: failed</t>
  </si>
  <si>
    <t>DO12: passed</t>
  </si>
  <si>
    <t>DO12b: passed</t>
  </si>
  <si>
    <t>DO12b: timedOut</t>
  </si>
  <si>
    <t>DO13: passed</t>
  </si>
  <si>
    <t>DO14: failed</t>
  </si>
  <si>
    <t>DO14: passed</t>
  </si>
  <si>
    <t>DO15</t>
  </si>
  <si>
    <t>DO15: timedOut</t>
  </si>
  <si>
    <t>H03: failed</t>
  </si>
  <si>
    <t>H03: timedOut</t>
  </si>
  <si>
    <t>H03: passed</t>
  </si>
  <si>
    <t>H04: passed</t>
  </si>
  <si>
    <t>H04b: timedOut</t>
  </si>
  <si>
    <t>H04b: passed</t>
  </si>
  <si>
    <t>H04c: timedOut</t>
  </si>
  <si>
    <t>KG01: timedOut</t>
  </si>
  <si>
    <t>KG01: passed</t>
  </si>
  <si>
    <t>KG01b</t>
  </si>
  <si>
    <t>KG01b: passed</t>
  </si>
  <si>
    <t>KG02</t>
  </si>
  <si>
    <t>KG02: timedOut</t>
  </si>
  <si>
    <t>KL10: passed</t>
  </si>
  <si>
    <t>KL11b: passed</t>
  </si>
  <si>
    <t>KO01: passed</t>
  </si>
  <si>
    <t>KO02: passed</t>
  </si>
  <si>
    <t>KO03: passed</t>
  </si>
  <si>
    <t>KO03: timedOut</t>
  </si>
  <si>
    <t>L05: failed</t>
  </si>
  <si>
    <t>P10b: passed</t>
  </si>
  <si>
    <t>P19: timedOut</t>
  </si>
  <si>
    <t>P19: passed</t>
  </si>
  <si>
    <t>P19b: passed</t>
  </si>
  <si>
    <t>PH01: passed</t>
  </si>
  <si>
    <t>PH01d: passed</t>
  </si>
  <si>
    <t>PH01d: timedOut</t>
  </si>
  <si>
    <t>R02: passed</t>
  </si>
  <si>
    <t>R03: timedOut</t>
  </si>
  <si>
    <t>R03: passed</t>
  </si>
  <si>
    <t>R05: passed</t>
  </si>
  <si>
    <t>R06: passed</t>
  </si>
  <si>
    <t>R07: timedOut</t>
  </si>
  <si>
    <t>RV00: passed</t>
  </si>
  <si>
    <t>RV01: passed</t>
  </si>
  <si>
    <t>RV01b: passed</t>
  </si>
  <si>
    <t>RV02: passed</t>
  </si>
  <si>
    <t>RV02b: passed</t>
  </si>
  <si>
    <t>SL01: passed</t>
  </si>
  <si>
    <t>SL02: passed</t>
  </si>
  <si>
    <t>U01: passed</t>
  </si>
  <si>
    <t>U01b: passed</t>
  </si>
  <si>
    <t>U01c: passed</t>
  </si>
  <si>
    <t>UM02</t>
  </si>
  <si>
    <t>UM02: passed</t>
  </si>
  <si>
    <t>WO31: passed</t>
  </si>
  <si>
    <t>WO32b: passed</t>
  </si>
  <si>
    <t>WO32b: timedOut</t>
  </si>
  <si>
    <t>WSH04: passed</t>
  </si>
  <si>
    <t>WSH04b: passed</t>
  </si>
  <si>
    <t>WSH06: failed</t>
  </si>
  <si>
    <t>WSH06: passed</t>
  </si>
  <si>
    <t>WSH08: passed</t>
  </si>
  <si>
    <t>WSH08b: failed</t>
  </si>
  <si>
    <t>WSH09: passed</t>
  </si>
  <si>
    <t>WSH99: failed</t>
  </si>
  <si>
    <t>WSH99: timedOut</t>
  </si>
  <si>
    <t>F</t>
  </si>
  <si>
    <t>WSH99: passed</t>
  </si>
  <si>
    <t>Z01B</t>
  </si>
  <si>
    <t>Z01b: timedOut</t>
  </si>
  <si>
    <t>Config</t>
  </si>
  <si>
    <t>Value</t>
  </si>
  <si>
    <t>Timeout</t>
  </si>
  <si>
    <t>1000</t>
  </si>
  <si>
    <t>Expect Timeout</t>
  </si>
  <si>
    <t>1</t>
  </si>
  <si>
    <t>Retries</t>
  </si>
  <si>
    <t>process.env.CI ? 2 : 0</t>
  </si>
  <si>
    <t>Browser</t>
  </si>
  <si>
    <t>Microsoft Edge</t>
  </si>
  <si>
    <t>Viewport</t>
  </si>
  <si>
    <t>{ width: 1920, height: 1080 }</t>
  </si>
  <si>
    <t>SlowMo</t>
  </si>
  <si>
    <t>N/A</t>
  </si>
  <si>
    <t>workers</t>
  </si>
  <si>
    <t>headed</t>
  </si>
  <si>
    <t>Report Generated On:</t>
  </si>
  <si>
    <t>AventisURL</t>
  </si>
  <si>
    <t>https://qa.aventis.swiss</t>
  </si>
  <si>
    <t>26.06.2025 08:23:51</t>
  </si>
  <si>
    <t>05.07.2025 02:04:53</t>
  </si>
  <si>
    <t>Sachbearbeiterin Bern</t>
  </si>
  <si>
    <t>`,"name":"</t>
  </si>
  <si>
    <t>Polopili</t>
  </si>
  <si>
    <t>Direktor</t>
  </si>
  <si>
    <t>Immelweg</t>
  </si>
  <si>
    <t>5210 Windisch</t>
  </si>
  <si>
    <t>AW01b_Kontoauszug_DossierSicht</t>
  </si>
  <si>
    <t>07.12.2024</t>
  </si>
  <si>
    <t>","Buchungsdatum":"</t>
  </si>
  <si>
    <t>","bezAnInstPerson":"</t>
  </si>
  <si>
    <t>","zahlEmpfaenger":`</t>
  </si>
  <si>
    <t>`,"option":"</t>
  </si>
  <si>
    <t>","downLoadName":"</t>
  </si>
  <si>
    <t>Kontoauszug(1)</t>
  </si>
  <si>
    <t>{"url":"https://load.aventis.swiss/"}</t>
  </si>
  <si>
    <t>{"url":"https://qa.aventis.swiss"}</t>
  </si>
  <si>
    <t>22.07.2025 05:11:20</t>
  </si>
  <si>
    <t>Error: locator.click: Target page, context or browser has been closedCall log:[2m  - waiting for locator('mat-expansion-panel-header:has-text(\'17.07.2025\')').getByRole('button', { name: /Bearbeiten|Modifier/i }).last()[22m
Videos: C:\Aventis\Aventis_Playwright-\test-results\videos\006_KeyWords_Smoketest-A01b-A01b-Microsoft-Edge\video.webm</t>
  </si>
  <si>
    <t>Error: locator.click: Target page, context or browser has been closedCall log:[2m  - waiting for locator('mat-expansion-panel-header:has-text(\'17.07.2025\')').getByRole('button', { name: /Bearbeiten|Modifier/i }).last()[22m
Videos: C:\Aventis\Aventis_Playwright-\test-results\videos\006_KeyWords_Smoketest-A01c-A01c-Microsoft-Edge\video.webm</t>
  </si>
  <si>
    <t>22.07.2025 09:53:01</t>
  </si>
  <si>
    <t>22.07.2025 10:55:05</t>
  </si>
  <si>
    <t>22.07.2025 10:55:06</t>
  </si>
  <si>
    <t>22.07.2025 11:03:31</t>
  </si>
  <si>
    <r>
      <rPr>
        <b/>
        <sz val="11"/>
        <rFont val="Arial"/>
        <family val="2"/>
      </rPr>
      <t>"</t>
    </r>
    <r>
      <rPr>
        <sz val="11"/>
        <rFont val="Arial"/>
        <family val="2"/>
      </rPr>
      <t>,"buchhaltung":`</t>
    </r>
  </si>
  <si>
    <t>22.07.2025 15:36:51</t>
  </si>
  <si>
    <t>Error: locator.click: Target page, context or browser has been closedCall log:[2m  - waiting for locator('tr:has-text(\'\'):has-text(\'GBL, Wohnkosten, EFB, Unselbständiges Erwerbseinkommen\'):has-text(\'3_E2E_2025.7.22|14:10:45_495\') button')[22m
Videos: C:\Aventis\Aventis_Playwright-\test-results\videos\006_KeyWords_Smoketest_V2-BC02-BC02-Microsoft-Edge\video.webm</t>
  </si>
  <si>
    <t>Error: locator.pressSequentially: text: expected string, got undefined
Screenshots: C:\Aventis\Aventis_Playwright-\test-results\videos\006_KeyWords_Smoketest_V2-KG01b-KG01b-Microsoft-Edge\test-failed-1.png
Videos: C:\Aventis\Aventis_Playwright-\test-results\videos\006_KeyWords_Smoketest_V2-KG01b-KG01b-Microsoft-Edge\video.webm</t>
  </si>
  <si>
    <t>Error: [31mTimed out 20000ms waiting for [39m[2mexpect([22m[31mlocator[39m[2m).[22mtoHaveText[2m([22m[32mexpected[39m[2m)[22mLocator: locator('tbody tr').first().locator('td').nth(1)Expected string: [32m"RSC_ Test_305"[39mReceived: &lt;element(s) not found&gt;Call log:[2m  - Expect "soft toHaveText" with timeout 20000ms[22m[2m  - waiting for locator('tbody tr').first().locator('td').nth(1)[22m
Screenshots: C:\Aventis\Aventis_Playwright-\test-results\videos\006_KeyWords_Smoketest_V2-KO03-KO03-Microsoft-Edge\test-failed-2.png, C:\Aventis\Aventis_Playwright-\test-results\videos\006_KeyWords_Smoketest_V2-KO03-KO03-Microsoft-Edge\test-failed-1.png
Videos: C:\Aventis\Aventis_Playwright-\test-results\videos\006_KeyWords_Smoketest_V2-KO03-KO03-Microsoft-Edge\video.webm</t>
  </si>
  <si>
    <t>Error: locator.click: Target page, context or browser has been closedCall log:[2m  - waiting for locator('app-navigation-tree').getByRole('link').filter({ hasText: 'Rossi19759, Mia' })[22m
Videos: C:\Aventis\Aventis_Playwright-\test-results\videos\006_KeyWords_Smoketest_V2-P10b-P10b-Microsoft-Edge\video.webm</t>
  </si>
  <si>
    <t>Error: [31mTimed out 20000ms waiting for [39m[2mexpect([22m[31mlocator[39m[2m).[22mtoContainText[2m([22m[32mexpected[39m[2m)[22mLocator: locator('tr:has-text(\'Einkommensfreibetrag\')').locator('td[class*=\'currency-column\']')Expected string: [32m"[7m-[27m-500.00"[39mReceived string: [31m"[7m [27m-500.00[7m [27m"[39mCall log:[2m  - Expect "soft toContainText" with timeout 20000ms[22m[2m  - waiting for locator('tr:has-text(\'Einkommensfreibetrag\')').locator('td[class*=\'currency-column\']')[22m[2m    23 × locator resolved to &lt;td class="currency-column ng-star-inserted"&gt; -500.00 &lt;/td&gt;[22m[2m       - unexpected value " -500.00 "[22m
Screenshots: C:\Aventis\Aventis_Playwright-\test-results\videos\006_KeyWords_Smoketest_V2-R07-R07-Microsoft-Edge\test-failed-1.png
Videos: C:\Aventis\Aventis_Playwright-\test-results\videos\006_KeyWords_Smoketest_V2-R07-R07-Microsoft-Edge\video.webm</t>
  </si>
  <si>
    <t>22.07.2025 15:36:52</t>
  </si>
  <si>
    <t>22.07.2025 18:44:05</t>
  </si>
  <si>
    <t>Error: locator.click: Test timeout of 1200000ms exceeded.Call log:[2m  - waiting for locator('tr:has-text(\'\'):has-text(\'GBL, Wohnkosten, EFB, Unselbständiges Erwerbseinkommen\'):has-text(\'3_E2E_2025.7.22|15:51:5_943\') button')[22m
Screenshots: C:\Aventis\Aventis_Playwright-\test-results\videos\006_KeyWords_Smoketest_V2-BC02-BC02-Microsoft-Edge\test-failed-1.png
Videos: C:\Aventis\Aventis_Playwright-\test-results\videos\006_KeyWords_Smoketest_V2-BC02-BC02-Microsoft-Edge\video.webm</t>
  </si>
  <si>
    <t>Error: locator.click: Test timeout of 1200000ms exceeded.Call log:[2m  - waiting for getByTestId('contextKeys').getByTestId('root-control')[22m[2m    - locator resolved to &lt;mat-select matinput="" tabindex="0" role="combobox" id="mat-select-4" aria-invalid="false" aria-expanded="false" aria-required="false" aria-disabled="false" aria-haspopup="listbox" data-testid="root-control" aria-labelledby="mat-mdc-form-field-label-24 mat-select-value-5" class="mat-mdc-select ng-tns-c1711764913-31 ng-tns-c508571215-30 mat-mdc-select-empty mat-mdc-select-multiple ng-untouched ng-pristine ng-valid ng-star-inserted"&gt;…&lt;/mat-select&gt;[22m[2m  - attempting click action[22m[2m    2 × waiting for element to be visible, enabled and stable[22m[2m      - element is visible, enabled and stable[22m[2m      - scrolling into view if needed[22m[2m      - done scrolling[22m[2m      - &lt;div class="cdk-overlay-backdrop cdk-overlay-dark-backdrop cdk-overlay-backdrop-showing"&gt;&lt;/div&gt; from &lt;div class="cdk-overlay-container"&gt;…&lt;/div&gt; subtree intercepts pointer events[22m[2m    - retrying click action[22m[2m    - waiting 20ms[22m[2m    2 × waiting for element to be visible, enabled and stable[22m[2m      - element is visible, enabled and stable[22m[2m      - scrolling into view if needed[22m[2m      - done scrolling[22m[2m      - &lt;div class="cdk-overlay-backdrop cdk-overlay-dark-backdrop cdk-overlay-backdrop-showing"&gt;&lt;/div&gt; from &lt;div class="cdk-overlay-container"&gt;…&lt;/div&gt; subtree intercepts pointer events[22m[2m    - retrying click action[22m[2m      - waiting 100ms[22m[2m    2248 × waiting for element to be visible, enabled and stable[22m[2m         - element is visible, enabled and stable[22m[2m         - scrolling into view if needed[22m[2m         - done scrolling[22m[2m         - &lt;div class="cdk-overlay-backdrop cdk-overlay-dark-backdrop cdk-overlay-backdrop-showing"&gt;&lt;/div&gt; from &lt;div class="cdk-overlay-container"&gt;…&lt;/div&gt; subtree intercepts pointer events[22m[2m       - retrying click action[22m[2m         - waiting 500ms[22m
Screenshots: C:\Aventis\Aventis_Playwright-\test-results\videos\006_KeyWords_Smoketest_V2-KO03-KO03-Microsoft-Edge\test-failed-1.png
Videos: C:\Aventis\Aventis_Playwright-\test-results\videos\006_KeyWords_Smoketest_V2-KO03-KO03-Microsoft-Edge\video.webm</t>
  </si>
  <si>
    <t>Error: locator.click: Test timeout of 1200000ms exceeded.Call log:[2m  - waiting for getByRole('button', { name: /Speichern|Enregistrer/i })[22m[2m    - locator resolved to &lt;button disabled="true" mat-flat-button="" _ngcontent-ng-c3225026258="" mat-ripple-loader-disabled="" mat-ripple-loader-uninitialized="" mat-ripple-loader-class-name="mat-mdc-button-ripple" class="primary mdc-button mdc-button--unelevated mat-mdc-unelevated-button mat-unthemed mat-mdc-button-base mat-mdc-button-disabled"&gt;…&lt;/button&gt;[22m[2m  - attempting click action[22m[2m    2 × waiting for element to be visible, enabled and stable[22m[2m      - element is not enabled[22m[2m    - retrying click action[22m[2m    - waiting 20ms[22m[2m    2 × waiting for element to be visible, enabled and stable[22m[2m      - element is not enabled[22m[2m    - retrying click action[22m[2m      - waiting 100ms[22m[2m    2231 × waiting for element to be visible, enabled and stable[22m[2m         - element is not enabled[22m[2m       - retrying click action[22m[2m         - waiting 500ms[22m
Screenshots: C:\Aventis\Aventis_Playwright-\test-results\videos\006_KeyWords_Smoketest_V2-R07-R07-Microsoft-Edge\test-failed-1.png
Videos: C:\Aventis\Aventis_Playwright-\test-results\videos\006_KeyWords_Smoketest_V2-R07-R07-Microsoft-Edge\video.webm</t>
  </si>
  <si>
    <t>22.07.2025 19:54:04</t>
  </si>
  <si>
    <t>Error: locator.click: Test ended.Call log:[2m  - waiting for locator('tr:has-text(\'\'):has-text(\'GBL, Wohnkosten, EFB, Unselbständiges Erwerbseinkommen\'):has-text(\'3_E2E_2025.7.22|18:59:23_109\') button')[22m
Screenshots: C:\Aventis\Aventis_Playwright-\test-results\videos\006_KeyWords_Smoketest_V2-BC02-BC02-Microsoft-Edge\test-failed-1.png
Videos: C:\Aventis\Aventis_Playwright-\test-results\videos\006_KeyWords_Smoketest_V2-BC02-BC02-Microsoft-Edge\video.webm</t>
  </si>
  <si>
    <t>22.07.2025 22:30:01</t>
  </si>
  <si>
    <t>Error: locator.click: Test timeout of 1200000ms exceeded.Call log:[2m  - waiting for locator('tr:has-text(\'\'):has-text(\'GBL, Wohnkosten, EFB, Unselbständiges Erwerbseinkommen\'):has-text(\'3_E2E_2025.7.22|19:55:25_119\') button')[22m
Screenshots: C:\Aventis\Aventis_Playwright-\test-results\videos\006_KeyWords_Smoketest_V2-BC02-BC02-Microsoft-Edge\test-failed-1.png
Videos: C:\Aventis\Aventis_Playwright-\test-results\videos\006_KeyWords_Smoketest_V2-BC02-BC02-Microsoft-Edge\video.webm</t>
  </si>
  <si>
    <t>Error: locator.click: Test timeout of 1200000ms exceeded.Call log:[2m  - waiting for getByTestId('contextKeys').getByTestId('root-control')[22m[2m    - locator resolved to &lt;mat-select matinput="" tabindex="0" role="combobox" id="mat-select-4" aria-invalid="false" aria-expanded="false" aria-required="false" aria-disabled="false" aria-haspopup="listbox" data-testid="root-control" aria-labelledby="mat-mdc-form-field-label-24 mat-select-value-5" class="mat-mdc-select ng-tns-c1711764913-31 ng-tns-c508571215-30 mat-mdc-select-empty mat-mdc-select-multiple ng-untouched ng-pristine ng-valid ng-star-inserted"&gt;…&lt;/mat-select&gt;[22m[2m  - attempting click action[22m[2m    2 × waiting for element to be visible, enabled and stable[22m[2m      - element is visible, enabled and stable[22m[2m      - scrolling into view if needed[22m[2m      - done scrolling[22m[2m      - &lt;div class="cdk-overlay-backdrop cdk-overlay-dark-backdrop cdk-overlay-backdrop-showing"&gt;&lt;/div&gt; from &lt;div class="cdk-overlay-container"&gt;…&lt;/div&gt; subtree intercepts pointer events[22m[2m    - retrying click action[22m[2m    - waiting 20ms[22m[2m    2 × waiting for element to be visible, enabled and stable[22m[2m      - element is visible, enabled and stable[22m[2m      - scrolling into view if needed[22m[2m      - done scrolling[22m[2m      - &lt;div class="cdk-overlay-backdrop cdk-overlay-dark-backdrop cdk-overlay-backdrop-showing"&gt;&lt;/div&gt; from &lt;div class="cdk-overlay-container"&gt;…&lt;/div&gt; subtree intercepts pointer events[22m[2m    - retrying click action[22m[2m      - waiting 100ms[22m[2m    2246 × waiting for element to be visible, enabled and stable[22m[2m         - element is visible, enabled and stable[22m[2m         - scrolling into view if needed[22m[2m         - done scrolling[22m[2m         - &lt;div class="cdk-overlay-backdrop cdk-overlay-dark-backdrop cdk-overlay-backdrop-showing"&gt;&lt;/div&gt; from &lt;div class="cdk-overlay-container"&gt;…&lt;/div&gt; subtree intercepts pointer events[22m[2m       - retrying click action[22m[2m         - waiting 500ms[22m
Screenshots: C:\Aventis\Aventis_Playwright-\test-results\videos\006_KeyWords_Smoketest_V2-KO03-KO03-Microsoft-Edge\test-failed-1.png
Videos: C:\Aventis\Aventis_Playwright-\test-results\videos\006_KeyWords_Smoketest_V2-KO03-KO03-Microsoft-Edge\video.webm</t>
  </si>
  <si>
    <t>23.07.2025 08:43:42</t>
  </si>
  <si>
    <t>Betrag pro Run Anpassen</t>
  </si>
  <si>
    <t>23.07.2025 08:52:56</t>
  </si>
  <si>
    <t>23.07.2025 08:56:36</t>
  </si>
  <si>
    <t>23.07.2025 08:59:02</t>
  </si>
  <si>
    <t>23.07.2025 09:00:25</t>
  </si>
  <si>
    <t>23.07.2025 09:19:24</t>
  </si>
  <si>
    <t>23.07.2025 09:24:32</t>
  </si>
  <si>
    <t>23.07.2025 09:48:50</t>
  </si>
  <si>
    <t>23.07.2025 09:53:30</t>
  </si>
  <si>
    <t>Error: locator.click: Test ended.Call log:[2m  - waiting for locator('tr:has-text(\'\'):has-text(\'GBL, Wohnkosten, EFB, Unselbständiges Erwerbseinkommen\'):has-text(\'3_E2E_2025.7.23|9:20:59_27\') button')[22m
Screenshots: C:\Aventis\Aventis_Playwright-\test-results\videos\006_KeyWords_Smoketest_V2-BC02-BC02-Microsoft-Edge\test-failed-1.png
Videos: C:\Aventis\Aventis_Playwright-\test-results\videos\006_KeyWords_Smoketest_V2-BC02-BC02-Microsoft-Edge\video.webm</t>
  </si>
  <si>
    <t>23.07.2025 10:01:02</t>
  </si>
  <si>
    <t>23.07.2025 10:14:35</t>
  </si>
  <si>
    <t>Error: locator.waitFor: Target page, context or browser has been closedCall log:[2m  - waiting for getByText('Sign in') to be visible[22m
Videos: C:\Aventis\Aventis_Playwright-\test-results\videos\006_KeyWords_Smoketest_V2-BC02-BC02-Microsoft-Edge\video.webm</t>
  </si>
  <si>
    <t>24.07.2025 02:30:17</t>
  </si>
  <si>
    <t>Error: [31mTimed out 10000ms waiting for [39m[2mexpect([22m[31mlocator[39m[2m).[22mtoHaveText[2m([22m[32mexpected[39m[2m)[22mLocator: locator('div.versions-container.ng-star-inserted').locator('span.version-row')Expected string: [32m"2025.4.[7m48[27m-dev"[39mReceived string: [31m"2025.4.[7m141[27m-dev"[39mCall log:[2m  - Expect "soft toHaveText" with timeout 10000ms[22m[2m  - waiting for locator('div.versions-container.ng-star-inserted').locator('span.version-row')[22m[2m    12 × locator resolved to &lt;span class="version-row" _ngcontent-ng-c3803718529=""&gt;2025.4.141-dev&lt;/span&gt;[22m[2m       - unexpected value "2025.4.141-dev"[22m
Screenshots: C:\Aventis\Aventis_Playwright-\test-results\videos\006_KeyWords_Smoketest_V2-000-000-Microsoft-Edge\test-failed-1.png
Videos: C:\Aventis\Aventis_Playwright-\test-results\videos\006_KeyWords_Smoketest_V2-000-000-Microsoft-Edge\video.webm</t>
  </si>
  <si>
    <t>Error: locator.click: Test timeout of 1200000ms exceeded.Call log:[2m  - waiting for locator('tr:has-text(\'\'):has-text(\'GBL, Wohnkosten, EFB, Unselbständiges Erwerbseinkommen\'):has-text(\'3_E2E_2025.7.23|23:33:19_617\') button')[22m
Screenshots: C:\Aventis\Aventis_Playwright-\test-results\videos\006_KeyWords_Smoketest_V2-BC02-BC02-Microsoft-Edge\test-failed-1.png
Videos: C:\Aventis\Aventis_Playwright-\test-results\videos\006_KeyWords_Smoketest_V2-BC02-BC02-Microsoft-Edge\video.webm</t>
  </si>
  <si>
    <t>Error: locator.click: Test timeout of 1200000ms exceeded.Call log:[2m  - waiting for getByTestId('contextKeys').getByTestId('root-control')[22m[2m    - locator resolved to &lt;mat-select matinput="" tabindex="0" role="combobox" id="mat-select-3" aria-invalid="false" aria-expanded="false" aria-required="false" aria-disabled="false" aria-haspopup="listbox" data-testid="root-control" aria-labelledby="mat-mdc-form-field-label-13" class="mat-mdc-select mat-mdc-select-empty mat-mdc-select-multiple ng-untouched ng-pristine ng-valid"&gt;…&lt;/mat-select&gt;[22m[2m  - attempting click action[22m[2m    2 × waiting for element to be visible, enabled and stable[22m[2m      - element is visible, enabled and stable[22m[2m      - scrolling into view if needed[22m[2m      - done scrolling[22m[2m      - &lt;div class="cdk-overlay-backdrop cdk-overlay-dark-backdrop cdk-overlay-backdrop-showing"&gt;&lt;/div&gt; from &lt;div class="cdk-overlay-container"&gt;…&lt;/div&gt; subtree intercepts pointer events[22m[2m    - retrying click action[22m[2m    - waiting 20ms[22m[2m    2 × waiting for element to be visible, enabled and stable[22m[2m      - element is visible, enabled and stable[22m[2m      - scrolling into view if needed[22m[2m      - done scrolling[22m[2m      - &lt;div class="cdk-overlay-backdrop cdk-overlay-dark-backdrop cdk-overlay-backdrop-showing"&gt;&lt;/div&gt; from &lt;div class="cdk-overlay-container"&gt;…&lt;/div&gt; subtree intercepts pointer events[22m[2m    - retrying click action[22m[2m      - waiting 100ms[22m[2m    2252 × waiting for element to be visible, enabled and stable[22m[2m         - element is visible, enabled and stable[22m[2m         - scrolling into view if needed[22m[2m         - done scrolling[22m[2m         - &lt;div class="cdk-overlay-backdrop cdk-overlay-dark-backdrop cdk-overlay-backdrop-showing"&gt;&lt;/div&gt; from &lt;div class="cdk-overlay-container"&gt;…&lt;/div&gt; subtree intercepts pointer events[22m[2m       - retrying click action[22m[2m         - waiting 500ms[22m
Screenshots: C:\Aventis\Aventis_Playwright-\test-results\videos\006_KeyWords_Smoketest_V2-KO03-KO03-Microsoft-Edge\test-failed-1.png
Videos: C:\Aventis\Aventis_Playwright-\test-results\videos\006_KeyWords_Smoketest_V2-KO03-KO03-Microsoft-Edge\video.webm</t>
  </si>
  <si>
    <t>Error: locator.click: Test timeout of 1200000ms exceeded.Call log:[2m  - waiting for getByRole('link', { name: /Wohnsituation - Haushalt|Situation résidentielle - ménage/i })[22m[2m    - locator resolved to &lt;a tabindex="0" appnavigationitem="" _nghost-ng-c1836096494="" routerlinkactive="focused" mattooltipposition="after" app-navigation-tree-node="" _ngcontent-ng-c1729762730="" data-testid="WohnsituationRoute" class="mat-mdc-tooltip-trigger undecorated-link ng-star-inserted" href="/dossiers/19123c26-901e-444b-8e62-50c4a20e2af2/wohnsituation"&gt;…&lt;/a&gt;[22m[2m  - attempting click action[22m[2m    - waiting for element to be visible, enabled and stable[22m[2m    - element is visible, enabled and stable[22m[2m    - scrolling into view if needed[22m[2m    - done scrolling[22m[2m    - &lt;app-navigation-drawer-item tabindex="0" role="button" _nghost-ng-c1619962178="" _ngcontent-ng-c2072100946="" class="ng-tns-c2072100946-4"&gt;…&lt;/app-navigation-drawer-item&gt; from &lt;app-navigation-tree-group _nghost-ng-c2072100946="" _ngcontent-ng-c1729762730="" data-testid="KlientschaftNode" class="ng-tns-c2072100946-4 ng-star-inserted"&gt;…&lt;/app-navigation-tree-group&gt; subtree intercepts pointer events[22m[2m  - retrying click action[22m[2m    - waiting for element to be visible, enabled and stable[22m[2m    - element is visible, enabled and stable[22m[2m    - scrolling into view if needed[22m[2m    - done scrolling[22m[2m    - &lt;div _ngcontent-ng-c1619962178="" class="item-title ng-star-inserted"&gt;Dossierverwaltung&lt;/div&gt; from &lt;app-navigation-drawer-item tabindex="0" role="button" _nghost-ng-c1619962178="" _ngcontent-ng-c2072100946="" class="ng-tns-c2072100946-3"&gt;…&lt;/app-navigation-drawer-item&gt; subtree intercepts pointer events[22m[2m  - retrying click action[22m[2m    - waiting 20ms[22m[2m    2 × waiting for element to be visible, enabled and stable[22m[2m      - element is not visible[22m[2m    - retrying click action[22m[2m      - waiting 100ms[22m[2m    2236 × waiting for element to be visible, enabled and stable[22m[2m         - element is not visible[22m[2m       - retrying click action[22m[2m         - waiting 500ms[22m
Screenshots: C:\Aventis\Aventis_Playwright-\test-results\videos\006_KeyWords_Smoketest_V2-WO31-WO31-Microsoft-Edge\test-failed-1.png
Videos: C:\Aventis\Aventis_Playwright-\test-results\videos\006_KeyWords_Smoketest_V2-WO31-WO31-Microsoft-Edge\video.webm</t>
  </si>
  <si>
    <t>2025.4.141-dev</t>
  </si>
  <si>
    <t>24.07.2025 07:10:05</t>
  </si>
  <si>
    <t>24.07.2025 07:51:42</t>
  </si>
  <si>
    <t>p.IBAN12</t>
  </si>
  <si>
    <t>24.07.2025 08:08:19</t>
  </si>
  <si>
    <t>24.07.2025 08:18:39</t>
  </si>
  <si>
    <t>24.07.2025 08:24:06</t>
  </si>
  <si>
    <t>24.07.2025 08:34:55</t>
  </si>
  <si>
    <t>Error: locator.click: Error: strict mode violation: locator('tr:has-text(\'\'):has-text(\'GBL, Wohnkosten, EFB, Unselbständiges Erwerbseinkommen\'):has-text(\'12_E2E_2025.7.24|8:19:59_799\') button') resolved to 6 elements:    1) &lt;button mat-icon-button="" _ngcontent-ng-c1523616483="" mat-ripple-loader-centered="" mat-ripple-loader-uninitialized="" mat-ripple-loader-class-name="mat-mdc-button-ripple" class="mdc-icon-button mat-mdc-icon-button mat-unthemed mat-mdc-button-base"&gt;…&lt;/button&gt; aka getByRole('row', { name: 'Freigegeben 31.10.2025 12_E2E_2025.7.24|8:19:59_799 GBL, Wohnkosten, EFB,' }).getByRole('button')    2) &lt;button mat-icon-button="" _ngcontent-ng-c1523616483="" mat-ripple-loader-centered="" mat-ripple-loader-uninitialized="" mat-ripple-loader-class-name="mat-mdc-button-ripple" class="mdc-icon-button mat-mdc-icon-button mat-unthemed mat-mdc-button-base"&gt;…&lt;/button&gt; aka getByRole('row', { name: 'Freigegeben 30.09.2025 12_E2E_2025.7.24|8:19:59_799 GBL, Wohnkosten, EFB,' }).getByRole('button')    3) &lt;button mat-icon-button="" _ngcontent-ng-c1523616483="" mat-ripple-loader-centered="" mat-ripple-loader-uninitialized="" mat-ripple-loader-class-name="mat-mdc-button-ripple" class="mdc-icon-button mat-mdc-icon-button mat-unthemed mat-mdc-button-base"&gt;…&lt;/button&gt; aka getByRole('row', { name: 'Freigegeben 31.07.2025 12_E2E_2025.7.24|8:19:59_799 GBL, Wohnkosten, EFB,' }).getByRole('button')    4) &lt;button mat-icon-button="" _ngcontent-ng-c1523616483="" mat-ripple-loader-centered="" mat-ripple-loader-uninitialized="" mat-ripple-loader-class-name="mat-mdc-button-ripple" class="mdc-icon-button mat-mdc-icon-button mat-unthemed mat-mdc-button-base"&gt;…&lt;/button&gt; aka getByRole('row', { name: 'Freigegeben 28.11.2025 12_E2E_2025.7.24|8:19:59_799 GBL, Wohnkosten, EFB,' }).getByRole('button')    5) &lt;button mat-icon-button="" _ngcontent-ng-c1523616483="" mat-ripple-loader-centered="" mat-ripple-loader-uninitialized="" mat-ripple-loader-class-name="mat-mdc-button-ripple" class="mdc-icon-button mat-mdc-icon-button mat-unthemed mat-mdc-button-base"&gt;…&lt;/button&gt; aka getByRole('row', { name: 'Freigegeben 29.08.2025 12_E2E_2025.7.24|8:19:59_799 GBL, Wohnkosten, EFB,' }).getByRole('button')    6) &lt;button mat-icon-button="" _ngcontent-ng-c1523616483="" mat-ripple-loader-centered="" mat-ripple-loader-uninitialized="" mat-ripple-loader-class-name="mat-mdc-button-ripple" class="mdc-icon-button mat-mdc-icon-button mat-unthemed mat-mdc-button-base"&gt;…&lt;/button&gt; aka getByRole('row', { name: 'Freigegeben 30.06.2025 12_E2E_2025.7.24|8:19:59_799 GBL, Wohnkosten, EFB,' }).getByRole('button')Call log:[2m  - waiting for locator('tr:has-text(\'\'):has-text(\'GBL, Wohnkosten, EFB, Unselbständiges Erwerbseinkommen\'):has-text(\'12_E2E_2025.7.24|8:19:59_799\') button')[22m
Screenshots: C:\Aventis\Aventis_Playwright-\test-results\videos\006_KeyWords_Smoketest_V2-BC02-BC02-Microsoft-Edge\test-failed-1.png
Videos: C:\Aventis\Aventis_Playwright-\test-results\videos\006_KeyWords_Smoketest_V2-BC02-BC02-Microsoft-Edge\video.webm</t>
  </si>
  <si>
    <t>24.07.2025 08:43:45</t>
  </si>
  <si>
    <t>24.07.2025 08:44:09</t>
  </si>
  <si>
    <t>24.07.2025 08:47:32</t>
  </si>
  <si>
    <t>Error: No unique result found
Screenshots: C:\Aventis\Aventis_Playwright-\test-results\videos\006_KeyWords_Smoketest_V2-DO12-DO12-Microsoft-Edge\test-failed-1.png
Videos: C:\Aventis\Aventis_Playwright-\test-results\videos\006_KeyWords_Smoketest_V2-DO12-DO12-Microsoft-Edge\video.webm</t>
  </si>
  <si>
    <t>24.07.2025 08:55:15</t>
  </si>
  <si>
    <t>Error: locator.click: Test ended.Call log:[2m  - waiting for getByTestId('button-import').first()[22m[2m    - locator resolved to &lt;button disabled="true" mat-flat-button="" data-cy="button-import" data-testid="button-import" _ngcontent-ng-c4231629664="" mat-ripple-loader-class-name="mat-mdc-button-ripple" class="primary mdc-button mdc-button--unelevated mat-mdc-unelevated-button mat-unthemed mat-mdc-button-base mat-mdc-button-disabled"&gt;…&lt;/button&gt;[22m[2m  - attempting click action[22m[2m    2 × waiting for element to be visible, enabled and stable[22m[2m      - element is not enabled[22m[2m    - retrying click action[22m[2m    - waiting 20ms[22m[2m    - waiting for element to be visible, enabled and stable[22m[2m    - element is not enabled[22m[2m  - retrying click action[22m[2m    - waiting 100ms[22m[2m    - waiting for element to be visible, enabled and stable[22m[2m    - element is not stable[22m[2m  - retrying click action[22m[2m    - waiting 100ms[22m[2m    6 × waiting for element to be visible, enabled and stable[22m[2m      - element is not enabled[22m[2m    - retrying click action[22m[2m      - waiting 500ms[22m[2m    3 × waiting for element to be visible, enabled and stable[22m[2m      - element is not stable[22m[2m    - retrying click action[22m[2m      - waiting 500ms[22m[2m    2 × waiting for element to be visible, enabled and stable[22m[2m      - element is not enabled[22m[2m    - retrying click action[22m[2m      - waiting 500ms[22m[2m    - waiting for element to be visible, enabled and stable[22m[2m    - element is not stable[22m[2m  315 × retrying click action[22m[2m        - waiting 500ms[22m[2m        - waiting for element to be visible, enabled and stable[22m[2m        - element is not enabled[22m[2m  - retrying click action[22m[2m    - waiting 500ms[22m[2m    - waiting for element to be visible, enabled and stable[22m
Screenshots: C:\Aventis\Aventis_Playwright-\test-results\videos\006_KeyWords_Smoketest_V2-DO12b-DO12b-Microsoft-Edge\test-failed-1.png
Videos: C:\Aventis\Aventis_Playwright-\test-results\videos\006_KeyWords_Smoketest_V2-DO12b-DO12b-Microsoft-Edge\video.webm</t>
  </si>
  <si>
    <t>24.07.2025 15:47:38</t>
  </si>
  <si>
    <t>24.07.2025 15:57:20</t>
  </si>
  <si>
    <t>24.07.2025 17:55:15</t>
  </si>
  <si>
    <t>Error: locator.click: Error: strict mode violation: locator('mat-option:has-text("Müller12829, Liam")') resolved to 2 elements:    1) &lt;mat-option role="option" id="mat-option-578" aria-selected="false" aria-disabled="false" _ngcontent-ng-c2272617635="" class="mat-mdc-option mdc-list-item ng-star-inserted"&gt;…&lt;/mat-option&gt; aka locator('#mat-option-578')    2) &lt;mat-option role="option" id="mat-option-579" aria-selected="false" aria-disabled="false" _ngcontent-ng-c2272617635="" class="mat-mdc-option mdc-list-item ng-star-inserted"&gt;…&lt;/mat-option&gt; aka locator('#mat-option-579')Call log:[2m  - waiting for locator('mat-option:has-text("Müller12829, Liam")')[22m
Screenshots: C:\Aventis\Aventis_Playwright-\test-results\videos\006_KeyWords_Smoketest_V2-BU02-BU02-Microsoft-Edge\test-failed-1.png
Videos: C:\Aventis\Aventis_Playwright-\test-results\videos\006_KeyWords_Smoketest_V2-BU02-BU02-Microsoft-Edge\video.webm</t>
  </si>
  <si>
    <t>Error: locator.click: Test timeout of 1200000ms exceeded.Call log:[2m  - waiting for getByRole('link', { name: /Dokumente|Documents/i })[22m[2m    - locator resolved to &lt;a tabindex="0" appnavigationitem="" _nghost-ng-c1836096494="" routerlinkactive="focused" mattooltipposition="after" app-navigation-tree-node="" _ngcontent-ng-c1729762730="" data-testid="DossierDokumenteRoute" class="mat-mdc-tooltip-trigger undecorated-link ng-star-inserted" href="/dossiers/318b09bb-b360-4b94-a510-cd2d35d26e45/beratung/dokumente"&gt;…&lt;/a&gt;[22m[2m  - attempting click action[22m[2m    - waiting for element to be visible, enabled and stable[22m[2m    - element is visible, enabled and stable[22m[2m    - scrolling into view if needed[22m[2m    - done scrolling[22m[2m    - &lt;app-navigation-drawer-item tabindex="0" role="button" _nghost-ng-c1619962178="" _ngcontent-ng-c2072100946="" class="ng-tns-c2072100946-7"&gt;…&lt;/app-navigation-drawer-item&gt; from &lt;app-navigation-tree-group _nghost-ng-c2072100946="" _ngcontent-ng-c1729762730="" data-testid="AnspruchspruefungNode" class="ng-tns-c2072100946-7 ng-star-inserted"&gt;…&lt;/app-navigation-tree-group&gt; subtree intercepts pointer events[22m[2m  - retrying click action[22m[2m    - waiting for element to be visible, enabled and stable[22m[2m    - element is visible, enabled and stable[22m[2m    - scrolling into view if needed[22m[2m    - done scrolling[22m[2m    - &lt;app-navigation-drawer-item tabindex="0" role="button" _nghost-ng-c1619962178="" _ngcontent-ng-c2072100946="" class="ng-tns-c2072100946-6"&gt;…&lt;/app-navigation-drawer-item&gt; intercepts pointer events[22m[2m  - retrying click action[22m[2m    - waiting 20ms[22m[2m    2 × waiting for element to be visible, enabled and stable[22m[2m      - element is not visible[22m[2m    - retrying click action[22m[2m      - waiting 100ms[22m[2m    2252 × waiting for element to be visible, enabled and stable[22m[2m         - element is not visible[22m[2m       - retrying click action[22m[2m         - waiting 500ms[22m
Screenshots: C:\Aventis\Aventis_Playwright-\test-results\videos\006_KeyWords_Smoketest_V2-H04c-H04c-Microsoft-Edge\test-failed-1.png
Videos: C:\Aventis\Aventis_Playwright-\test-results\videos\006_KeyWords_Smoketest_V2-H04c-H04c-Microsoft-Edge\video.webm</t>
  </si>
  <si>
    <t>Error: locator.click: Test timeout of 1200000ms exceeded.Call log:[2m  - waiting for locator('app-navigation-tree').getByRole('link').filter({ hasText: 'Rossi25983, Mia' })[22m[2m    - locator resolved to &lt;a tabindex="0" appnavigationitem="" _nghost-ng-c1836096494="" data-testid="KlientRoute" routerlinkactive="focused" mattooltipposition="after" app-navigation-tree-node="" cdk-describedby-host="ng-1" _ngcontent-ng-c1729762730="" aria-describedby="cdk-describedby-message-ng-1-15" class="mat-mdc-tooltip-trigger undecorated-link ng-star-inserted" href="/dossiers/0b1ddfa8-9854-4473-abaa-86e4339a5fe0/klienten/b74ebe94-9d9b-4289-bf6f-b146c5726443"&gt;…&lt;/a&gt;[22m[2m  - attempting click action[22m[2m    - waiting for element to be visible, enabled and stable[22m[2m    - element is visible, enabled and stable[22m[2m    - scrolling into view if needed[22m[2m    - done scrolling[22m[2m    - &lt;app-navigation-drawer-item tabindex="0" role="button" _nghost-ng-c1619962178="" _ngcontent-ng-c2072100946="" class="ng-tns-c2072100946-5"&gt;…&lt;/app-navigation-drawer-item&gt; from &lt;app-navigation-tree-group data-testid="UmfeldNode" _nghost-ng-c2072100946="" _ngcontent-ng-c1729762730="" class="ng-tns-c2072100946-5 ng-star-inserted"&gt;…&lt;/app-navigation-tree-group&gt; subtree intercepts pointer events[22m[2m  - retrying click action[22m[2m    - waiting for element to be visible, enabled and stable[22m[2m    - element is visible, enabled and stable[22m[2m    - scrolling into view if needed[22m[2m    - done scrolling[22m[2m    - &lt;app-navigation-drawer-item tabindex="0" role="button" _nghost-ng-c1619962178="" _ngcontent-ng-c2072100946="" class="ng-tns-c2072100946-4"&gt;…&lt;/app-navigation-drawer-item&gt; intercepts pointer events[22m[2m  - retrying click action[22m[2m    - waiting 20ms[22m[2m    2 × waiting for element to be visible, enabled and stable[22m[2m      - element is not visible[22m[2m    - retrying click action[22m[2m      - waiting 100ms[22m[2m    2261 × waiting for element to be visible, enabled and stable[22m[2m         - element is not visible[22m[2m       - retrying click action[22m[2m         - waiting 500ms[22m
Screenshots: C:\Aventis\Aventis_Playwright-\test-results\videos\006_KeyWords_Smoketest_V2-P10b-P10b-Microsoft-Edge\test-failed-1.png
Videos: C:\Aventis\Aventis_Playwright-\test-results\videos\006_KeyWords_Smoketest_V2-P10b-P10b-Microsoft-Edge\video.webm</t>
  </si>
  <si>
    <t>Error: locator.click: Error: strict mode violation: getByRole('link', { name: /Bewilligung öffnen|Ouvrir la validation/i }) resolved to 2 elements:    1) &lt;a mat-flat-button="" mat-ripple-loader-uninitialized="" mat-ripple-loader-class-name="mat-mdc-button-ripple" class="primary mdc-button mdc-button--unelevated mat-mdc-unelevated-button mat-unthemed mat-mdc-button-base" data-testid="dossiers-klienten?bewilligung-entity=a8cbd24f-04c3-48bb-af49-1e65ebb04c80#a8cbd24f-04c3-48bb-af49-1e65ebb04c80,sidesheet" href="/dossiers/8c0fc744-bd14-41ae-94d3-2758f7d9b5e1/klienten/a0ce7fc2-17fb-4ec5-9205-f7930bc2c787?bewilligung-entity=a8cbd24f-04c3-48bb-af49-1e65e…&gt;…&lt;/a&gt; aka getByTestId('dossiers-klienten?bewilligung-entity=a8cbd24f-04c3-48bb-af49-1e65ebb04c80#a8cbd24f-04c3-48bb-af49-1e65ebb04c80,sidesheet')    2) &lt;a mat-flat-button="" mat-ripple-loader-uninitialized="" mat-ripple-loader-class-name="mat-mdc-button-ripple" class="primary mdc-button mdc-button--unelevated mat-mdc-unelevated-button mat-unthemed mat-mdc-button-base" data-testid="dossiers-klienten?bewilligung-entity=3541ea6f-54ea-41a2-8a9f-d76c3a114e9f#3541ea6f-54ea-41a2-8a9f-d76c3a114e9f,sidesheet" href="/dossiers/8c0fc744-bd14-41ae-94d3-2758f7d9b5e1/klienten/a0ce7fc2-17fb-4ec5-9205-f7930bc2c787?bewilligung-entity=3541ea6f-54ea-41a2-8a9f-d76c3…&gt;…&lt;/a&gt; aka getByTestId('dossiers-klienten?bewilligung-entity=3541ea6f-54ea-41a2-8a9f-d76c3a114e9f#3541ea6f-54ea-41a2-8a9f-d76c3a114e9f,sidesheet')Call log:[2m  - waiting for getByRole('link', { name: /Bewilligung öffnen|Ouvrir la validation/i })[22m
Screenshots: C:\Aventis\Aventis_Playwright-\test-results\videos\006_KeyWords_Smoketest_V2-Z01b-Z01b-Microsoft-Edge\test-failed-1.png
Videos: C:\Aventis\Aventis_Playwright-\test-results\videos\006_KeyWords_Smoketest_V2-Z01b-Z01b-Microsoft-Edge\video.webm</t>
  </si>
  <si>
    <t>24.07.2025 19:37:23</t>
  </si>
  <si>
    <t>Error: locator.click: Target page, context or browser has been closedCall log:[2m  - waiting for getByRole('option', { name: 'Bern Sozialarbeiterin 1B' })[22m
Videos: C:\Aventis\Aventis_Playwright-\test-results\videos\006_KeyWords_Smoketest_V2-DO12b-DO12b-Microsoft-Edge\video.webm</t>
  </si>
  <si>
    <t>Error: locator.click: Error: strict mode violation: getByRole('link', { name: /Bewilligung öffnen|Ouvrir la validation/i }) resolved to 2 elements:    1) &lt;a mat-flat-button="" mat-ripple-loader-uninitialized="" mat-ripple-loader-class-name="mat-mdc-button-ripple" class="primary mdc-button mdc-button--unelevated mat-mdc-unelevated-button mat-unthemed mat-mdc-button-base" data-testid="dossiers-klienten?bewilligung-entity=2cae1787-90ed-4ac9-a326-2c8bb58f1eb6#2cae1787-90ed-4ac9-a326-2c8bb58f1eb6,sidesheet" href="/dossiers/f244c53d-76c8-4b22-8023-d9206c4b95f1/klienten/9015966b-53bd-41df-a07f-d4b8266512bb?bewilligung-entity=2cae1787-90ed-4ac9-a326-2c8bb…&gt;…&lt;/a&gt; aka getByTestId('dossiers-klienten?bewilligung-entity=2cae1787-90ed-4ac9-a326-2c8bb58f1eb6#2cae1787-90ed-4ac9-a326-2c8bb58f1eb6,sidesheet')    2) &lt;a mat-flat-button="" mat-ripple-loader-uninitialized="" mat-ripple-loader-class-name="mat-mdc-button-ripple" class="primary mdc-button mdc-button--unelevated mat-mdc-unelevated-button mat-unthemed mat-mdc-button-base" data-testid="dossiers-klienten?bewilligung-entity=52a5e818-5898-4168-9d5b-44423d58a013#52a5e818-5898-4168-9d5b-44423d58a013,sidesheet" href="/dossiers/f244c53d-76c8-4b22-8023-d9206c4b95f1/klienten/9015966b-53bd-41df-a07f-d4b8266512bb?bewilligung-entity=52a5e818-5898-4168-9d5b-44423…&gt;…&lt;/a&gt; aka getByTestId('dossiers-klienten?bewilligung-entity=52a5e818-5898-4168-9d5b-44423d58a013#52a5e818-5898-4168-9d5b-44423d58a013,sidesheet')Call log:[2m  - waiting for getByRole('link', { name: /Bewilligung öffnen|Ouvrir la validation/i })[22m
Screenshots: C:\Aventis\Aventis_Playwright-\test-results\videos\006_KeyWords_Smoketest_V2-Z01b-Z01b-Microsoft-Edge\test-failed-1.png
Videos: C:\Aventis\Aventis_Playwright-\test-results\videos\006_KeyWords_Smoketest_V2-Z01b-Z01b-Microsoft-Edge\video.webm</t>
  </si>
  <si>
    <t>24.07.2025 23:36:24</t>
  </si>
  <si>
    <t>24.07.2025 23:36:25</t>
  </si>
  <si>
    <t>Error: page.waitForResponse: Test timeout of 1200000ms exceeded.
Screenshots: C:\Aventis\Aventis_Playwright-\test-results\videos\006_KeyWords_Smoketest_V2-DO12b-DO12b-Microsoft-Edge\test-failed-1.png
Videos: C:\Aventis\Aventis_Playwright-\test-results\videos\006_KeyWords_Smoketest_V2-DO12b-DO12b-Microsoft-Edge\video.webm</t>
  </si>
  <si>
    <t>Error: locator.click: Error: strict mode violation: getByRole('link', { name: /Bewilligung öffnen|Ouvrir la validation/i }) resolved to 2 elements:    1) &lt;a mat-flat-button="" mat-ripple-loader-uninitialized="" mat-ripple-loader-class-name="mat-mdc-button-ripple" class="primary mdc-button mdc-button--unelevated mat-mdc-unelevated-button mat-unthemed mat-mdc-button-base" data-testid="dossiers-klienten?bewilligung-entity=b8fa529b-3054-4201-a381-8382c6f49ae3#b8fa529b-3054-4201-a381-8382c6f49ae3,sidesheet" href="/dossiers/d9cabd5d-2eb2-4761-95fa-d2ba30eb0370/klienten/d87158fa-823c-4f5e-baf0-41415f08c416?bewilligung-entity=b8fa529b-3054-4201-a381-8382c…&gt;…&lt;/a&gt; aka getByTestId('dossiers-klienten?bewilligung-entity=b8fa529b-3054-4201-a381-8382c6f49ae3#b8fa529b-3054-4201-a381-8382c6f49ae3,sidesheet')    2) &lt;a mat-flat-button="" mat-ripple-loader-uninitialized="" mat-ripple-loader-class-name="mat-mdc-button-ripple" class="primary mdc-button mdc-button--unelevated mat-mdc-unelevated-button mat-unthemed mat-mdc-button-base" data-testid="dossiers-klienten?bewilligung-entity=40731ced-0ce6-44d4-93f5-9663fe596a67#40731ced-0ce6-44d4-93f5-9663fe596a67,sidesheet" href="/dossiers/d9cabd5d-2eb2-4761-95fa-d2ba30eb0370/klienten/d87158fa-823c-4f5e-baf0-41415f08c416?bewilligung-entity=40731ced-0ce6-44d4-93f5-9663f…&gt;…&lt;/a&gt; aka getByTestId('dossiers-klienten?bewilligung-entity=40731ced-0ce6-44d4-93f5-9663fe596a67#40731ced-0ce6-44d4-93f5-9663fe596a67,sidesheet')Call log:[2m  - waiting for getByRole('link', { name: /Bewilligung öffnen|Ouvrir la validation/i })[22m
Screenshots: C:\Aventis\Aventis_Playwright-\test-results\videos\006_KeyWords_Smoketest_V2-Z01b-Z01b-Microsoft-Edge\test-failed-1.png
Videos: C:\Aventis\Aventis_Playwright-\test-results\videos\006_KeyWords_Smoketest_V2-Z01b-Z01b-Microsoft-Edge\video.webm</t>
  </si>
  <si>
    <t>05.08.2025 16:09:15</t>
  </si>
  <si>
    <t>Error: [31mTimed out 20000ms waiting for [39m[2mexpect([22m[31mlocator[39m[2m).[22mtoContainText[2m([22m[32mexpected[39m[2m)[22mLocator: locator('tfoot td[class*=\'currency-column\']')Expected string: [32m"CHF 21’361.10"[39mReceived string: [31m" Total Betrag: CHF 2’982.00 "[39mCall log:[2m  - Expect "soft toContainText" with timeout 20000ms[22m[2m  - waiting for locator('tfoot td[class*=\'currency-column\']')[22m[2m    13 × locator resolved to &lt;td colspan="2" role="cell" mat-footer-cell="" _ngcontent-ng-c2887877529="" class="mat-mdc-footer-cell mdc-data-table__cell cdk-footer-cell currency-column font-bold cdk-column-kreditor mat-column-kreditor ng-star-inserted"&gt; Total Betrag: CHF 0.00 &lt;/td&gt;[22m[2m       - unexpected value " Total Betrag: CHF 0.00 "[22m[2m    10 × locator resolved to &lt;td colspan="2" role="cell" mat-footer-cell="" _ngcontent-ng-c2887877529="" class="mat-mdc-footer-cell mdc-data-table__cell cdk-footer-cell currency-column font-bold cdk-column-kreditor mat-column-kreditor ng-star-inserted"&gt; Total Betrag: CHF 2’982.00 &lt;/td&gt;[22m[2m       - unexpected value " Total Betrag: CHF 2’982.00 "[22m
Screenshots: C:\Aventis\Aventis_Playwright-\test-results\videos\006_KeyWords_Smoketest_V2-001b-001b-Microsoft-Edge\test-failed-1.png
Videos: C:\Aventis\Aventis_Playwright-\test-results\videos\006_KeyWords_Smoketest_V2-001b-001b-Microsoft-Edge\video.webm</t>
  </si>
  <si>
    <t>Error: locator.click: Test timeout of 900000ms exceeded.Call log:[2m  - waiting for locator('mat-expansion-panel-header:has-text(\'04.08.2025\')').getByRole('button', { name: /Bearbeiten|Modifier/i }).last()[22m
Screenshots: C:\Aventis\Aventis_Playwright-\test-results\videos\006_KeyWords_Smoketest_V2-A01b-A01b-Microsoft-Edge\test-failed-1.png
Videos: C:\Aventis\Aventis_Playwright-\test-results\videos\006_KeyWords_Smoketest_V2-A01b-A01b-Microsoft-Edge\video.webm</t>
  </si>
  <si>
    <t>Error: locator.click: Test timeout of 900000ms exceeded.Call log:[2m  - waiting for locator('mat-expansion-panel-header:has-text(\'04.08.2025\')').getByRole('button', { name: /Bearbeiten|Modifier/i }).last()[22m
Screenshots: C:\Aventis\Aventis_Playwright-\test-results\videos\006_KeyWords_Smoketest_V2-A01c-A01c-Microsoft-Edge\test-failed-1.png
Videos: C:\Aventis\Aventis_Playwright-\test-results\videos\006_KeyWords_Smoketest_V2-A01c-A01c-Microsoft-Edge\video.webm</t>
  </si>
  <si>
    <t>Error: locator.click: Test timeout of 900000ms exceeded.Call log:[2m  - waiting for getByTestId('FevUebersichtRoute')[22m[2m    - locator resolved to &lt;a tabindex="0" appnavigationitem="" _nghost-ng-c1836096494="" routerlinkactive="focused" mattooltipposition="after" app-navigation-tree-node="" _ngcontent-ng-c1729762730="" data-testid="FevUebersichtRoute" class="mat-mdc-tooltip-trigger undecorated-link ng-star-inserted" href="/dossiers/6b88f8e2-22e7-4ecb-8f82-55d87d7d273c/fev/1da92628-883d-4034-8886-ec408b212aa3/uebersicht"&gt;…&lt;/a&gt;[22m[2m  - attempting click action[22m[2m    - waiting for element to be visible, enabled and stable[22m[2m    - element is not stable[22m[2m  - retrying click action[22m[2m    2 × waiting for element to be visible, enabled and stable[22m[2m    - element was detached from the DOM, retrying[22m[2m      - locator resolved to &lt;a tabindex="0" appnavigationitem="" _nghost-ng-c1836096494="" routerlinkactive="focused" mattooltipposition="after" app-navigation-tree-node="" _ngcontent-ng-c1729762730="" data-testid="FevUebersichtRoute" class="mat-mdc-tooltip-trigger undecorated-link ng-star-inserted focused" href="/dossiers/6b88f8e2-22e7-4ecb-8f82-55d87d7d273c/fev/1da92628-883d-4034-8886-ec408b212aa3/uebersicht"&gt;…&lt;/a&gt;[22m[2m    - attempting click action[22m[2m      - waiting for element to be visible, enabled and stable[22m[2m      - element is not visible[22m[2m    - retrying click action[22m[2m      - waiting for element to be visible, enabled and stable[22m[2m      - element is not visible[22m[2m    - retrying click action[22m[2m      - waiting 20ms[22m[2m      - waiting for element to be visible, enabled and stable[22m[2m      - element is not visible[22m[2m    - retrying click action[22m[2m      - waiting 100ms[22m[2m      - waiting for element to be visible, enabled and stable[22m[2m      - element is not visible[22m[2m    - retrying click action[22m[2m      - waiting 100ms[22m[2m      - waiting for element to be visible, enabled and stable[22m[2m      - element is not visible[22m[2m    - retrying click action[22m[2m      - waiting 500ms[22m[2m    10 × waiting for element to be visible, enabled and stable[22m[2m       - element is not visible[22m[2m     - retrying click action[22m[2m       - waiting 500ms[22m[2m    - waiting for element to be visible, enabled and stable[22m[2m  - element was detached from the DOM, retrying[22m[2m    - locator resolved to &lt;a tabindex="0" appnavigationitem="" _nghost-ng-c1836096494="" routerlinkactive="focused" mattooltipposition="after" app-navigation-tree-node="" _ngcontent-ng-c1729762730="" data-testid="FevUebersichtRoute" class="mat-mdc-tooltip-trigger undecorated-link ng-star-inserted focused" href="/dossiers/6b88f8e2-22e7-4ecb-8f82-55d87d7d273c/fev/1da92628-883d-4034-8886-ec408b212aa3/uebersicht"&gt;…&lt;/a&gt;[22m[2m  - attempting click action[22m[2m    2 × waiting for element to be visible, enabled and stable[22m[2m      - element is not visible[22m[2m    - retrying click action[22m[2m    - waiting 20ms[22m[2m    2 × waiting for element to be visible, enabled and stable[22m[2m      - element is not visible[22m[2m    - retrying click action[22m[2m      - waiting 100ms[22m[2m    1637 × waiting for element to be visible, enabled and stable[22m[2m         - element is not visible[22m[2m       - retrying click action[22m[2m         - waiting 500ms[22m
Screenshots: C:\Aventis\Aventis_Playwright-\test-results\videos\006_KeyWords_Smoketest_V2-A02-FE00-A02-FE00-Microsoft-Edge\test-failed-1.png
Videos: C:\Aventis\Aventis_Playwright-\test-results\videos\006_KeyWords_Smoketest_V2-A02-FE00-A02-FE00-Microsoft-Edge\video.webm</t>
  </si>
  <si>
    <t>Error: locator.click: Test timeout of 900000ms exceeded.Call log:[2m  - waiting for locator('mat-option').first()[22m
Screenshots: C:\Aventis\Aventis_Playwright-\test-results\videos\006_KeyWords_Smoketest_V2-A03-FE01-A03-FE01-Microsoft-Edge\test-failed-1.png
Videos: C:\Aventis\Aventis_Playwright-\test-results\videos\006_KeyWords_Smoketest_V2-A03-FE01-A03-FE01-Microsoft-Edge\video.webm</t>
  </si>
  <si>
    <t>Error: [31mTimed out 20000ms waiting for [39m[2mexpect([22m[31mlocator[39m[2m).[22mtoBeVisible[2m()[22mLocator: locator('tbody tr').filter({ hasText: /(?=.*Miete)(?=.*und)(?=.*Nebenkosten)(?=.*vom)(?=.*Lohn)(?=.*Klientschaft)(?=.*Wiederkehrende)(?=.*Zahlung)(?=.*3000)(?=.*Miete)(?=.*und)(?=.*Nebenkosten)(?=.*)(?=.*)(?=.*Monatlich)/i }).filter({ hasText: 'Rossi28853, Noah - CH53 0078 9100 0000 4812 1' })Expected: visibleReceived: &lt;element(s) not found&gt;Call log:[2m  - Expect "soft toBeVisible" with timeout 20000ms[22m[2m  - waiting for locator('tbody tr').filter({ hasText: /(?=.*Miete)(?=.*und)(?=.*Nebenkosten)(?=.*vom)(?=.*Lohn)(?=.*Klientschaft)(?=.*Wiederkehrende)(?=.*Zahlung)(?=.*3000)(?=.*Miete)(?=.*und)(?=.*Nebenkosten)(?=.*)(?=.*)(?=.*Monatlich)/i }).filter({ hasText: 'Rossi28853, Noah - CH53 0078 9100 0000 4812 1' })[22m
Screenshots: C:\Aventis\Aventis_Playwright-\test-results\videos\006_KeyWords_Smoketest_V2-A04-FE02-A04-FE02-Microsoft-Edge\test-failed-1.png
Videos: C:\Aventis\Aventis_Playwright-\test-results\videos\006_KeyWords_Smoketest_V2-A04-FE02-A04-FE02-Microsoft-Edge\video.webm</t>
  </si>
  <si>
    <t>Error: locator.isChecked: Test timeout of 900000ms exceeded.Call log:[2m  - waiting for locator('thead mat-checkbox input')[22m
Screenshots: C:\Aventis\Aventis_Playwright-\test-results\videos\006_KeyWords_Smoketest_V2-A05-FE03-A05-FE03-Microsoft-Edge\test-failed-1.png
Videos: C:\Aventis\Aventis_Playwright-\test-results\videos\006_KeyWords_Smoketest_V2-A05-FE03-A05-FE03-Microsoft-Edge\video.webm</t>
  </si>
  <si>
    <t>Error: locator.click: Test timeout of 900000ms exceeded.Call log:[2m  - waiting for locator('mat-option').last()[22m
Screenshots: C:\Aventis\Aventis_Playwright-\test-results\videos\006_KeyWords_Smoketest_V2-AN01-AN01-Microsoft-Edge\test-failed-1.png
Videos: C:\Aventis\Aventis_Playwright-\test-results\videos\006_KeyWords_Smoketest_V2-AN01-AN01-Microsoft-Edge\video.webm</t>
  </si>
  <si>
    <t>Error: [31mTimed out 20000ms waiting for [39m[2mexpect([22m[31mlocator[39m[2m).[22mtoContainText[2m([22m[32mexpected[39m[2m)[22mLocator: locator('td[class=\'currency-column total-row\']')Expected pattern: [32m/(27 361,10.*6 000,00)|(27’361.10.*6’000.00)/i[39mReceived string:  [31m" 07.05. - 31.12.2025 - Total Ausgaben: 3’982.00 Total Einnahmen: 1’000.00 Saldo: 2’982.00"[39mCall log:[2m  - Expect "soft toContainText" with timeout 20000ms[22m[2m  - waiting for locator('td[class=\'currency-column total-row\']')[22m[2m    18 × locator resolved to &lt;td colspan="100%" _ngcontent-ng-c821186568="" class="currency-column total-row"&gt;…&lt;/td&gt;[22m[2m       - unexpected value " 07.05. - 31.12.2025 - Total Ausgaben: 3’982.00 Total Einnahmen: 1’000.00 Saldo: 2’982.00"[22m
Screenshots: C:\Aventis\Aventis_Playwright-\test-results\videos\006_KeyWords_Smoketest_V2-AW01-AW01-Microsoft-Edge\test-failed-1.png
Videos: C:\Aventis\Aventis_Playwright-\test-results\videos\006_KeyWords_Smoketest_V2-AW01-AW01-Microsoft-Edge\video.webm</t>
  </si>
  <si>
    <t>Error: locator.click: Test timeout of 900000ms exceeded.Call log:[2m  - waiting for locator('mark').first()[22m
Screenshots: C:\Aventis\Aventis_Playwright-\test-results\videos\006_KeyWords_Smoketest_V2-AW01b-AW01b-Microsoft-Edge\test-failed-1.png
Videos: C:\Aventis\Aventis_Playwright-\test-results\videos\006_KeyWords_Smoketest_V2-AW01b-AW01b-Microsoft-Edge\video.webm</t>
  </si>
  <si>
    <t>Error: locator.click: Test ended.Call log:[2m  - waiting for locator('a[href$=\'sidesheet\']:visible')[22m
Screenshots: C:\Aventis\Aventis_Playwright-\test-results\videos\006_KeyWords_Smoketest_V2-BC00-BC00-Microsoft-Edge\test-failed-1.png
Videos: C:\Aventis\Aventis_Playwright-\test-results\videos\006_KeyWords_Smoketest_V2-BC00-BC00-Microsoft-Edge\video.webm</t>
  </si>
  <si>
    <t>05.08.2025 16:15:04</t>
  </si>
  <si>
    <t>05.08.2025 16:22:04</t>
  </si>
  <si>
    <t>05.08.2025 16:43:41</t>
  </si>
  <si>
    <t>Error: [31mTimed out 20000ms waiting for [39m[2mexpect([22m[31mlocator[39m[2m).[22mtoContainText[2m([22m[32mexpected[39m[2m)[22mLocator: locator('tfoot td[class*=\'currency-column\']')Expected string: [32m"CHF 21’361.10"[39mReceived string: [31m" Total Betrag: CHF 18’392.00 "[39mCall log:[2m  - Expect "soft toContainText" with timeout 20000ms[22m[2m  - waiting for locator('tfoot td[class*=\'currency-column\']')[22m[2m    2 × locator resolved to &lt;td colspan="2" role="cell" mat-footer-cell="" _ngcontent-ng-c2887877529="" class="mat-mdc-footer-cell mdc-data-table__cell cdk-footer-cell currency-column font-bold cdk-column-kreditor mat-column-kreditor ng-star-inserted"&gt; Total Betrag: CHF 0.00 &lt;/td&gt;[22m[2m      - unexpected value " Total Betrag: CHF 0.00 "[22m[2m    16 × locator resolved to &lt;td colspan="2" role="cell" mat-footer-cell="" _ngcontent-ng-c2887877529="" class="mat-mdc-footer-cell mdc-data-table__cell cdk-footer-cell currency-column font-bold cdk-column-kreditor mat-column-kreditor ng-star-inserted"&gt; Total Betrag: CHF 18’392.00 &lt;/td&gt;[22m[2m       - unexpected value " Total Betrag: CHF 18’392.00 "[22m
Screenshots: C:\Aventis\Aventis_Playwright-\test-results\videos\006_KeyWords_Smoketest_V2-001b-001b-Microsoft-Edge\test-failed-1.png
Videos: C:\Aventis\Aventis_Playwright-\test-results\videos\006_KeyWords_Smoketest_V2-001b-001b-Microsoft-Edge\video.webm</t>
  </si>
  <si>
    <t>05.08.2025 16:43:42</t>
  </si>
  <si>
    <t>05.08.2025 17:02:04</t>
  </si>
  <si>
    <t>Error: [31mTimed out 20000ms waiting for [39m[2mexpect([22m[31mlocator[39m[2m).[22mtoContainText[2m([22m[32mexpected[39m[2m)[22mLocator: locator('tfoot td[class*=\'currency-column\']')Expected string: [32m"CHF 21’361.10"[39mReceived string: [31m" Total Betrag: CHF 18’392.00 "[39mCall log:[2m  - Expect "soft toContainText" with timeout 20000ms[22m[2m  - waiting for locator('tfoot td[class*=\'currency-column\']')[22m[2m    4 × locator resolved to &lt;td colspan="2" role="cell" mat-footer-cell="" _ngcontent-ng-c2887877529="" class="mat-mdc-footer-cell mdc-data-table__cell cdk-footer-cell currency-column font-bold cdk-column-kreditor mat-column-kreditor ng-star-inserted"&gt; Total Betrag: CHF 0.00 &lt;/td&gt;[22m[2m      - unexpected value " Total Betrag: CHF 0.00 "[22m[2m    19 × locator resolved to &lt;td colspan="2" role="cell" mat-footer-cell="" _ngcontent-ng-c2887877529="" class="mat-mdc-footer-cell mdc-data-table__cell cdk-footer-cell currency-column font-bold cdk-column-kreditor mat-column-kreditor ng-star-inserted"&gt; Total Betrag: CHF 18’392.00 &lt;/td&gt;[22m[2m       - unexpected value " Total Betrag: CHF 18’392.00 "[22m
Screenshots: C:\Aventis\Aventis_Playwright-\test-results\videos\006_KeyWords_Smoketest_V2-001b-001b-Microsoft-Edge\test-failed-1.png
Videos: C:\Aventis\Aventis_Playwright-\test-results\videos\006_KeyWords_Smoketest_V2-001b-001b-Microsoft-Edge\video.webm</t>
  </si>
  <si>
    <t>05.08.2025 17:20:58</t>
  </si>
  <si>
    <t>Error: [31mTimed out 20000ms waiting for [39m[2mexpect([22m[31mlocator[39m[2m).[22mtoContainText[2m([22m[32mexpected[39m[2m)[22mLocator: locator('tfoot td[class*=\'currency-column\']')Expected string: [32m"CHF [7m2[27m1’36[7m1.10[27m"[39mReceived string: [31m"[7m Total Betrag: [27mCHF 1[7m4[27m’36[7m3.00 [27m"[39mCall log:[2m  - Expect "soft toContainText" with timeout 20000ms[22m[2m  - waiting for locator('tfoot td[class*=\'currency-column\']')[22m[2m    4 × locator resolved to &lt;td colspan="2" role="cell" mat-footer-cell="" _ngcontent-ng-c2887877529="" class="mat-mdc-footer-cell mdc-data-table__cell cdk-footer-cell currency-column font-bold cdk-column-kreditor mat-column-kreditor ng-star-inserted"&gt; Total Betrag: CHF 3’594.00 &lt;/td&gt;[22m[2m      - unexpected value " Total Betrag: CHF 3’594.00 "[22m[2m    - locator resolved to &lt;td colspan="2" role="cell" mat-footer-cell="" _ngcontent-ng-c2887877529="" class="mat-mdc-footer-cell mdc-data-table__cell cdk-footer-cell currency-column font-bold cdk-column-kreditor mat-column-kreditor ng-star-inserted"&gt; Total Betrag: CHF 0.00 &lt;/td&gt;[22m[2m    - unexpected value " Total Betrag: CHF 0.00 "[22m[2m    18 × locator resolved to &lt;td colspan="2" role="cell" mat-footer-cell="" _ngcontent-ng-c2887877529="" class="mat-mdc-footer-cell mdc-data-table__cell cdk-footer-cell currency-column font-bold cdk-column-kreditor mat-column-kreditor ng-star-inserted"&gt; Total Betrag: CHF 14’363.00 &lt;/td&gt;[22m[2m       - unexpected value " Total Betrag: CHF 14’363.00 "[22m
Screenshots: C:\Aventis\Aventis_Playwright-\test-results\videos\006_KeyWords_Smoketest_V2-001b-001b-Microsoft-Edge\test-failed-1.png
Videos: C:\Aventis\Aventis_Playwright-\test-results\videos\006_KeyWords_Smoketest_V2-001b-001b-Microsoft-Edge\video.webm</t>
  </si>
  <si>
    <t>CHF 18’392.00</t>
  </si>
  <si>
    <t>09.08.2025 04:54:00</t>
  </si>
  <si>
    <t>Error: locator.click: Target page, context or browser has been closedCall log:[2m  - waiting for locator('mat-option:has-text("1_E2E_2025.8.8|17:40:11_657")').first()[22m
Videos: C:\Aventis\Aventis_Playwright-\test-results\videos\006_KeyWords_Smoketest_V2-001b-001b-Microsoft-Edge\video.webm</t>
  </si>
  <si>
    <t>Error: locator.click: Test timeout of 1200000ms exceeded.Call log:[2m  - waiting for locator('mat-expansion-panel-header:has-text(\'07.08.2025\')').getByRole('button', { name: /Bearbeiten|Modifier/i }).last()[22m
Screenshots: C:\Aventis\Aventis_Playwright-\test-results\videos\006_KeyWords_Smoketest_V2-A01b-A01b-Microsoft-Edge\test-failed-1.png
Videos: C:\Aventis\Aventis_Playwright-\test-results\videos\006_KeyWords_Smoketest_V2-A01b-A01b-Microsoft-Edge\video.webm</t>
  </si>
  <si>
    <t>Error: locator.click: Test timeout of 1200000ms exceeded.Call log:[2m  - waiting for locator('mat-expansion-panel-header:has-text(\'07.08.2025\')').getByRole('button', { name: /Bearbeiten|Modifier/i }).last()[22m
Screenshots: C:\Aventis\Aventis_Playwright-\test-results\videos\006_KeyWords_Smoketest_V2-A01c-A01c-Microsoft-Edge\test-failed-1.png
Videos: C:\Aventis\Aventis_Playwright-\test-results\videos\006_KeyWords_Smoketest_V2-A01c-A01c-Microsoft-Edge\video.webm</t>
  </si>
  <si>
    <t>Error: locator.click: Test timeout of 1200000ms exceeded.Call log:[2m  - waiting for locator('mat-option:has-text(\'1_E2E_2025.8.8|17:40:11_657 | WSH\'),mat-option:has-text(\'1_E2E_2025.8.8|17:40:11_657 | ASE\')')[22m
Screenshots: C:\Aventis\Aventis_Playwright-\test-results\videos\006_KeyWords_Smoketest_V2-AW01-AW01-Microsoft-Edge\test-failed-1.png
Videos: C:\Aventis\Aventis_Playwright-\test-results\videos\006_KeyWords_Smoketest_V2-AW01-AW01-Microsoft-Edge\video.webm</t>
  </si>
  <si>
    <t>Error: [31mTimed out 20000ms waiting for [39m[2mexpect([22m[31mlocator[39m[2m).[22mtoBeVisible[2m()[22mLocator: locator('app-navigation-drawer-item[class*=\'navigation-tree-actions\'] button').last()Expected: visibleReceived: hiddenCall log:[2m  - Expect "toBeVisible" with timeout 20000ms[22m[2m  - waiting for locator('app-navigation-drawer-item[class*=\'navigation-tree-actions\'] button').last()[22m[2m    23 × locator resolved to &lt;button tabindex="0" role="button" mat-icon-button="" mat-ripple-loader-centered="" mat-ripple-loader-class-name="mat-mdc-button-ripple" class="mdc-icon-button mat-mdc-icon-button mat-unthemed mat-mdc-button-base"&gt;…&lt;/button&gt;[22m[2m       - unexpected value "hidden"[22m
Screenshots: C:\Aventis\Aventis_Playwright-\test-results\videos\006_KeyWords_Smoketest_V2-AW01b-AW01b-Microsoft-Edge\test-failed-1.png
Videos: C:\Aventis\Aventis_Playwright-\test-results\videos\006_KeyWords_Smoketest_V2-AW01b-AW01b-Microsoft-Edge\video.webm</t>
  </si>
  <si>
    <t>Error: locator.click: Test timeout of 1200000ms exceeded.Call log:[2m  - waiting for locator('tr').filter({ hasText: 'Februar 2026' }).locator('app-enum-selection mat-select')[22m
Screenshots: C:\Aventis\Aventis_Playwright-\test-results\videos\006_KeyWords_Smoketest_V2-BC00-BC00-Microsoft-Edge\test-failed-1.png
Videos: C:\Aventis\Aventis_Playwright-\test-results\videos\006_KeyWords_Smoketest_V2-BC00-BC00-Microsoft-Edge\video.webm</t>
  </si>
  <si>
    <t>Error: locator.click: Test timeout of 1200000ms exceeded.Call log:[2m  - waiting for locator('tr:has-text(\'\'):has-text(\'GBL, Wohnkosten, EFB, Unselbständiges Erwerbseinkommen\'):has-text(\'12_E2E_2025.8.8|17:40:11_389\') button')[22m
Screenshots: C:\Aventis\Aventis_Playwright-\test-results\videos\006_KeyWords_Smoketest_V2-BC02-BC02-Microsoft-Edge\test-failed-1.png
Videos: C:\Aventis\Aventis_Playwright-\test-results\videos\006_KeyWords_Smoketest_V2-BC02-BC02-Microsoft-Edge\video.webm</t>
  </si>
  <si>
    <t>Error: [31mTimed out 20000ms waiting for [39m[2mexpect([22m[31mlocator[39m[2m).[22mtoBeVisible[2m()[22mLocator: locator('tr:has-text(\'1_E2E_2025.8.8|17:40:11_657\')').first()Expected: visibleReceived: &lt;element(s) not found&gt;Call log:[2m  - Expect "soft toBeVisible" with timeout 20000ms[22m[2m  - waiting for locator('tr:has-text(\'1_E2E_2025.8.8|17:40:11_657\')').first()[22m
Screenshots: C:\Aventis\Aventis_Playwright-\test-results\videos\006_KeyWords_Smoketest_V2-BU02-BU02-Microsoft-Edge\test-failed-1.png
Videos: C:\Aventis\Aventis_Playwright-\test-results\videos\006_KeyWords_Smoketest_V2-BU02-BU02-Microsoft-Edge\video.webm</t>
  </si>
  <si>
    <t>Error: locator.click: Test timeout of 1200000ms exceeded.Call log:[2m  - waiting for getByTestId('RahmenbudgetRoute')[22m
Screenshots: C:\Aventis\Aventis_Playwright-\test-results\videos\006_KeyWords_Smoketest_V2-KG01-KG01-Microsoft-Edge\test-failed-1.png
Videos: C:\Aventis\Aventis_Playwright-\test-results\videos\006_KeyWords_Smoketest_V2-KG01-KG01-Microsoft-Edge\video.webm</t>
  </si>
  <si>
    <t>Error: locator.click: Test timeout of 1200000ms exceeded.Call log:[2m  - waiting for getByTestId('RahmenbudgetRoute')[22m
Screenshots: C:\Aventis\Aventis_Playwright-\test-results\videos\006_KeyWords_Smoketest_V2-KG01b-KG01b-Microsoft-Edge\test-failed-1.png
Videos: C:\Aventis\Aventis_Playwright-\test-results\videos\006_KeyWords_Smoketest_V2-KG01b-KG01b-Microsoft-Edge\video.webm</t>
  </si>
  <si>
    <t>Error: locator.click: Test timeout of 1200000ms exceeded.Call log:[2m  - waiting for getByTestId('RahmenbudgetRoute')[22m
Screenshots: C:\Aventis\Aventis_Playwright-\test-results\videos\006_KeyWords_Smoketest_V2-KG02-KG02-Microsoft-Edge\test-failed-1.png
Videos: C:\Aventis\Aventis_Playwright-\test-results\videos\006_KeyWords_Smoketest_V2-KG02-KG02-Microsoft-Edge\video.webm</t>
  </si>
  <si>
    <t>Error: locator.click: Test timeout of 1200000ms exceeded.Call log:[2m  - waiting for getByTestId('RahmenbudgetRoute')[22m
Screenshots: C:\Aventis\Aventis_Playwright-\test-results\videos\006_KeyWords_Smoketest_V2-R02-R02-Microsoft-Edge\test-failed-1.png
Videos: C:\Aventis\Aventis_Playwright-\test-results\videos\006_KeyWords_Smoketest_V2-R02-R02-Microsoft-Edge\video.webm</t>
  </si>
  <si>
    <t>Error: locator.click: Test timeout of 1200000ms exceeded.Call log:[2m  - waiting for getByTestId('RahmenbudgetRoute')[22m
Screenshots: C:\Aventis\Aventis_Playwright-\test-results\videos\006_KeyWords_Smoketest_V2-R03-R03-Microsoft-Edge\test-failed-1.png
Videos: C:\Aventis\Aventis_Playwright-\test-results\videos\006_KeyWords_Smoketest_V2-R03-R03-Microsoft-Edge\video.webm</t>
  </si>
  <si>
    <t>Error: locator.click: Test timeout of 1200000ms exceeded.Call log:[2m  - waiting for getByTestId('RahmenbudgetRoute')[22m
Screenshots: C:\Aventis\Aventis_Playwright-\test-results\videos\006_KeyWords_Smoketest_V2-R05-R05-Microsoft-Edge\test-failed-1.png
Videos: C:\Aventis\Aventis_Playwright-\test-results\videos\006_KeyWords_Smoketest_V2-R05-R05-Microsoft-Edge\video.webm</t>
  </si>
  <si>
    <t>Error: locator.click: Test timeout of 1200000ms exceeded.Call log:[2m  - waiting for getByTestId('RahmenbudgetRoute')[22m
Screenshots: C:\Aventis\Aventis_Playwright-\test-results\videos\006_KeyWords_Smoketest_V2-R06-R06-Microsoft-Edge\test-failed-1.png
Videos: C:\Aventis\Aventis_Playwright-\test-results\videos\006_KeyWords_Smoketest_V2-R06-R06-Microsoft-Edge\video.webm</t>
  </si>
  <si>
    <t>Error: locator.click: Test timeout of 1200000ms exceeded.Call log:[2m  - waiting for getByTestId('RahmenbudgetRoute')[22m
Screenshots: C:\Aventis\Aventis_Playwright-\test-results\videos\006_KeyWords_Smoketest_V2-R07-R07-Microsoft-Edge\test-failed-1.png
Videos: C:\Aventis\Aventis_Playwright-\test-results\videos\006_KeyWords_Smoketest_V2-R07-R07-Microsoft-Edge\video.webm</t>
  </si>
  <si>
    <t>Error: locator.click: Test timeout of 1200000ms exceeded.Call log:[2m  - waiting for locator('app-auflagenverfahren-liste').filter({ hasText: 'seit 07.08.2025' }).filter({ has: getByRole('button', { name: 'Ohne Jobsuche werden Zahlungen gekürzt' }) }).first().getByLabel('bearbeiten')[22m
Screenshots: C:\Aventis\Aventis_Playwright-\test-results\videos\006_KeyWords_Smoketest_V2-RV02b-RV02b-Microsoft-Edge\test-failed-1.png
Videos: C:\Aventis\Aventis_Playwright-\test-results\videos\006_KeyWords_Smoketest_V2-RV02b-RV02b-Microsoft-Edge\video.webm</t>
  </si>
  <si>
    <t>Error: locator.click: Test timeout of 1200000ms exceeded.Call log:[2m  - waiting for getByTestId('RahmenbudgetRoute')[22m
Screenshots: C:\Aventis\Aventis_Playwright-\test-results\videos\006_KeyWords_Smoketest_V2-SL01-SL01-Microsoft-Edge\test-failed-1.png
Videos: C:\Aventis\Aventis_Playwright-\test-results\videos\006_KeyWords_Smoketest_V2-SL01-SL01-Microsoft-Edge\video.webm</t>
  </si>
  <si>
    <t>Error: locator.click: Test timeout of 1200000ms exceeded.Call log:[2m  - waiting for getByTestId('RahmenbudgetRoute')[22m
Screenshots: C:\Aventis\Aventis_Playwright-\test-results\videos\006_KeyWords_Smoketest_V2-SL02-SL02-Microsoft-Edge\test-failed-1.png
Videos: C:\Aventis\Aventis_Playwright-\test-results\videos\006_KeyWords_Smoketest_V2-SL02-SL02-Microsoft-Edge\video.webm</t>
  </si>
  <si>
    <t>Error: locator.click: Test timeout of 1200000ms exceeded.Call log:[2m  - waiting for getByRole('link', { name: /Rückerstattungen \/ Vermögensverzehr|Remboursements/i })[22m
Screenshots: C:\Aventis\Aventis_Playwright-\test-results\videos\006_KeyWords_Smoketest_V2-WSH04-WSH04-Microsoft-Edge\test-failed-1.png
Videos: C:\Aventis\Aventis_Playwright-\test-results\videos\006_KeyWords_Smoketest_V2-WSH04-WSH04-Microsoft-Edge\video.webm</t>
  </si>
  <si>
    <t>Error: locator.click: Test timeout of 1200000ms exceeded.Call log:[2m  - waiting for getByRole('link', { name: /Rückerstattungen \/ Vermögensverzehr|Remboursements/i })[22m
Screenshots: C:\Aventis\Aventis_Playwright-\test-results\videos\006_KeyWords_Smoketest_V2-WSH04b-WSH04b-Microsoft-Edge\test-failed-1.png
Videos: C:\Aventis\Aventis_Playwright-\test-results\videos\006_KeyWords_Smoketest_V2-WSH04b-WSH04b-Microsoft-Edge\video.webm</t>
  </si>
  <si>
    <t>Error: locator.click: Test timeout of 1200000ms exceeded.Call log:[2m  - waiting for getByRole('button', { name: /Wirtschaftliche Sozialhilfe|Aide sociale économique/i })[22m
Screenshots: C:\Aventis\Aventis_Playwright-\test-results\videos\006_KeyWords_Smoketest_V2-WSH08-WSH08-Microsoft-Edge\test-failed-1.png
Videos: C:\Aventis\Aventis_Playwright-\test-results\videos\006_KeyWords_Smoketest_V2-WSH08-WSH08-Microsoft-Edge\video.webm</t>
  </si>
  <si>
    <t>Error: locator.click: Error: strict mode violation: getByRole('link', { name: /Bewilligung öffnen|Ouvrir la validation/i }) resolved to 2 elements:    1) &lt;a mat-flat-button="" mat-ripple-loader-uninitialized="" mat-ripple-loader-class-name="mat-mdc-button-ripple" class="primary mdc-button mdc-button--unelevated mat-mdc-unelevated-button mat-unthemed mat-mdc-button-base" data-testid="dossiers-klienten?bewilligung-entity=25596b9a-c708-4bdb-be9f-2aae92caf8b1#25596b9a-c708-4bdb-be9f-2aae92caf8b1,sidesheet" href="/dossiers/72e3362d-dce0-44ed-a285-ed211dca7295/klienten/1f7b1635-27ef-47a0-8027-24fc1de0ce28?bewilligung-entity=25596b9a-c708-4bdb-be9f-2aae9…&gt;…&lt;/a&gt; aka getByTestId('dossiers-klienten?bewilligung-entity=25596b9a-c708-4bdb-be9f-2aae92caf8b1#25596b9a-c708-4bdb-be9f-2aae92caf8b1,sidesheet')    2) &lt;a mat-flat-button="" mat-ripple-loader-uninitialized="" mat-ripple-loader-class-name="mat-mdc-button-ripple" class="primary mdc-button mdc-button--unelevated mat-mdc-unelevated-button mat-unthemed mat-mdc-button-base" data-testid="dossiers-klienten?bewilligung-entity=a524c075-a59e-49c6-8c98-739f7fe1086e#a524c075-a59e-49c6-8c98-739f7fe1086e,sidesheet" href="/dossiers/72e3362d-dce0-44ed-a285-ed211dca7295/klienten/1f7b1635-27ef-47a0-8027-24fc1de0ce28?bewilligung-entity=a524c075-a59e-49c6-8c98-739f7…&gt;…&lt;/a&gt; aka getByTestId('dossiers-klienten?bewilligung-entity=a524c075-a59e-49c6-8c98-739f7fe1086e#a524c075-a59e-49c6-8c98-739f7fe1086e,sidesheet')Call log:[2m  - waiting for getByRole('link', { name: /Bewilligung öffnen|Ouvrir la validation/i })[22m
Screenshots: C:\Aventis\Aventis_Playwright-\test-results\videos\006_KeyWords_Smoketest_V2-Z01b-Z01b-Microsoft-Edge\test-failed-1.png
Videos: C:\Aventis\Aventis_Playwright-\test-results\videos\006_KeyWords_Smoketest_V2-Z01b-Z01b-Microsoft-Edge\video.webm</t>
  </si>
  <si>
    <t>09.08.2025 14:38:53</t>
  </si>
  <si>
    <t>Error: locator.click: Test ended.Call log:[2m  - waiting for getByTestId('button-next-2')[22m[2m    - locator resolved to &lt;button disabled="true" mat-flat-button="" data-cy="button-next-2" _ngcontent-ng-c80973700="" data-testid="button-next-2" mat-ripple-loader-disabled="" mat-ripple-loader-uninitialized="" mat-ripple-loader-class-name="mat-mdc-button-ripple" class="primary mdc-button mdc-button--unelevated mat-mdc-unelevated-button mat-mdc-button-disabled mat-unthemed mat-mdc-button-base"&gt;…&lt;/button&gt;[22m[2m  - attempting click action[22m[2m    2 × waiting for element to be visible, enabled and stable[22m[2m      - element is not enabled[22m[2m    - retrying click action[22m[2m    - waiting 20ms[22m[2m    2 × waiting for element to be visible, enabled and stable[22m[2m      - element is not enabled[22m[2m    - retrying click action[22m[2m      - waiting 100ms[22m[2m    2188 × waiting for element to be visible, enabled and stable[22m[2m         - element is not enabled[22m[2m       - retrying click action[22m[2m         - waiting 500ms[22m
Screenshots: C:\Aventis\Aventis_Playwright-\test-results\videos\006_KeyWords_Smoketest_V2-001b-001b-Microsoft-Edge\test-failed-1.png
Videos: C:\Aventis\Aventis_Playwright-\test-results\videos\006_KeyWords_Smoketest_V2-001b-001b-Microsoft-Edge\video.webm</t>
  </si>
  <si>
    <t>Error: locator.click: Test timeout of 1200000ms exceeded.Call log:[2m  - waiting for locator('app-navigation-drawer-item[class*=\'navigation-tree-actions\'] button').last()[22m[2m    - locator resolved to &lt;button tabindex="0" role="button" mat-icon-button="" mat-ripple-loader-centered="" mat-ripple-loader-uninitialized="" mat-ripple-loader-class-name="mat-mdc-button-ripple" class="mdc-icon-button mat-mdc-icon-button mat-unthemed mat-mdc-button-base"&gt;…&lt;/button&gt;[22m[2m  - attempting click action[22m[2m    - waiting for element to be visible, enabled and stable[22m[2m    - element is not stable[22m[2m  - retrying click action[22m[2m    - waiting for element to be visible, enabled and stable[22m[2m    - element is visible, enabled and stable[22m[2m    - scrolling into view if needed[22m[2m    - done scrolling[22m[2m    - &lt;div class="cdk-overlay-backdrop cdk-overlay-dark-backdrop cdk-overlay-backdrop-showing"&gt;&lt;/div&gt; from &lt;div class="cdk-overlay-container"&gt;…&lt;/div&gt; subtree intercepts pointer events[22m[2m  - retrying click action[22m[2m    - waiting 20ms[22m[2m    2 × waiting for element to be visible, enabled and stable[22m[2m      - element is visible, enabled and stable[22m[2m      - scrolling into view if needed[22m[2m      - done scrolling[22m[2m      - &lt;div class="cdk-overlay-backdrop cdk-overlay-dark-backdrop cdk-overlay-backdrop-showing"&gt;&lt;/div&gt; from &lt;div class="cdk-overlay-container"&gt;…&lt;/div&gt; subtree intercepts pointer events[22m[2m    - retrying click action[22m[2m      - waiting 100ms[22m[2m    2069 × waiting for element to be visible, enabled and stable[22m[2m         - element is visible, enabled and stable[22m[2m         - scrolling into view if needed[22m[2m         - done scrolling[22m[2m         - &lt;div class="cdk-overlay-backdrop cdk-overlay-dark-backdrop cdk-overlay-backdrop-showing"&gt;&lt;/div&gt; from &lt;div class="cdk-overlay-container"&gt;…&lt;/div&gt; subtree intercepts pointer events[22m[2m       - retrying click action[22m[2m         - waiting 500ms[22m
Screenshots: C:\Aventis\Aventis_Playwright-\test-results\videos\006_KeyWords_Smoketest_V2-BC00-BC00-Microsoft-Edge\test-failed-1.png
Videos: C:\Aventis\Aventis_Playwright-\test-results\videos\006_KeyWords_Smoketest_V2-BC00-BC00-Microsoft-Edge\video.webm</t>
  </si>
  <si>
    <t>Error: locator.click: Test timeout of 1200000ms exceeded.Call log:[2m  - waiting for locator('tr:has-text(\'\'):has-text(\'GBL, Wohnkosten, EFB, Unselbständiges Erwerbseinkommen\'):has-text(\'12_E2E_2025.8.9|10:43:6_600\') button')[22m
Screenshots: C:\Aventis\Aventis_Playwright-\test-results\videos\006_KeyWords_Smoketest_V2-BC02-BC02-Microsoft-Edge\test-failed-1.png
Videos: C:\Aventis\Aventis_Playwright-\test-results\videos\006_KeyWords_Smoketest_V2-BC02-BC02-Microsoft-Edge\video.webm</t>
  </si>
  <si>
    <t>Error: [31mTimed out 20000ms waiting for [39m[2mexpect([22m[31mlocator[39m[2m).[22mtoHaveText[2m([22m[32mexpected[39m[2m)[22mLocator: getByRole('cell', { name: /Zeilen ausgewählt|Lignes sélectionnées/i })Expected pattern: [32m/0 Zeilen ausgewählt|0 Lignes sélectionnées/i[39mReceived string:  [31m" 1223 Zeilen ausgewählt "[39mCall log:[2m  - Expect "soft toHaveText" with timeout 20000ms[22m[2m  - waiting for getByRole('cell', { name: /Zeilen ausgewählt|Lignes sélectionnées/i })[22m[2m    15 × locator resolved to &lt;td colspan="6" role="cell" mat-footer-cell="" _ngcontent-ng-c4231629664="" class="mat-mdc-footer-cell mdc-data-table__cell cdk-footer-cell cdk-column-selected mat-column-selected ng-star-inserted"&gt; 1223 Zeilen ausgewählt &lt;/td&gt;[22m[2m       - unexpected value " 1223 Zeilen ausgewählt "[22m
Screenshots: C:\Aventis\Aventis_Playwright-\test-results\videos\006_KeyWords_Smoketest_V2-DO12b-DO12b-Microsoft-Edge\test-failed-1.png
Videos: C:\Aventis\Aventis_Playwright-\test-results\videos\006_KeyWords_Smoketest_V2-DO12b-DO12b-Microsoft-Edge\video.webm</t>
  </si>
  <si>
    <t>Error: [31mTimed out 20000ms waiting for [39m[2mexpect([22m[31mlocator[39m[2m).[22mtoHaveText[2m([22m[32mexpected[39m[2m)[22mLocator: locator('div[class=\'kennzahlen-grid-row\'] div[class=\'currency\']')Expected string: [32m"2’[7m9[27m82.00"[39mReceived string: [31m"2’[7m8[27m82.00"[39mCall log:[2m  - Expect "soft toHaveText" with timeout 20000ms[22m[2m  - waiting for locator('div[class=\'kennzahlen-grid-row\'] div[class=\'currency\']')[22m[2m    23 × locator resolved to &lt;div class="currency" _ngcontent-ng-c250772117=""&gt;2’882.00&lt;/div&gt;[22m[2m       - unexpected value "2’882.00"[22m
Screenshots: C:\Aventis\Aventis_Playwright-\test-results\videos\006_KeyWords_Smoketest_V2-R03-R03-Microsoft-Edge\test-failed-1.png
Videos: C:\Aventis\Aventis_Playwright-\test-results\videos\006_KeyWords_Smoketest_V2-R03-R03-Microsoft-Edge\video.webm</t>
  </si>
  <si>
    <t>Error: [31mTimed out 20000ms waiting for [39m[2mexpect([22m[31mlocator[39m[2m).[22mtoHaveText[2m([22m[32mexpected[39m[2m)[22mLocator: locator('.section-summery-row').first()Expected string: [32m"Total 3’[7m3[27m93.00"[39mReceived string: [31m"[7m [27mTotal 3’[7m2[27m93.00[7m [27m"[39mCall log:[2m  - Expect "soft toHaveText" with timeout 20000ms[22m[2m  - waiting for locator('.section-summery-row').first()[22m[2m    3 × locator resolved to &lt;tr class="section-summery-row" _ngcontent-ng-c3421397345=""&gt;…&lt;/tr&gt;[22m[2m      - unexpected value " Total 3’382.00 "[22m[2m    20 × locator resolved to &lt;tr class="section-summery-row" _ngcontent-ng-c3421397345=""&gt;…&lt;/tr&gt;[22m[2m       - unexpected value " Total 3’293.00 "[22m
Screenshots: C:\Aventis\Aventis_Playwright-\test-results\videos\006_KeyWords_Smoketest_V2-R05-R05-Microsoft-Edge\test-failed-1.png
Videos: C:\Aventis\Aventis_Playwright-\test-results\videos\006_KeyWords_Smoketest_V2-R05-R05-Microsoft-Edge\video.webm</t>
  </si>
  <si>
    <t>Error: [31mTimed out 20000ms waiting for [39m[2mexpect([22m[31mlocator[39m[2m).[22mtoContainText[2m([22m[32mexpected[39m[2m)[22mLocator: locator('tbody[class*=\'rahmenbudget-footer\'] td[class=\'currency-column\']')Expected string: [32m"2’[7m8[27m93.00"[39mReceived string: [31m"2’[7m7[27m93.00[7m [27m"[39mCall log:[2m  - Expect "soft toContainText" with timeout 20000ms[22m[2m  - waiting for locator('tbody[class*=\'rahmenbudget-footer\'] td[class=\'currency-column\']')[22m[2m    4 × locator resolved to &lt;td class="currency-column" _ngcontent-ng-c3421397345=""&gt;2’882.00 &lt;/td&gt;[22m[2m      - unexpected value "2’882.00 "[22m[2m    19 × locator resolved to &lt;td class="currency-column" _ngcontent-ng-c3421397345=""&gt;2’793.00 &lt;/td&gt;[22m[2m       - unexpected value "2’793.00 "[22m
Screenshots: C:\Aventis\Aventis_Playwright-\test-results\videos\006_KeyWords_Smoketest_V2-R07-R07-Microsoft-Edge\test-failed-1.png
Videos: C:\Aventis\Aventis_Playwright-\test-results\videos\006_KeyWords_Smoketest_V2-R07-R07-Microsoft-Edge\video.webm</t>
  </si>
  <si>
    <t>Error: locator.click: Error: strict mode violation: getByRole('link', { name: /Bewilligung öffnen|Ouvrir la validation/i }) resolved to 2 elements:    1) &lt;a mat-flat-button="" mat-ripple-loader-uninitialized="" mat-ripple-loader-class-name="mat-mdc-button-ripple" class="primary mdc-button mdc-button--unelevated mat-mdc-unelevated-button mat-unthemed mat-mdc-button-base" data-testid="dossiers-klienten?bewilligung-entity=898d4569-d76d-4f09-aa42-099035fe9335#898d4569-d76d-4f09-aa42-099035fe9335,sidesheet" href="/dossiers/cf1d357b-888a-489e-8e94-0892dab1458d/klienten/ac9f5462-fb5c-4dcd-9bf3-62fd273a0931?bewilligung-entity=898d4569-d76d-4f09-aa42-09903…&gt;…&lt;/a&gt; aka getByTestId('dossiers-klienten?bewilligung-entity=898d4569-d76d-4f09-aa42-099035fe9335#898d4569-d76d-4f09-aa42-099035fe9335,sidesheet')    2) &lt;a mat-flat-button="" mat-ripple-loader-uninitialized="" mat-ripple-loader-class-name="mat-mdc-button-ripple" class="primary mdc-button mdc-button--unelevated mat-mdc-unelevated-button mat-unthemed mat-mdc-button-base" data-testid="dossiers-klienten?bewilligung-entity=7d3ccef8-2fd4-4d0a-93c7-3e471c0cbf65#7d3ccef8-2fd4-4d0a-93c7-3e471c0cbf65,sidesheet" href="/dossiers/cf1d357b-888a-489e-8e94-0892dab1458d/klienten/ac9f5462-fb5c-4dcd-9bf3-62fd273a0931?bewilligung-entity=7d3ccef8-2fd4-4d0a-93c7-3e471…&gt;…&lt;/a&gt; aka getByTestId('dossiers-klienten?bewilligung-entity=7d3ccef8-2fd4-4d0a-93c7-3e471c0cbf65#7d3ccef8-2fd4-4d0a-93c7-3e471c0cbf65,sidesheet')Call log:[2m  - waiting for getByRole('link', { name: /Bewilligung öffnen|Ouvrir la validation/i })[22m
Screenshots: C:\Aventis\Aventis_Playwright-\test-results\videos\006_KeyWords_Smoketest_V2-Z01b-Z01b-Microsoft-Edge\test-failed-1.png
Videos: C:\Aventis\Aventis_Playwright-\test-results\videos\006_KeyWords_Smoketest_V2-Z01b-Z01b-Microsoft-Edge\video.webm</t>
  </si>
  <si>
    <t>09.08.2025 21:56:15</t>
  </si>
  <si>
    <t>Error: [31mTimed out 20000ms waiting for [39m[2mexpect([22m[31mlocator[39m[2m).[22mtoBeVisible[2m()[22mLocator: locator('app-navigation-drawer-item[class*=\'navigation-tree-actions\'] button').last()Expected: visibleReceived: hiddenCall log:[2m  - Expect "toBeVisible" with timeout 20000ms[22m[2m  - waiting for locator('app-navigation-drawer-item[class*=\'navigation-tree-actions\'] button').last()[22m[2m    23 × locator resolved to &lt;button tabindex="0" role="button" mat-icon-button="" mat-ripple-loader-centered="" mat-ripple-loader-uninitialized="" mat-ripple-loader-class-name="mat-mdc-button-ripple" class="mdc-icon-button mat-mdc-icon-button mat-unthemed mat-mdc-button-base"&gt;…&lt;/button&gt;[22m[2m       - unexpected value "hidden"[22m
Screenshots: C:\Aventis\Aventis_Playwright-\test-results\videos\006_KeyWords_Smoketest_V2-AN01-AN01-Microsoft-Edge\test-failed-1.png
Videos: C:\Aventis\Aventis_Playwright-\test-results\videos\006_KeyWords_Smoketest_V2-AN01-AN01-Microsoft-Edge\video.webm</t>
  </si>
  <si>
    <t>Error: [31mTimed out 20000ms waiting for [39m[2mexpect([22m[31mlocator[39m[2m).[22mtoBeVisible[2m()[22mLocator: locator('app-navigation-drawer-item[class*=\'navigation-tree-actions\'] button').last()Expected: visibleReceived: hiddenCall log:[2m  - Expect "toBeVisible" with timeout 20000ms[22m[2m  - waiting for locator('app-navigation-drawer-item[class*=\'navigation-tree-actions\'] button').last()[22m[2m    23 × locator resolved to &lt;button tabindex="0" role="button" mat-icon-button="" mat-ripple-loader-centered="" mat-ripple-loader-uninitialized="" mat-ripple-loader-class-name="mat-mdc-button-ripple" class="mdc-icon-button mat-mdc-icon-button mat-unthemed mat-mdc-button-base"&gt;…&lt;/button&gt;[22m[2m       - unexpected value "hidden"[22m
Screenshots: C:\Aventis\Aventis_Playwright-\test-results\videos\006_KeyWords_Smoketest_V2-AW01b-AW01b-Microsoft-Edge\test-failed-1.png
Videos: C:\Aventis\Aventis_Playwright-\test-results\videos\006_KeyWords_Smoketest_V2-AW01b-AW01b-Microsoft-Edge\video.webm</t>
  </si>
  <si>
    <t>Error: locator.click: Test timeout of 1200000ms exceeded.Call log:[2m  - waiting for locator('tr').filter({ hasText: 'August 2025' }).locator('app-enum-selection mat-select')[22m
Screenshots: C:\Aventis\Aventis_Playwright-\test-results\videos\006_KeyWords_Smoketest_V2-BC00-BC00-Microsoft-Edge\test-failed-1.png
Videos: C:\Aventis\Aventis_Playwright-\test-results\videos\006_KeyWords_Smoketest_V2-BC00-BC00-Microsoft-Edge\video.webm</t>
  </si>
  <si>
    <t>09.08.2025 21:56:16</t>
  </si>
  <si>
    <t>Error: locator.click: Test timeout of 1200000ms exceeded.Call log:[2m  - waiting for locator('tr:has-text(\'\'):has-text(\'GBL, Wohnkosten, EFB, Unselbständiges Erwerbseinkommen\'):has-text(\'12_E2E_2025.8.9|15:16:46_998\') button')[22m
Screenshots: C:\Aventis\Aventis_Playwright-\test-results\videos\006_KeyWords_Smoketest_V2-BC02-BC02-Microsoft-Edge\test-failed-1.png
Videos: C:\Aventis\Aventis_Playwright-\test-results\videos\006_KeyWords_Smoketest_V2-BC02-BC02-Microsoft-Edge\video.webm</t>
  </si>
  <si>
    <t>Error: [31mTimed out 20000ms waiting for [39m[2mexpect([22m[31mlocator[39m[2m).[22mtoHaveText[2m([22m[32mexpected[39m[2m)[22mLocator: getByRole('cell', { name: /Zeilen ausgewählt|Lignes sélectionnées/i })Expected pattern: [32m/0 Zeilen ausgewählt|0 Lignes sélectionnées/i[39mReceived string:  [31m" 2456 Zeilen ausgewählt "[39mCall log:[2m  - Expect "soft toHaveText" with timeout 20000ms[22m[2m  - waiting for getByRole('cell', { name: /Zeilen ausgewählt|Lignes sélectionnées/i })[22m[2m    8 × locator resolved to &lt;td colspan="6" role="cell" mat-footer-cell="" _ngcontent-ng-c4231629664="" class="mat-mdc-footer-cell mdc-data-table__cell cdk-footer-cell cdk-column-selected mat-column-selected ng-star-inserted"&gt; 2456 Zeilen ausgewählt &lt;/td&gt;[22m[2m      - unexpected value " 2456 Zeilen ausgewählt "[22m
Screenshots: C:\Aventis\Aventis_Playwright-\test-results\videos\006_KeyWords_Smoketest_V2-DO12b-DO12b-Microsoft-Edge\test-failed-1.png
Videos: C:\Aventis\Aventis_Playwright-\test-results\videos\006_KeyWords_Smoketest_V2-DO12b-DO12b-Microsoft-Edge\video.webm</t>
  </si>
  <si>
    <t>Error: locator.fill: Test timeout of 1200000ms exceeded.Call log:[2m  - waiting for getByTestId('titel').getByTestId('root-control').first()[22m
Screenshots: C:\Aventis\Aventis_Playwright-\test-results\videos\006_KeyWords_Smoketest_V2-RV02-RV02-Microsoft-Edge\test-failed-1.png
Videos: C:\Aventis\Aventis_Playwright-\test-results\videos\006_KeyWords_Smoketest_V2-RV02-RV02-Microsoft-Edge\video.webm</t>
  </si>
  <si>
    <t>Error: locator.click: Test timeout of 1200000ms exceeded.Call log:[2m  - waiting for locator('app-auflagenverfahren-liste').filter({ hasText: 'seit 09.08.2025' }).filter({ has: getByRole('button', { name: 'Ohne Jobsuche werden Zahlungen gekürzt' }) }).first().getByLabel('bearbeiten')[22m
Screenshots: C:\Aventis\Aventis_Playwright-\test-results\videos\006_KeyWords_Smoketest_V2-RV02b-RV02b-Microsoft-Edge\test-failed-1.png
Videos: C:\Aventis\Aventis_Playwright-\test-results\videos\006_KeyWords_Smoketest_V2-RV02b-RV02b-Microsoft-Edge\video.webm</t>
  </si>
  <si>
    <t>Error: locator.click: Error: strict mode violation: getByRole('link', { name: /Bewilligung öffnen|Ouvrir la validation/i }) resolved to 2 elements:    1) &lt;a mat-flat-button="" mat-ripple-loader-uninitialized="" mat-ripple-loader-class-name="mat-mdc-button-ripple" class="primary mdc-button mdc-button--unelevated mat-mdc-unelevated-button mat-unthemed mat-mdc-button-base" data-testid="dossiers-klienten?bewilligung-entity=7e484bc5-20d0-4ace-ba65-2f59822241e3#7e484bc5-20d0-4ace-ba65-2f59822241e3,sidesheet" href="/dossiers/a34337ee-adf6-47d7-b92b-2b21d22c1970/klienten/a880ee2c-4a1b-47f0-874d-49f42d115964?bewilligung-entity=7e484bc5-20d0-4ace-ba65-2f598…&gt;…&lt;/a&gt; aka getByTestId('dossiers-klienten?bewilligung-entity=7e484bc5-20d0-4ace-ba65-2f59822241e3#7e484bc5-20d0-4ace-ba65-2f59822241e3,sidesheet')    2) &lt;a mat-flat-button="" mat-ripple-loader-uninitialized="" mat-ripple-loader-class-name="mat-mdc-button-ripple" class="primary mdc-button mdc-button--unelevated mat-mdc-unelevated-button mat-unthemed mat-mdc-button-base" data-testid="dossiers-klienten?bewilligung-entity=030d794d-761a-423c-b644-33397ea08e43#030d794d-761a-423c-b644-33397ea08e43,sidesheet" href="/dossiers/a34337ee-adf6-47d7-b92b-2b21d22c1970/klienten/a880ee2c-4a1b-47f0-874d-49f42d115964?bewilligung-entity=030d794d-761a-423c-b644-33397…&gt;…&lt;/a&gt; aka getByTestId('dossiers-klienten?bewilligung-entity=030d794d-761a-423c-b644-33397ea08e43#030d794d-761a-423c-b644-33397ea08e43,sidesheet')Call log:[2m  - waiting for getByRole('link', { name: /Bewilligung öffnen|Ouvrir la validation/i })[22m
Screenshots: C:\Aventis\Aventis_Playwright-\test-results\videos\006_KeyWords_Smoketest_V2-Z01b-Z01b-Microsoft-Edge\test-failed-1.png
Videos: C:\Aventis\Aventis_Playwright-\test-results\videos\006_KeyWords_Smoketest_V2-Z01b-Z01b-Microsoft-Edge\video.webm</t>
  </si>
  <si>
    <t>2025.4.244-dev</t>
  </si>
  <si>
    <t>SpeedFaktor</t>
  </si>
  <si>
    <t>18.08.2025 15:31:20</t>
  </si>
  <si>
    <t>Error: locator.click: Target page, context or browser has been closedCall log:[2m  - waiting for getByTestId('button-next-2')[22m[2m    - locator resolved to &lt;button disabled="true" mat-flat-button="" data-cy="button-next-2" _ngcontent-ng-c80973700="" data-testid="button-next-2" mat-ripple-loader-disabled="" mat-ripple-loader-uninitialized="" mat-ripple-loader-class-name="mat-mdc-button-ripple" class="primary mdc-button mdc-button--unelevated mat-mdc-unelevated-button mat-mdc-button-disabled mat-unthemed mat-mdc-button-base"&gt;…&lt;/button&gt;[22m[2m  - attempting click action[22m[2m    2 × waiting for element to be visible, enabled and stable[22m[2m      - element is not enabled[22m[2m    - retrying click action[22m[2m    - waiting 20ms[22m[2m    2 × waiting for element to be visible, enabled and stable[22m[2m      - element is not enabled[22m[2m    - retrying click action[22m[2m      - waiting 100ms[22m[2m    1007 × waiting for element to be visible, enabled and stable[22m[2m         - element is not enabled[22m[2m       - retrying click action[22m[2m         - waiting 500ms[22m
Videos: C:\Aventis\Aventis_Playwright-\test-results\videos\006_KeyWords_Smoketest_V2-001b-001b-Microsoft-Edge\video.webm</t>
  </si>
  <si>
    <t>Error: [31mTimed out 20000ms waiting for [39m[2mexpect([22m[31mlocator[39m[2m).[22mtoContainText[2m([22m[32mexpected[39m[2m)[22mLocator: locator('td[class=\'currency-column total-row\']')Expected pattern: [32m/(23 392,00.*5 000,00)|(23’392.00.*5’000.00)/i[39mReceived: &lt;element(s) not found&gt;Call log:[2m  - Expect "soft toContainText" with timeout 20000ms[22m[2m  - waiting for locator('td[class=\'currency-column total-row\']')[22m
Screenshots: C:\Aventis\Aventis_Playwright-\test-results\videos\006_KeyWords_Smoketest_V2-AW01-AW01-Microsoft-Edge\test-failed-1.png
Videos: C:\Aventis\Aventis_Playwright-\test-results\videos\006_KeyWords_Smoketest_V2-AW01-AW01-Microsoft-Edge\video.webm</t>
  </si>
  <si>
    <t>Error: locator.click: Test timeout of 180000ms exceeded.Call log:[2m  - waiting for locator('tr:has-text(\'\'):has-text(\'GBL, Wohnkosten, EFB, Unselbständiges Erwerbseinkommen\'):has-text(\'12_E2E_2025.8.18|13:9:46_59\') button')[22m
Screenshots: C:\Aventis\Aventis_Playwright-\test-results\videos\006_KeyWords_Smoketest_V2-BC02-BC02-Microsoft-Edge\test-failed-1.png
Videos: C:\Aventis\Aventis_Playwright-\test-results\videos\006_KeyWords_Smoketest_V2-BC02-BC02-Microsoft-Edge\video.webm</t>
  </si>
  <si>
    <t>Error: [31mTimed out 20000ms waiting for [39m[2mexpect([22m[31mlocator[39m[2m).[22mtoContainText[2m([22m[32mexpected[39m[2m)[22mLocator: locator('td[class*=\'mat-column-Betrag\']').first()Expected string: [32m"CHF 2’982.00"[39mReceived: &lt;element(s) not found&gt;Call log:[2m  - Expect "soft toContainText" with timeout 20000ms[22m[2m  - waiting for locator('td[class*=\'mat-column-Betrag\']').first()[22m
Screenshots: C:\Aventis\Aventis_Playwright-\test-results\videos\006_KeyWords_Smoketest_V2-BC04-BC04-Microsoft-Edge\test-failed-1.png
Videos: C:\Aventis\Aventis_Playwright-\test-results\videos\006_KeyWords_Smoketest_V2-BC04-BC04-Microsoft-Edge\video.webm</t>
  </si>
  <si>
    <t>Error: locator.check: Test timeout of 840000ms exceeded.Call log:[2m  - waiting for locator('app-expansion-panel').first().locator('mat-checkbox').filter({ hasText: 'Subsidiaritätsprüfung' }).locator('input')[22m
Screenshots: C:\Aventis\Aventis_Playwright-\test-results\videos\006_KeyWords_Smoketest_V2-DO14-DO14-Microsoft-Edge\test-failed-1.png
Videos: C:\Aventis\Aventis_Playwright-\test-results\videos\006_KeyWords_Smoketest_V2-DO14-DO14-Microsoft-Edge\video.webm</t>
  </si>
  <si>
    <t>Error: locator.hover: Target page, context or browser has been closedCall log:[2m  - waiting for locator('app-timeline').locator('div:has-text(\'26.11.2025\') + a')[22m
Videos: C:\Aventis\Aventis_Playwright-\test-results\videos\006_KeyWords_Smoketest_V2-R05-R05-Microsoft-Edge\video.webm</t>
  </si>
  <si>
    <t>Error: locator.click: Test timeout of 840000ms exceeded.Call log:[2m  - waiting for locator('app-auflagenverfahren-liste').filter({ hasText: 'seit 18.08.2025' }).filter({ has: getByRole('button', { name: 'Ohne Jobsuche werden Zahlungen gekürzt' }) }).first().getByLabel('bearbeiten')[22m
Screenshots: C:\Aventis\Aventis_Playwright-\test-results\videos\006_KeyWords_Smoketest_V2-RV02b-RV02b-Microsoft-Edge\test-failed-1.png
Videos: C:\Aventis\Aventis_Playwright-\test-results\videos\006_KeyWords_Smoketest_V2-RV02b-RV02b-Microsoft-Edge\video.webm</t>
  </si>
  <si>
    <t>Error: locator.click: Target page, context or browser has been closedCall log:[2m  - waiting for getByRole('link', { name: /Kontoauszug|Extrait de compte/i })[22m[2m    - locator resolved to &lt;a tabindex="0" appnavigationitem="" _nghost-ng-c1836096494="" routerlinkactive="focused" mattooltipposition="after" app-navigation-tree-node="" _ngcontent-ng-c1729762730="" data-testid="KontoauszugInDossierRoute" class="mat-mdc-tooltip-trigger undecorated-link ng-star-inserted" href="/dossiers/54cdd43c-f2ed-4a31-886b-d2a421d2b6b5/wsh/e031872a-2d86-4f89-aaea-8a6e404ca221/kontoauszug/kontoauszug"&gt;…&lt;/a&gt;[22m[2m  - attempting click action[22m[2m    2 × waiting for element to be visible, enabled and stable[22m[2m      - element is not stable[22m[2m    - retrying click action[22m[2m    - waiting 20ms[22m[2m    - waiting for element to be visible, enabled and stable[22m[2m    - element is visible, enabled and stable[22m[2m    - scrolling into view if needed[22m[2m    - done scrolling[22m[2m    - &lt;app-navigation-drawer-item tabindex="0" role="button" _nghost-ng-c1619962178="" _ngcontent-ng-c2072100946="" class="ng-tns-c2072100946-9"&gt;…&lt;/app-navigation-drawer-item&gt; from &lt;app-navigation-tree-group _nghost-ng-c2072100946="" _ngcontent-ng-c1729762730="" data-testid="RechtlicheVerfahrenNode" class="ng-tns-c2072100946-9 ng-star-inserted"&gt;…&lt;/app-navigation-tree-group&gt; subtree intercepts pointer events[22m[2m  2 × retrying click action[22m[2m      - waiting 100ms[22m[2m      - waiting for element to be visible, enabled and stable[22m[2m      - element is not visible[22m[2m  707 × retrying click action[22m[2m        - waiting 500ms[22m[2m        - waiting for element to be visible, enabled and stable[22m[2m        - element is not visible[22m[2m  - retrying click action[22m[2m    - waiting 500ms[22m
Videos: C:\Aventis\Aventis_Playwright-\test-results\videos\006_KeyWords_Smoketest_V2-WSH08-WSH08-Microsoft-Edge\video.webm</t>
  </si>
  <si>
    <t>Error: locator.click: Error: strict mode violation: getByRole('link', { name: /Bewilligung öffnen|Ouvrir la validation/i }) resolved to 2 elements:    1) &lt;a mat-flat-button="" mat-ripple-loader-uninitialized="" mat-ripple-loader-class-name="mat-mdc-button-ripple" class="primary mdc-button mdc-button--unelevated mat-mdc-unelevated-button mat-unthemed mat-mdc-button-base" data-testid="dossiers-klienten?bewilligung-entity=893142cf-176e-4ce4-bb9f-620d39f82bf5#893142cf-176e-4ce4-bb9f-620d39f82bf5,sidesheet" href="/dossiers/8a09d300-b9b0-421d-aa8c-22a8cdb21875/klienten/13c7838c-0b7f-4eae-bb2d-990cb8a310a8?bewilligung-entity=893142cf-176e-4ce4-bb9f-620d3…&gt;…&lt;/a&gt; aka getByTestId('dossiers-klienten?bewilligung-entity=893142cf-176e-4ce4-bb9f-620d39f82bf5#893142cf-176e-4ce4-bb9f-620d39f82bf5,sidesheet')    2) &lt;a mat-flat-button="" mat-ripple-loader-uninitialized="" mat-ripple-loader-class-name="mat-mdc-button-ripple" class="primary mdc-button mdc-button--unelevated mat-mdc-unelevated-button mat-unthemed mat-mdc-button-base" data-testid="dossiers-klienten?bewilligung-entity=5009114e-6062-434f-a4d2-e1106e5c8242#5009114e-6062-434f-a4d2-e1106e5c8242,sidesheet" href="/dossiers/8a09d300-b9b0-421d-aa8c-22a8cdb21875/klienten/13c7838c-0b7f-4eae-bb2d-990cb8a310a8?bewilligung-entity=5009114e-6062-434f-a4d2-e1106…&gt;…&lt;/a&gt; aka getByTestId('dossiers-klienten?bewilligung-entity=5009114e-6062-434f-a4d2-e1106e5c8242#5009114e-6062-434f-a4d2-e1106e5c8242,sidesheet')Call log:[2m  - waiting for getByRole('link', { name: /Bewilligung öffnen|Ouvrir la validation/i })[22m
Screenshots: C:\Aventis\Aventis_Playwright-\test-results\videos\006_KeyWords_Smoketest_V2-Z01b-Z01b-Microsoft-Edge\test-failed-1.png
Videos: C:\Aventis\Aventis_Playwright-\test-results\videos\006_KeyWords_Smoketest_V2-Z01b-Z01b-Microsoft-Edge\video.webm</t>
  </si>
  <si>
    <t>`,"zeitRaumVon":"</t>
  </si>
  <si>
    <t>GBL, Wohnkosten</t>
  </si>
  <si>
    <t>Zahlungsempfänger/in</t>
  </si>
  <si>
    <t>Bewilligung</t>
  </si>
  <si>
    <t>CHF 1’797.00</t>
  </si>
  <si>
    <t>{"leistungSuchen":`</t>
  </si>
  <si>
    <t>`,"suche":"</t>
  </si>
  <si>
    <t>" 21.05. - 31.12.2025 - Total Ausgaben: 5’982.00 Total Einnahmen: 0.00 Saldo: 5’982.00"</t>
  </si>
  <si>
    <t>20.08.2025 10:02:58</t>
  </si>
  <si>
    <t>Error: locator.click: Test timeout of 60000ms exceeded.Call log:[2m  - waiting for locator('mat-expansion-panel-header:has-text(\'19.08.2025\')').getByRole('button', { name: /Bearbeiten|Modifier/i }).last()[22m
Screenshots: C:\Aventis\Aventis_Playwright-\test-results\videos\006_KeyWords_Smoketest_V2-A01b-A01b-Microsoft-Edge\test-failed-1.png
Videos: C:\Aventis\Aventis_Playwright-\test-results\videos\006_KeyWords_Smoketest_V2-A01b-A01b-Microsoft-Edge\video.webm</t>
  </si>
  <si>
    <t>Error: locator.click: Test timeout of 60000ms exceeded.Call log:[2m  - waiting for locator('mat-expansion-panel-header:has-text(\'19.08.2025\')').getByRole('button', { name: /Bearbeiten|Modifier/i }).last()[22m
Screenshots: C:\Aventis\Aventis_Playwright-\test-results\videos\006_KeyWords_Smoketest_V2-A01c-A01c-Microsoft-Edge\test-failed-1.png
Videos: C:\Aventis\Aventis_Playwright-\test-results\videos\006_KeyWords_Smoketest_V2-A01c-A01c-Microsoft-Edge\video.webm</t>
  </si>
  <si>
    <t>Error: [31mTimed out 20000ms waiting for [39m[2mexpect([22m[31mlocator[39m[2m).[22mtoContainText[2m([22m[32mexpected[39m[2m)[22mLocator: locator('td[class=\'currency-column total-row\']')Expected pattern: [32m/(5 982,00.*0,00)|(5’982.00.*0.00)/i[39mReceived string:  [31m" 22.05. - 31.12.2025 - Total Ausgaben: 997.00 Total Einnahmen: 0.00 Saldo: 997.00"[39mCall log:[2m  - Expect "soft toContainText" with timeout 20000ms[22m[2m  - waiting for locator('td[class=\'currency-column total-row\']')[22m[2m    23 × locator resolved to &lt;td colspan="100%" _ngcontent-ng-c821186568="" class="currency-column total-row"&gt;…&lt;/td&gt;[22m[2m       - unexpected value " 22.05. - 31.12.2025 - Total Ausgaben: 997.00 Total Einnahmen: 0.00 Saldo: 997.00"[22m
Screenshots: C:\Aventis\Aventis_Playwright-\test-results\videos\006_KeyWords_Smoketest_V2-AW01b-AW01b-Microsoft-Edge\test-failed-1.png
Videos: C:\Aventis\Aventis_Playwright-\test-results\videos\006_KeyWords_Smoketest_V2-AW01b-AW01b-Microsoft-Edge\video.webm</t>
  </si>
  <si>
    <t>Error: [31mTimed out 20000ms waiting for [39m[2mexpect([22m[31mlocator[39m[2m).[22mtoContainText[2m([22m[32mexpected[39m[2m)[22mLocator: locator('tbody tr').first().locator('td').last()Expected string: [32m"In Arbeit"[39mReceived string: [31m"Dossier 1_E2E_2025.8.20|8:33:58_900, Fälligkeitsdatum 31.08.2025, Priorität Mittel, Status Nicht begonnen, Titel Eine wichtige Aufgabe_012, Erstellt durch Bern Sozialarbeiterin 1A, Zugewiesen Bern Sozialarbeiterin 1A"[39mCall log:[2m  - Expect "soft toContainText" with timeout 20000ms[22m[2m  - waiting for locator('tbody tr').first().locator('td').last()[22m[2m    21 × locator resolved to &lt;td&gt;…&lt;/td&gt;[22m[2m       - unexpected value "Dossier 1_E2E_2025.8.20|8:33:58_900, Fälligkeitsdatum 31.08.2025, Priorität Mittel, Status Nicht begonnen, Titel Eine wichtige Aufgabe_012, Erstellt durch Bern Sozialarbeiterin 1A, Zugewiesen Bern Sozialarbeiterin 1A"[22m
Screenshots: C:\Aventis\Aventis_Playwright-\test-results\videos\006_KeyWords_Smoketest_V2-DO04c-DO04c-Microsoft-Edge\test-failed-1.png
Videos: C:\Aventis\Aventis_Playwright-\test-results\videos\006_KeyWords_Smoketest_V2-DO04c-DO04c-Microsoft-Edge\video.webm</t>
  </si>
  <si>
    <t>Error: [31mTimed out 20000ms waiting for [39m[2mexpect([22m[31mlocator[39m[2m).[22mtoHaveText[2m([22m[32mexpected[39m[2m)[22mLocator: getByRole('cell', { name: /Zeilen ausgewählt|Lignes sélectionnées/i })Expected pattern: [32m/0 Zeilen ausgewählt|0 Lignes sélectionnées/i[39mReceived string:  [31m" 2681 Zeilen ausgewählt "[39mCall log:[2m  - Expect "soft toHaveText" with timeout 20000ms[22m[2m  - waiting for getByRole('cell', { name: /Zeilen ausgewählt|Lignes sélectionnées/i })[22m[2m    7 × locator resolved to &lt;td colspan="6" role="cell" mat-footer-cell="" _ngcontent-ng-c4231629664="" class="mat-mdc-footer-cell mdc-data-table__cell cdk-footer-cell cdk-column-selected mat-column-selected ng-star-inserted"&gt; 2681 Zeilen ausgewählt &lt;/td&gt;[22m[2m      - unexpected value " 2681 Zeilen ausgewählt "[22m
Screenshots: C:\Aventis\Aventis_Playwright-\test-results\videos\006_KeyWords_Smoketest_V2-DO12b-DO12b-Microsoft-Edge\test-failed-1.png
Videos: C:\Aventis\Aventis_Playwright-\test-results\videos\006_KeyWords_Smoketest_V2-DO12b-DO12b-Microsoft-Edge\video.webm</t>
  </si>
  <si>
    <t>Error: locator.hover: Target page, context or browser has been closedCall log:[2m  - waiting for locator('app-timeline').locator('div:has-text(\'27.11.2025\') + a')[22m
Videos: C:\Aventis\Aventis_Playwright-\test-results\videos\006_KeyWords_Smoketest_V2-R05-R05-Microsoft-Edge\video.webm</t>
  </si>
  <si>
    <t>Error: locator.click: Target page, context or browser has been closedCall log:[2m  - waiting for locator('div[class*=\'date-caption\']:has-text(\'27.11.2025\') + a')[22m
Videos: C:\Aventis\Aventis_Playwright-\test-results\videos\006_KeyWords_Smoketest_V2-R07-R07-Microsoft-Edge\video.webm</t>
  </si>
  <si>
    <t>Error: locator.fill: Test timeout of 840000ms exceeded.Call log:[2m  - waiting for getByTestId('titel').getByTestId('root-control').first()[22m
Screenshots: C:\Aventis\Aventis_Playwright-\test-results\videos\006_KeyWords_Smoketest_V2-RV02-RV02-Microsoft-Edge\test-failed-1.png
Videos: C:\Aventis\Aventis_Playwright-\test-results\videos\006_KeyWords_Smoketest_V2-RV02-RV02-Microsoft-Edge\video.webm</t>
  </si>
  <si>
    <t>Error: locator.click: Target page, context or browser has been closedCall log:[2m  - waiting for locator('app-auflagenverfahren-liste').filter({ hasText: 'seit 19.08.2025' }).filter({ has: getByRole('button', { name: 'Ohne Jobsuche werden Zahlungen gekürzt' }) }).first().getByLabel('bearbeiten')[22m
Videos: C:\Aventis\Aventis_Playwright-\test-results\videos\006_KeyWords_Smoketest_V2-RV02b-RV02b-Microsoft-Edge\video.webm</t>
  </si>
  <si>
    <t>Error: locator.click: Error: strict mode violation: getByRole('link', { name: /Bewilligung öffnen|Ouvrir la validation/i }) resolved to 2 elements:    1) &lt;a mat-flat-button="" mat-ripple-loader-uninitialized="" mat-ripple-loader-class-name="mat-mdc-button-ripple" class="primary mdc-button mdc-button--unelevated mat-mdc-unelevated-button mat-unthemed mat-mdc-button-base" data-testid="dossiers-klienten?bewilligung-entity=ad982833-9424-48e3-be87-c7ce4e58d162#ad982833-9424-48e3-be87-c7ce4e58d162,sidesheet" href="/dossiers/cbd1ecee-3227-4f5a-8184-a613d3db85cc/klienten/cb4c8bd4-bdc2-4656-ab86-7202a3c6b4fe?bewilligung-entity=ad982833-9424-48e3-be87-c7ce4…&gt;…&lt;/a&gt; aka getByTestId('dossiers-klienten?bewilligung-entity=ad982833-9424-48e3-be87-c7ce4e58d162#ad982833-9424-48e3-be87-c7ce4e58d162,sidesheet')    2) &lt;a mat-flat-button="" mat-ripple-loader-uninitialized="" mat-ripple-loader-class-name="mat-mdc-button-ripple" class="primary mdc-button mdc-button--unelevated mat-mdc-unelevated-button mat-unthemed mat-mdc-button-base" data-testid="dossiers-klienten?bewilligung-entity=5667eb1d-a421-409b-b1d4-d6dbe4f1da8e#5667eb1d-a421-409b-b1d4-d6dbe4f1da8e,sidesheet" href="/dossiers/cbd1ecee-3227-4f5a-8184-a613d3db85cc/klienten/cb4c8bd4-bdc2-4656-ab86-7202a3c6b4fe?bewilligung-entity=5667eb1d-a421-409b-b1d4-d6dbe…&gt;…&lt;/a&gt; aka getByTestId('dossiers-klienten?bewilligung-entity=5667eb1d-a421-409b-b1d4-d6dbe4f1da8e#5667eb1d-a421-409b-b1d4-d6dbe4f1da8e,sidesheet')Call log:[2m  - waiting for getByRole('link', { name: /Bewilligung öffnen|Ouvrir la validation/i })[22m
Screenshots: C:\Aventis\Aventis_Playwright-\test-results\videos\006_KeyWords_Smoketest_V2-Z01b-Z01b-Microsoft-Edge\test-failed-1.png
Videos: C:\Aventis\Aventis_Playwright-\test-results\videos\006_KeyWords_Smoketest_V2-Z01b-Z01b-Microsoft-Edge\video.webm</t>
  </si>
  <si>
    <t>","nurUngelesen":"true"</t>
  </si>
  <si>
    <t>24.08.2025 15:36:50</t>
  </si>
  <si>
    <t>Error: locator.click: Test timeout of 840000ms exceeded.Call log:[2m  - waiting for locator('#otherTileText')[22m[2m    - waiting for" https://aventis-qa-backend.azurewebsites.net/login?redirectUri=https%3A%2F%2Fqa.aventis.swiss%2F" navigation to finish...[22m[2m    - navigated to "https://login.microsoftonline.com/f8fae057-6d6d-43ea-a999-7cc2e93b0d90/oauth2/v2.0/authorize?client_id=28fc3694-eb3e-4eeb-9f03-7363b9458a86&amp;redirect_uri=https%3A%2F%2Faventis-qa-backend.azurewebsites…"[22m[2m    - locator resolved to &lt;div id="otherTileText" data-bind="text: otherTileText"&gt;Use another account&lt;/div&gt;[22m[2m  - attempting click action[22m[2m    - waiting for element to be visible, enabled and stable[22m[2m    - element is visible, enabled and stable[22m[2m    - scrolling into view if needed[22m
Screenshots: C:\Aventis\Aventis_Playwright-\test-results\videos\006_KeyWords_Smoketest_V2-003a-003a-Microsoft-Edge\test-failed-1.png
Videos: C:\Aventis\Aventis_Playwright-\test-results\videos\006_KeyWords_Smoketest_V2-003a-003a-Microsoft-Edge\video.webm</t>
  </si>
  <si>
    <t>Error: locator.click: Target page, context or browser has been closedCall log:[2m  - waiting for locator('td mat-checkbox input[type=\'checkbox\']').first()[22m[2m    - locator resolved to &lt;input disabled tabindex="-1" type="checkbox" id="mat-mdc-checkbox-5-input" class="mdc-checkbox__native-control"/&gt;[22m[2m  - attempting click action[22m[2m    2 × waiting for element to be visible, enabled and stable[22m[2m      - element is not enabled[22m[2m    - retrying click action[22m[2m    - waiting 20ms[22m[2m    2 × waiting for element to be visible, enabled and stable[22m[2m      - element is not enabled[22m[2m    - retrying click action[22m[2m      - waiting 100ms[22m[2m    196 × waiting for element to be visible, enabled and stable[22m[2m        - element is not enabled[22m[2m      - retrying click action[22m[2m        - waiting 500ms[22m
Videos: C:\Aventis\Aventis_Playwright-\test-results\videos\006_KeyWords_Smoketest_V2-003b-003b-Microsoft-Edge\video.webm</t>
  </si>
  <si>
    <t>Error: locator.click: Test timeout of 300000ms exceeded.Call log:[2m  - waiting for locator('mat-expansion-panel-header:has-text(\'22.08.2025\')').getByRole('button', { name: /Bearbeiten|Modifier/i }).last()[22m
Screenshots: C:\Aventis\Aventis_Playwright-\test-results\videos\006_KeyWords_Smoketest_V2-A01b-A01b-Microsoft-Edge\test-failed-1.png
Videos: C:\Aventis\Aventis_Playwright-\test-results\videos\006_KeyWords_Smoketest_V2-A01b-A01b-Microsoft-Edge\video.webm</t>
  </si>
  <si>
    <t>Error: locator.click: Test timeout of 300000ms exceeded.Call log:[2m  - waiting for locator('mat-expansion-panel-header:has-text(\'22.08.2025\')').getByRole('button', { name: /Bearbeiten|Modifier/i }).last()[22m
Screenshots: C:\Aventis\Aventis_Playwright-\test-results\videos\006_KeyWords_Smoketest_V2-A01c-A01c-Microsoft-Edge\test-failed-1.png
Videos: C:\Aventis\Aventis_Playwright-\test-results\videos\006_KeyWords_Smoketest_V2-A01c-A01c-Microsoft-Edge\video.webm</t>
  </si>
  <si>
    <t>Error: [31mTimed out 20000ms waiting for [39m[2mexpect([22m[31mlocator[39m[2m).[22mtoContainText[2m([22m[32mexpected[39m[2m)[22mLocator: locator('th[class*=\'currency-column\']')Expected pattern: [32m/-3’645.45|-3 645.45/i[39mReceived string:  [31m" CHF-2’645.45 "[39mCall log:[2m  - Expect "soft toContainText" with timeout 20000ms[22m[2m  - waiting for locator('th[class*=\'currency-column\']')[22m[2m    23 × locator resolved to &lt;th _ngcontent-ng-c127703078="" class="font-bold bg-color-gray-7 currency-column ng-star-inserted"&gt; CHF-2’645.45 &lt;/th&gt;[22m[2m       - unexpected value " CHF-2’645.45 "[22m
Screenshots: C:\Aventis\Aventis_Playwright-\test-results\videos\006_KeyWords_Smoketest_V2-A04-FE02-A04-FE02-Microsoft-Edge\test-failed-1.png
Videos: C:\Aventis\Aventis_Playwright-\test-results\videos\006_KeyWords_Smoketest_V2-A04-FE02-A04-FE02-Microsoft-Edge\video.webm</t>
  </si>
  <si>
    <t>Error: locator.getAttribute: Test timeout of 600000ms exceeded.Call log:[2m  - waiting for getByRole('tab', { name: 'Eintretensentscheid' }).last()[22m
Screenshots: C:\Aventis\Aventis_Playwright-\test-results\videos\006_KeyWords_Smoketest_V2-AW01a-AW01a-Microsoft-Edge\test-failed-1.png
Videos: C:\Aventis\Aventis_Playwright-\test-results\videos\006_KeyWords_Smoketest_V2-AW01a-AW01a-Microsoft-Edge\video.webm</t>
  </si>
  <si>
    <t>Error: locator.click: Test timeout of 180000ms exceeded.Call log:[2m  - waiting for locator('mat-option:has-text(\'SAR10_7567997113166_22-No14 | WSH\'),mat-option:has-text(\'SAR10_7567997113166_22-No14 | ASE\')')[22m
Screenshots: C:\Aventis\Aventis_Playwright-\test-results\videos\006_KeyWords_Smoketest_V2-AW01b-AW01b-Microsoft-Edge\test-failed-1.png
Videos: C:\Aventis\Aventis_Playwright-\test-results\videos\006_KeyWords_Smoketest_V2-AW01b-AW01b-Microsoft-Edge\video.webm</t>
  </si>
  <si>
    <t>Error: locator.click: Test timeout of 240000ms exceeded.Call log:[2m  - waiting for locator('a[href$=\'sidesheet\']:visible')[22m
Screenshots: C:\Aventis\Aventis_Playwright-\test-results\videos\006_KeyWords_Smoketest_V2-BC00-BC00-Microsoft-Edge\test-failed-1.png
Videos: C:\Aventis\Aventis_Playwright-\test-results\videos\006_KeyWords_Smoketest_V2-BC00-BC00-Microsoft-Edge\video.webm</t>
  </si>
  <si>
    <t>Error: locator.click: Test timeout of 180000ms exceeded.Call log:[2m  - waiting for locator('tr:has-text(\'\'):has-text(\'GBL, Wohnkosten\'):has-text(\'12_E2E_2025.8.24|13:39:48_990\') button')[22m
Screenshots: C:\Aventis\Aventis_Playwright-\test-results\videos\006_KeyWords_Smoketest_V2-BC02-BC02-Microsoft-Edge\test-failed-1.png
Videos: C:\Aventis\Aventis_Playwright-\test-results\videos\006_KeyWords_Smoketest_V2-BC02-BC02-Microsoft-Edge\video.webm</t>
  </si>
  <si>
    <t>Error: [31mTimed out 20000ms waiting for [39m[2mexpect([22m[31mlocator[39m[2m).[22mtoContainText[2m([22m[32mexpected[39m[2m)[22mLocator: locator('td[class*=\'mat-column-Betrag\']').first()Expected string: [32m"CHF [7m2’9[27m82.00"[39mReceived string: [31m"[7m [27mCHF [7m3’3[27m82.00[7m [27m"[39mCall log:[2m  - Expect "soft toContainText" with timeout 20000ms[22m[2m  - waiting for locator('td[class*=\'mat-column-Betrag\']').first()[22m[2m    19 × locator resolved to &lt;td mat-cell="" role="cell" _ngcontent-ng-c2664140263="" class="mat-mdc-cell mdc-data-table__cell cdk-cell cdk-column-Betrag mat-column-Betrag ng-star-inserted"&gt; CHF 3’382.00 &lt;/td&gt;[22m[2m       - unexpected value " CHF 3’382.00 "[22m
Screenshots: C:\Aventis\Aventis_Playwright-\test-results\videos\006_KeyWords_Smoketest_V2-BC04-BC04-Microsoft-Edge\test-failed-1.png
Videos: C:\Aventis\Aventis_Playwright-\test-results\videos\006_KeyWords_Smoketest_V2-BC04-BC04-Microsoft-Edge\video.webm</t>
  </si>
  <si>
    <t>Error: locator.hover: Test timeout of 120000ms exceeded.Call log:[2m  - waiting for locator('app-timeline').locator('div:has-text(\'30.11.2025\') + a')[22m
Screenshots: C:\Aventis\Aventis_Playwright-\test-results\videos\006_KeyWords_Smoketest_V2-R05-R05-Microsoft-Edge\test-failed-1.png
Videos: C:\Aventis\Aventis_Playwright-\test-results\videos\006_KeyWords_Smoketest_V2-R05-R05-Microsoft-Edge\video.webm</t>
  </si>
  <si>
    <t>Error: [31mTimed out 20000ms waiting for [39m[2mexpect([22m[31mlocator[39m[2m).[22mtoContainText[2m([22m[32mexpected[39m[2m)[22mLocator: locator('tr[class=\'caption-row\']')Expected string: [32m"Zahlungsempfänger/in"[39mReceived string: [31m" Konto  Beschreibung  Bewilligung  Betrag "[39mCall log:[2m  - Expect "soft toContainText" with timeout 20000ms[22m[2m  - waiting for locator('tr[class=\'caption-row\']')[22m[2m    23 × locator resolved to &lt;tr class="caption-row" _ngcontent-ng-c3421397345=""&gt;…&lt;/tr&gt;[22m[2m       - unexpected value " Konto  Beschreibung  Bewilligung  Betrag "[22m
Screenshots: C:\Aventis\Aventis_Playwright-\test-results\videos\006_KeyWords_Smoketest_V2-R06-R06-Microsoft-Edge\test-failed-1.png
Videos: C:\Aventis\Aventis_Playwright-\test-results\videos\006_KeyWords_Smoketest_V2-R06-R06-Microsoft-Edge\video.webm</t>
  </si>
  <si>
    <t>Error: locator.click: Test timeout of 120000ms exceeded.Call log:[2m  - waiting for locator('tr:has-text(\'Müller6973, Liam\')').filter({ hasText: /Erwerbseinkommen|Revenu de l'activité lucrative/i }).getByTestId('expand-rahmenbudget-grid')[22m
Screenshots: C:\Aventis\Aventis_Playwright-\test-results\videos\006_KeyWords_Smoketest_V2-R07-R07-Microsoft-Edge\test-failed-1.png
Videos: C:\Aventis\Aventis_Playwright-\test-results\videos\006_KeyWords_Smoketest_V2-R07-R07-Microsoft-Edge\video.webm</t>
  </si>
  <si>
    <t>Error: locator.click: Test timeout of 120000ms exceeded.Call log:[2m  - waiting for locator('app-auflagenverfahren-panel').first().locator('button').first()[22m
Screenshots: C:\Aventis\Aventis_Playwright-\test-results\videos\006_KeyWords_Smoketest_V2-RV02-RV02-Microsoft-Edge\test-failed-1.png
Videos: C:\Aventis\Aventis_Playwright-\test-results\videos\006_KeyWords_Smoketest_V2-RV02-RV02-Microsoft-Edge\video.webm</t>
  </si>
  <si>
    <t>Error: locator.waitFor: Test timeout of 120000ms exceeded.Call log:[2m  - waiting for locator('app-auflagenverfahren-panel') to be visible[22m
Screenshots: C:\Aventis\Aventis_Playwright-\test-results\videos\006_KeyWords_Smoketest_V2-RV02b-RV02b-Microsoft-Edge\test-failed-1.png
Videos: C:\Aventis\Aventis_Playwright-\test-results\videos\006_KeyWords_Smoketest_V2-RV02b-RV02b-Microsoft-Edge\video.webm</t>
  </si>
  <si>
    <t>Error: locator.click: Target page, context or browser has been closedCall log:[2m  - waiting for locator('mark').first()[22m
Videos: C:\Aventis\Aventis_Playwright-\test-results\videos\006_KeyWords_Smoketest_V2-WO33-WO33-Microsoft-Edge\video.webm</t>
  </si>
  <si>
    <t>Error: locator.click: Test timeout of 120000ms exceeded.Call log:[2m  - waiting for locator('mat-option:has-text(\'SozialhilfeschuldBescheinigung - Deutsch\')')[22m[2m    - locator resolved to &lt;mat-option role="option" id="mat-option-597" aria-selected="false" aria-disabled="false" class="mat-mdc-option mdc-list-item ng-star-inserted mat-mdc-option-active"&gt;…&lt;/mat-option&gt;[22m[2m  - attempting click action[22m[2m    - waiting for element to be visible, enabled and stable[22m[2m  - element was detached from the DOM, retrying[22m
Screenshots: C:\Aventis\Aventis_Playwright-\test-results\videos\006_KeyWords_Smoketest_V2-WSH08-WSH08-Microsoft-Edge\test-failed-1.png
Videos: C:\Aventis\Aventis_Playwright-\test-results\videos\006_KeyWords_Smoketest_V2-WSH08-WSH08-Microsoft-Edge\video.webm</t>
  </si>
  <si>
    <t>Error: [31mTimed out 20000ms waiting for [39m[2mexpect([22m[31mlocator[39m[2m).[22mtoContainText[2m([22m[32mexpected[39m[2m)[22mLocator: getByRole('tab').filter({ hasText: /Ausgeführte Zahlungen|Paiements effectués/i })Expected string: [32m"6"[39mReceived string: [31m" Ausgeführte Zahlungen (0) "[39mCall log:[2m  - Expect "toContainText" with timeout 20000ms[22m[2m  - waiting for getByRole('tab').filter({ hasText: /Ausgeführte Zahlungen|Paiements effectués/i })[22m[2m    23 × locator resolved to &lt;a role="tab" tabindex="-1" mat-tab-link="" id="mat-tab-link-4" aria-disabled="false" aria-selected="false" _ngcontent-ng-c1840232030="" aria-controls="mat-tab-nav-panel-1" class="mdc-tab mat-mdc-tab-link mat-focus-indicator"&gt;…&lt;/a&gt;[22m[2m       - unexpected value " Ausgeführte Zahlungen (0) "[22m
Screenshots: C:\Aventis\Aventis_Playwright-\test-results\videos\006_KeyWords_Smoketest_V2-WSH99-WSH99-Microsoft-Edge\test-failed-1.png
Videos: C:\Aventis\Aventis_Playwright-\test-results\videos\006_KeyWords_Smoketest_V2-WSH99-WSH99-Microsoft-Edge\video.webm</t>
  </si>
  <si>
    <t>Error: locator.click: Error: strict mode violation: getByRole('link', { name: /Bewilligung öffnen|Ouvrir la validation/i }) resolved to 2 elements:    1) &lt;a mat-flat-button="" mat-ripple-loader-uninitialized="" mat-ripple-loader-class-name="mat-mdc-button-ripple" class="primary mdc-button mdc-button--unelevated mat-mdc-unelevated-button mat-unthemed mat-mdc-button-base" data-testid="dossiers-klienten?bewilligung-entity=c9a6d3e9-ff50-4cd5-ae20-5447947a94b1#c9a6d3e9-ff50-4cd5-ae20-5447947a94b1,sidesheet" href="/dossiers/b0964830-f3ce-4f06-96ae-d1edfaabccf0/klienten/4114ca18-61aa-4abf-aee1-cb0612a82bed?bewilligung-entity=c9a6d3e9-ff50-4cd5-ae20-54479…&gt;…&lt;/a&gt; aka getByTestId('dossiers-klienten?bewilligung-entity=c9a6d3e9-ff50-4cd5-ae20-5447947a94b1#c9a6d3e9-ff50-4cd5-ae20-5447947a94b1,sidesheet')    2) &lt;a mat-flat-button="" mat-ripple-loader-uninitialized="" mat-ripple-loader-class-name="mat-mdc-button-ripple" class="primary mdc-button mdc-button--unelevated mat-mdc-unelevated-button mat-unthemed mat-mdc-button-base" data-testid="dossiers-klienten?bewilligung-entity=5f82057f-b8f0-4478-a05c-e7395f5eca47#5f82057f-b8f0-4478-a05c-e7395f5eca47,sidesheet" href="/dossiers/b0964830-f3ce-4f06-96ae-d1edfaabccf0/klienten/4114ca18-61aa-4abf-aee1-cb0612a82bed?bewilligung-entity=5f82057f-b8f0-4478-a05c-e7395…&gt;…&lt;/a&gt; aka getByTestId('dossiers-klienten?bewilligung-entity=5f82057f-b8f0-4478-a05c-e7395f5eca47#5f82057f-b8f0-4478-a05c-e7395f5eca47,sidesheet')Call log:[2m  - waiting for getByRole('link', { name: /Bewilligung öffnen|Ouvrir la validation/i })[22m
Screenshots: C:\Aventis\Aventis_Playwright-\test-results\videos\006_KeyWords_Smoketest_V2-Z01b-Z01b-Microsoft-Edge\test-failed-1.png
Videos: C:\Aventis\Aventis_Playwright-\test-results\videos\006_KeyWords_Smoketest_V2-Z01b-Z01b-Microsoft-Edge\video.webm</t>
  </si>
  <si>
    <t>26.08.2025 11:41:22</t>
  </si>
  <si>
    <t>Error: locator.click: Test timeout of 300000ms exceeded.Call log:[2m  - waiting for locator('mat-expansion-panel-header:has-text(\'24.08.2025\')').getByRole('button', { name: /Bearbeiten|Modifier/i }).last()[22m
Screenshots: C:\Aventis\Aventis_Playwright-\test-results\videos\006_KeyWords_Smoketest_V2-A01b-A01b-Microsoft-Edge\test-failed-1.png
Videos: C:\Aventis\Aventis_Playwright-\test-results\videos\006_KeyWords_Smoketest_V2-A01b-A01b-Microsoft-Edge\video.webm</t>
  </si>
  <si>
    <t>Error: locator.click: Test timeout of 300000ms exceeded.Call log:[2m  - waiting for locator('mat-expansion-panel-header:has-text(\'24.08.2025\')').getByRole('button', { name: /Bearbeiten|Modifier/i }).last()[22m
Screenshots: C:\Aventis\Aventis_Playwright-\test-results\videos\006_KeyWords_Smoketest_V2-A01c-A01c-Microsoft-Edge\test-failed-1.png
Videos: C:\Aventis\Aventis_Playwright-\test-results\videos\006_KeyWords_Smoketest_V2-A01c-A01c-Microsoft-Edge\video.webm</t>
  </si>
  <si>
    <t>Error: [31mTimed out 20000ms waiting for [39m[2mexpect([22m[31mlocator[39m[2m).[22mtoContainText[2m([22m[32mexpected[39m[2m)[22mLocator: locator('td[class=\'currency-column total-row\']')Expected pattern: [32m/(5 982,00.*0,00)|(5’982.00.*0.00)/i[39mReceived string:  [31m" 28.05. - 31.12.2025 - Total Ausgaben: 798.00 Total Einnahmen: 0.00 Saldo: 798.00"[39mCall log:[2m  - Expect "soft toContainText" with timeout 20000ms[22m[2m  - waiting for locator('td[class=\'currency-column total-row\']')[22m[2m    23 × locator resolved to &lt;td colspan="100%" _ngcontent-ng-c821186568="" class="currency-column total-row"&gt;…&lt;/td&gt;[22m[2m       - unexpected value " 28.05. - 31.12.2025 - Total Ausgaben: 798.00 Total Einnahmen: 0.00 Saldo: 798.00"[22m
Screenshots: C:\Aventis\Aventis_Playwright-\test-results\videos\006_KeyWords_Smoketest_V2-AW01b-AW01b-Microsoft-Edge\test-failed-1.png
Videos: C:\Aventis\Aventis_Playwright-\test-results\videos\006_KeyWords_Smoketest_V2-AW01b-AW01b-Microsoft-Edge\video.webm</t>
  </si>
  <si>
    <t>Error: page.waitForResponse: Target page, context or browser has been closed
Videos: C:\Aventis\Aventis_Playwright-\test-results\videos\006_KeyWords_Smoketest_V2-DO12b-DO12b-Microsoft-Edge\video.webm</t>
  </si>
  <si>
    <t>Error: page.waitForResponse: Target page, context or browser has been closed
Videos: C:\Aventis\Aventis_Playwright-\test-results\videos\006_KeyWords_Smoketest_V2-KO02-KO02-Microsoft-Edge\video.webm</t>
  </si>
  <si>
    <t>Error: locator.hover: Test timeout of 120000ms exceeded.Call log:[2m  - waiting for locator('app-timeline').locator('div:has-text(\'02.12.2025\') + a')[22m
Screenshots: C:\Aventis\Aventis_Playwright-\test-results\videos\006_KeyWords_Smoketest_V2-R05-R05-Microsoft-Edge\test-failed-1.png
Videos: C:\Aventis\Aventis_Playwright-\test-results\videos\006_KeyWords_Smoketest_V2-R05-R05-Microsoft-Edge\video.webm</t>
  </si>
  <si>
    <t>Error: locator.click: Test timeout of 120000ms exceeded.Call log:[2m  - waiting for locator('tr:has-text(\'Müller14874, Liam\')').filter({ hasText: /Erwerbseinkommen|Revenu de l'activité lucrative/i }).getByTestId('expand-rahmenbudget-grid')[22m
Screenshots: C:\Aventis\Aventis_Playwright-\test-results\videos\006_KeyWords_Smoketest_V2-R07-R07-Microsoft-Edge\test-failed-1.png
Videos: C:\Aventis\Aventis_Playwright-\test-results\videos\006_KeyWords_Smoketest_V2-R07-R07-Microsoft-Edge\video.webm</t>
  </si>
  <si>
    <t>Error: locator.click: Test timeout of 840000ms exceeded.Call log:[2m  - waiting for getByRole('link', { name: /Institutionen und Fachpersonen|Institutions et spécialiste·s/i })[22m[2m    - locator resolved to &lt;a tabindex="0" appnavigationitem="" _nghost-ng-c1836096494="" routerlinkactive="focused" mattooltipposition="after" app-navigation-tree-node="" _ngcontent-ng-c1729762730="" data-testid="DossierInstitutionenRoute" class="mat-mdc-tooltip-trigger undecorated-link ng-star-inserted" href="/dossiers/70c6907b-68e2-48b6-aad3-a7bef6c9977e/institutionen"&gt;…&lt;/a&gt;[22m[2m  - attempting click action[22m[2m    2 × waiting for element to be visible, enabled and stable[22m[2m      - element is not visible[22m[2m    - retrying click action[22m[2m    - waiting 20ms[22m[2m    2 × waiting for element to be visible, enabled and stable[22m[2m      - element is not visible[22m[2m    - retrying click action[22m[2m      - waiting 100ms[22m[2m    1571 × waiting for element to be visible, enabled and stable[22m[2m         - element is not visible[22m[2m       - retrying click action[22m[2m         - waiting 500ms[22m
Screenshots: C:\Aventis\Aventis_Playwright-\test-results\videos\006_KeyWords_Smoketest_V2-UM02-UM02-Microsoft-Edge\test-failed-1.png
Videos: C:\Aventis\Aventis_Playwright-\test-results\videos\006_KeyWords_Smoketest_V2-UM02-UM02-Microsoft-Edge\video.webm</t>
  </si>
  <si>
    <t>Error: locator.click: Test timeout of 120000ms exceeded.Call log:[2m  - waiting for getByRole('link', { name: /Kontoauszug|Extrait de compte/i })[22m[2m    - locator resolved to &lt;a tabindex="0" appnavigationitem="" _nghost-ng-c1836096494="" routerlinkactive="focused" mattooltipposition="after" app-navigation-tree-node="" _ngcontent-ng-c1729762730="" data-testid="KontoauszugInDossierRoute" class="mat-mdc-tooltip-trigger undecorated-link ng-star-inserted" href="/dossiers/cad62532-8132-4544-9bf8-0af8e3af9dbf/wsh/100d7abf-f3df-494d-adf8-18b898200722/kontoauszug/kontoauszug"&gt;…&lt;/a&gt;[22m[2m  - attempting click action[22m[2m    - waiting for element to be visible, enabled and stable[22m[2m    - element is not stable[22m[2m  - retrying click action[22m[2m    - waiting for element to be visible, enabled and stable[22m[2m    - element is visible, enabled and stable[22m[2m    - scrolling into view if needed[22m[2m    - done scrolling[22m[2m    - &lt;div _ngcontent-ng-c1619962178="" class="item-title ng-star-inserted"&gt;Wirtschaftliche Sozialhilfe&lt;/div&gt; from &lt;app-navigation-drawer-item tabindex="0" role="button" _nghost-ng-c1619962178="" _ngcontent-ng-c2072100946="" class="ng-tns-c2072100946-8"&gt;…&lt;/app-navigation-drawer-item&gt; subtree intercepts pointer events[22m[2m  - retrying click action[22m[2m    - waiting 20ms[22m[2m    2 × waiting for element to be visible, enabled and stable[22m[2m      - element is not visible[22m[2m    - retrying click action[22m[2m      - waiting 100ms[22m[2m    195 × waiting for element to be visible, enabled and stable[22m[2m        - element is not visible[22m[2m      - retrying click action[22m[2m        - waiting 500ms[22m
Screenshots: C:\Aventis\Aventis_Playwright-\test-results\videos\006_KeyWords_Smoketest_V2-WSH08-WSH08-Microsoft-Edge\test-failed-1.png
Videos: C:\Aventis\Aventis_Playwright-\test-results\videos\006_KeyWords_Smoketest_V2-WSH08-WSH08-Microsoft-Edge\video.webm</t>
  </si>
  <si>
    <t>Error: locator.click: Error: strict mode violation: getByRole('link', { name: /Bewilligung öffnen|Ouvrir la validation/i }) resolved to 2 elements:    1) &lt;a mat-flat-button="" mat-ripple-loader-uninitialized="" mat-ripple-loader-class-name="mat-mdc-button-ripple" class="primary mdc-button mdc-button--unelevated mat-mdc-unelevated-button mat-unthemed mat-mdc-button-base" data-testid="dossiers-klienten?bewilligung-entity=854bca2c-7a78-4a43-a567-7ac8596599a7#854bca2c-7a78-4a43-a567-7ac8596599a7,sidesheet" href="/dossiers/0f4a3501-7d48-4038-93bb-040152a8711c/klienten/d243cdf6-b68f-4a1b-a397-f3ede0bacad1?bewilligung-entity=854bca2c-7a78-4a43-a567-7ac85…&gt;…&lt;/a&gt; aka getByTestId('dossiers-klienten?bewilligung-entity=854bca2c-7a78-4a43-a567-7ac8596599a7#854bca2c-7a78-4a43-a567-7ac8596599a7,sidesheet')    2) &lt;a mat-flat-button="" mat-ripple-loader-uninitialized="" mat-ripple-loader-class-name="mat-mdc-button-ripple" class="primary mdc-button mdc-button--unelevated mat-mdc-unelevated-button mat-unthemed mat-mdc-button-base" data-testid="dossiers-klienten?bewilligung-entity=2aabaef6-c4ec-429b-92c8-b33fa89bea6d#2aabaef6-c4ec-429b-92c8-b33fa89bea6d,sidesheet" href="/dossiers/0f4a3501-7d48-4038-93bb-040152a8711c/klienten/d243cdf6-b68f-4a1b-a397-f3ede0bacad1?bewilligung-entity=2aabaef6-c4ec-429b-92c8-b33fa…&gt;…&lt;/a&gt; aka getByTestId('dossiers-klienten?bewilligung-entity=2aabaef6-c4ec-429b-92c8-b33fa89bea6d#2aabaef6-c4ec-429b-92c8-b33fa89bea6d,sidesheet')Call log:[2m  - waiting for getByRole('link', { name: /Bewilligung öffnen|Ouvrir la validation/i })[22m
Screenshots: C:\Aventis\Aventis_Playwright-\test-results\videos\006_KeyWords_Smoketest_V2-Z01b-Z01b-Microsoft-Edge\test-failed-1.png
Videos: C:\Aventis\Aventis_Playwright-\test-results\videos\006_KeyWords_Smoketest_V2-Z01b-Z01b-Microsoft-Edge\video.webm</t>
  </si>
  <si>
    <t>26.08.2025 13:36:43</t>
  </si>
  <si>
    <t>Error: [31mTimed out 20000ms waiting for [39m[2mexpect([22m[31mlocator[39m[2m).[22mtoContainText[2m([22m[32mexpected[39m[2m)[22mLocator: locator('tfoot td[class*=\'currency-column\']')Expected string: [32m"[7mCHF 18’3[27m92.00"[39mReceived string: [31m"[7m Total Betrag: CHF 20’2[27m92.00[7m [27m"[39mCall log:[2m  - Expect "soft toContainText" with timeout 20000ms[22m[2m  - waiting for locator('tfoot td[class*=\'currency-column\']')[22m[2m    4 × locator resolved to &lt;td colspan="2" role="cell" mat-footer-cell="" _ngcontent-ng-c2887877529="" class="mat-mdc-footer-cell mdc-data-table__cell cdk-footer-cell currency-column font-bold cdk-column-kreditor mat-column-kreditor ng-star-inserted"&gt; Total Betrag: CHF 3’382.00 &lt;/td&gt;[22m[2m      - unexpected value " Total Betrag: CHF 3’382.00 "[22m[2m    19 × locator resolved to &lt;td colspan="2" role="cell" mat-footer-cell="" _ngcontent-ng-c2887877529="" class="mat-mdc-footer-cell mdc-data-table__cell cdk-footer-cell currency-column font-bold cdk-column-kreditor mat-column-kreditor ng-star-inserted"&gt; Total Betrag: CHF 20’292.00 &lt;/td&gt;[22m[2m       - unexpected value " Total Betrag: CHF 20’292.00 "[22m
Screenshots: C:\Aventis\Aventis_Playwright-\test-results\videos\006_KeyWords_Smoketest_V2-001b-001b-Microsoft-Edge\test-failed-1.png
Videos: C:\Aventis\Aventis_Playwright-\test-results\videos\006_KeyWords_Smoketest_V2-001b-001b-Microsoft-Edge\video.webm</t>
  </si>
  <si>
    <t>Error: [31mTimed out 20000ms waiting for [39m[2mexpect([22m[31mlocator[39m[2m).[22mtoContainText[2m([22m[32mexpected[39m[2m)[22mLocator: locator('tfoot td[class*=\'currency-column\']')Expected string: [32m"CHF 1[7m8’3[27m92.00"[39mReceived string: [31m"[7m Total Betrag: [27mCHF 1[7m7’7[27m92.00[7m [27m"[39mCall log:[2m  - Expect "soft toContainText" with timeout 20000ms[22m[2m  - waiting for locator('tfoot td[class*=\'currency-column\']')[22m[2m    4 × locator resolved to &lt;td colspan="2" role="cell" mat-footer-cell="" _ngcontent-ng-c2887877529="" class="mat-mdc-footer-cell mdc-data-table__cell cdk-footer-cell currency-column font-bold cdk-column-kreditor mat-column-kreditor ng-star-inserted"&gt; Total Betrag: CHF 2’882.00 &lt;/td&gt;[22m[2m      - unexpected value " Total Betrag: CHF 2’882.00 "[22m[2m    19 × locator resolved to &lt;td colspan="2" role="cell" mat-footer-cell="" _ngcontent-ng-c2887877529="" class="mat-mdc-footer-cell mdc-data-table__cell cdk-footer-cell currency-column font-bold cdk-column-kreditor mat-column-kreditor ng-star-inserted"&gt; Total Betrag: CHF 17’792.00 &lt;/td&gt;[22m[2m       - unexpected value " Total Betrag: CHF 17’792.00 "[22m
Screenshots: C:\Aventis\Aventis_Playwright-\test-results\videos\006_KeyWords_Smoketest_V2-003b-003b-Microsoft-Edge\test-failed-1.png
Videos: C:\Aventis\Aventis_Playwright-\test-results\videos\006_KeyWords_Smoketest_V2-003b-003b-Microsoft-Edge\video.webm</t>
  </si>
  <si>
    <t>Error: [31mTimed out 20000ms waiting for [39m[2mexpect([22m[31mlocator[39m[2m).[22mtoContainText[2m([22m[32mexpected[39m[2m)[22mLocator: locator('td[class=\'currency-column total-row\']')Expected pattern: [32m/(5 982,00.*0,00)|(5’982.00.*0.00)/i[39mReceived string:  [31m" 28.05. - 31.12.2025 - Total Ausgaben: 997.00 Total Einnahmen: 0.00 Saldo: 997.00"[39mCall log:[2m  - Expect "soft toContainText" with timeout 20000ms[22m[2m  - waiting for locator('td[class=\'currency-column total-row\']')[22m[2m    23 × locator resolved to &lt;td colspan="100%" _ngcontent-ng-c821186568="" class="currency-column total-row"&gt;…&lt;/td&gt;[22m[2m       - unexpected value " 28.05. - 31.12.2025 - Total Ausgaben: 997.00 Total Einnahmen: 0.00 Saldo: 997.00"[22m
Screenshots: C:\Aventis\Aventis_Playwright-\test-results\videos\006_KeyWords_Smoketest_V2-AW01b-AW01b-Microsoft-Edge\test-failed-1.png
Videos: C:\Aventis\Aventis_Playwright-\test-results\videos\006_KeyWords_Smoketest_V2-AW01b-AW01b-Microsoft-Edge\video.webm</t>
  </si>
  <si>
    <t>Error: [31mTimed out 20000ms waiting for [39m[2mexpect([22m[31mlocator[39m[2m).[22mtoContainText[2m([22m[32mexpected[39m[2m)[22mLocator: locator('td[class*=\'mat-column-Betrag\']').first()Expected string: [32m"CHF [7m2’9[27m82.00"[39mReceived string: [31m"[7m [27mCHF [7m3’3[27m82.00[7m [27m"[39mCall log:[2m  - Expect "soft toContainText" with timeout 20000ms[22m[2m  - waiting for locator('td[class*=\'mat-column-Betrag\']').first()[22m[2m    23 × locator resolved to &lt;td mat-cell="" role="cell" _ngcontent-ng-c2664140263="" class="mat-mdc-cell mdc-data-table__cell cdk-cell cdk-column-Betrag mat-column-Betrag ng-star-inserted"&gt; CHF 3’382.00 &lt;/td&gt;[22m[2m       - unexpected value " CHF 3’382.00 "[22m
Screenshots: C:\Aventis\Aventis_Playwright-\test-results\videos\006_KeyWords_Smoketest_V2-BC04-BC04-Microsoft-Edge\test-failed-1.png
Videos: C:\Aventis\Aventis_Playwright-\test-results\videos\006_KeyWords_Smoketest_V2-BC04-BC04-Microsoft-Edge\video.webm</t>
  </si>
  <si>
    <t>Error: [31mTimed out 20000ms waiting for [39m[2mexpect([22m[31mlocator[39m[2m).[22mtoContainText[2m([22m[32mexpected[39m[2m)[22mLocator: locator('tbody tr').first().locator('td').last()Expected string: [32m"In Arbeit"[39mReceived string: [31m"Dossier 1_E2E_2025.8.26|12:35:13_642, Fälligkeitsdatum 07.09.2025, Priorität Mittel, Status Nicht begonnen, Titel Eine wichtige Aufgabe_012, Erstellt durch Bern Sozialarbeiterin 1A, Zugewiesen Bern Sozialarbeiterin 1A"[39mCall log:[2m  - Expect "soft toContainText" with timeout 20000ms[22m[2m  - waiting for locator('tbody tr').first().locator('td').last()[22m[2m    19 × locator resolved to &lt;td&gt;…&lt;/td&gt;[22m[2m       - unexpected value "Dossier 1_E2E_2025.8.26|12:35:13_642, Fälligkeitsdatum 07.09.2025, Priorität Mittel, Status Nicht begonnen, Titel Eine wichtige Aufgabe_012, Erstellt durch Bern Sozialarbeiterin 1A, Zugewiesen Bern Sozialarbeiterin 1A"[22m
Screenshots: C:\Aventis\Aventis_Playwright-\test-results\videos\006_KeyWords_Smoketest_V2-DO04c-DO04c-Microsoft-Edge\test-failed-1.png
Videos: C:\Aventis\Aventis_Playwright-\test-results\videos\006_KeyWords_Smoketest_V2-DO04c-DO04c-Microsoft-Edge\video.webm</t>
  </si>
  <si>
    <t>Error: [31mTimed out 20000ms waiting for [39m[2mexpect([22m[31mlocator[39m[2m).[22mtoHaveText[2m([22m[32mexpected[39m[2m)[22mLocator: locator('div[class=\'kennzahlen-grid-row\'] div[class=\'currency\']')Expected string: [32m"[7m2’9[27m82.00"[39mReceived string: [31m"[7m3’3[27m82.00"[39mCall log:[2m  - Expect "soft toHaveText" with timeout 20000ms[22m[2m  - waiting for locator('div[class=\'kennzahlen-grid-row\'] div[class=\'currency\']')[22m[2m    23 × locator resolved to &lt;div class="currency" _ngcontent-ng-c250772117=""&gt;3’382.00&lt;/div&gt;[22m[2m       - unexpected value "3’382.00"[22m
Screenshots: C:\Aventis\Aventis_Playwright-\test-results\videos\006_KeyWords_Smoketest_V2-R03-R03-Microsoft-Edge\test-failed-1.png
Videos: C:\Aventis\Aventis_Playwright-\test-results\videos\006_KeyWords_Smoketest_V2-R03-R03-Microsoft-Edge\video.webm</t>
  </si>
  <si>
    <t>Error: locator.hover: Test timeout of 120000ms exceeded.Call log:[2m  - waiting for locator('app-timeline').locator('div:has-text(\'04.12.2025\') + a')[22m
Screenshots: C:\Aventis\Aventis_Playwright-\test-results\videos\006_KeyWords_Smoketest_V2-R05-R05-Microsoft-Edge\test-failed-1.png
Videos: C:\Aventis\Aventis_Playwright-\test-results\videos\006_KeyWords_Smoketest_V2-R05-R05-Microsoft-Edge\video.webm</t>
  </si>
  <si>
    <t>Error: locator.pressSequentially: text: expected string, got undefined
Screenshots: C:\Aventis\Aventis_Playwright-\test-results\videos\006_KeyWords_Smoketest_V2-R06-R06-Microsoft-Edge\test-failed-1.png
Videos: C:\Aventis\Aventis_Playwright-\test-results\videos\006_KeyWords_Smoketest_V2-R06-R06-Microsoft-Edge\video.webm</t>
  </si>
  <si>
    <t>Error: locator.click: Test timeout of 120000ms exceeded.Call log:[2m  - waiting for locator('tr:has-text(\'Müller6699, Liam\')').filter({ hasText: /Erwerbseinkommen|Revenu de l'activité lucrative/i }).getByTestId('expand-rahmenbudget-grid')[22m
Screenshots: C:\Aventis\Aventis_Playwright-\test-results\videos\006_KeyWords_Smoketest_V2-R07-R07-Microsoft-Edge\test-failed-1.png
Videos: C:\Aventis\Aventis_Playwright-\test-results\videos\006_KeyWords_Smoketest_V2-R07-R07-Microsoft-Edge\video.webm</t>
  </si>
  <si>
    <t>Error: locator.click: Error: strict mode violation: getByRole('link', { name: /Bewilligung öffnen|Ouvrir la validation/i }) resolved to 2 elements:    1) &lt;a mat-flat-button="" mat-ripple-loader-uninitialized="" mat-ripple-loader-class-name="mat-mdc-button-ripple" class="primary mdc-button mdc-button--unelevated mat-mdc-unelevated-button mat-unthemed mat-mdc-button-base" data-testid="dossiers-klienten?bewilligung-entity=5c6dd7cc-cda6-47bc-b247-1beb51217c9d#5c6dd7cc-cda6-47bc-b247-1beb51217c9d,sidesheet" href="/dossiers/b52e4a17-7f6c-445f-b40b-450654af4c9e/klienten/588ac9c9-bbff-43c4-9e61-7d0e7e868e70?bewilligung-entity=5c6dd7cc-cda6-47bc-b247-1beb5…&gt;…&lt;/a&gt; aka getByTestId('dossiers-klienten?bewilligung-entity=5c6dd7cc-cda6-47bc-b247-1beb51217c9d#5c6dd7cc-cda6-47bc-b247-1beb51217c9d,sidesheet')    2) &lt;a mat-flat-button="" mat-ripple-loader-uninitialized="" mat-ripple-loader-class-name="mat-mdc-button-ripple" class="primary mdc-button mdc-button--unelevated mat-mdc-unelevated-button mat-unthemed mat-mdc-button-base" data-testid="dossiers-klienten?bewilligung-entity=01e441c1-2fb9-4346-9328-ea1730df244d#01e441c1-2fb9-4346-9328-ea1730df244d,sidesheet" href="/dossiers/b52e4a17-7f6c-445f-b40b-450654af4c9e/klienten/588ac9c9-bbff-43c4-9e61-7d0e7e868e70?bewilligung-entity=01e441c1-2fb9-4346-9328-ea173…&gt;…&lt;/a&gt; aka getByTestId('dossiers-klienten?bewilligung-entity=01e441c1-2fb9-4346-9328-ea1730df244d#01e441c1-2fb9-4346-9328-ea1730df244d,sidesheet')Call log:[2m  - waiting for getByRole('link', { name: /Bewilligung öffnen|Ouvrir la validation/i })[22m
Screenshots: C:\Aventis\Aventis_Playwright-\test-results\videos\006_KeyWords_Smoketest_V2-Z01b-Z01b-Microsoft-Edge\test-failed-1.png
Videos: C:\Aventis\Aventis_Playwright-\test-results\videos\006_KeyWords_Smoketest_V2-Z01b-Z01b-Microsoft-Edge\video.webm</t>
  </si>
  <si>
    <t>CHF 20’292.00</t>
  </si>
  <si>
    <t>CHF 17’792.00</t>
  </si>
  <si>
    <t>28.05. - 31.12.2025 - Total Ausgaben: 20’292.00 Total Einnahmen: 0.00 Saldo: 20’292.00"</t>
  </si>
  <si>
    <t>8.05. - 31.12.2025 - Total Ausgaben: 997.00 Total Einnahmen: 0.00 Saldo: 997.00"</t>
  </si>
  <si>
    <t>d</t>
  </si>
  <si>
    <t>26.08.2025 16:55:49</t>
  </si>
  <si>
    <t>Error: locator.click: Error: strict mode violation: getByRole('button', { name: /Bedarfsprüfung sichern|Enregistrer l'évaluation des besoins/i }) resolved to 2 elements:    1) &lt;button tabindex="0" role="button" mat-flat-button="" mat-ripple-loader-uninitialized="" mat-ripple-loader-class-name="mat-mdc-button-ripple" class="primary mdc-button mdc-button--unelevated mat-mdc-unelevated-button mat-unthemed mat-mdc-button-base"&gt;…&lt;/button&gt; aka locator('#cdk-accordion-child-0').getByRole('button', { name: 'Bedarfsprüfung sichern' })    2) &lt;button tabindex="0" role="button" mat-flat-button="" mat-ripple-loader-uninitialized="" mat-ripple-loader-class-name="mat-mdc-button-ripple" class="primary mdc-button mdc-button--unelevated mat-mdc-unelevated-button mat-unthemed mat-mdc-button-base"&gt;…&lt;/button&gt; aka locator('#cdk-accordion-child-1').getByRole('button', { name: 'Bedarfsprüfung sichern' })Call log:[2m  - waiting for getByRole('button', { name: /Bedarfsprüfung sichern|Enregistrer l'évaluation des besoins/i })[22m
Screenshots: C:\Aventis\Aventis_Playwright-\test-results\videos\006_KeyWords_Smoketest_V2-001a-001a-Microsoft-Edge\test-failed-1.png
Videos: C:\Aventis\Aventis_Playwright-\test-results\videos\006_KeyWords_Smoketest_V2-001a-001a-Microsoft-Edge\video.webm</t>
  </si>
  <si>
    <t>Error: locator.click: Target page, context or browser has been closedCall log:[2m  - waiting for getByTestId('button-next-2')[22m[2m    - locator resolved to &lt;button disabled="true" mat-flat-button="" data-cy="button-next-2" _ngcontent-ng-c80973700="" data-testid="button-next-2" mat-ripple-loader-disabled="" mat-ripple-loader-uninitialized="" mat-ripple-loader-class-name="mat-mdc-button-ripple" class="primary mdc-button mdc-button--unelevated mat-mdc-unelevated-button mat-unthemed mat-mdc-button-base mat-mdc-button-disabled"&gt;…&lt;/button&gt;[22m[2m  - attempting click action[22m[2m    2 × waiting for element to be visible, enabled and stable[22m[2m      - element is not enabled[22m[2m    - retrying click action[22m[2m    - waiting 20ms[22m[2m    2 × waiting for element to be visible, enabled and stable[22m[2m      - element is not enabled[22m[2m    - retrying click action[22m[2m      - waiting 100ms[22m[2m    1036 × waiting for element to be visible, enabled and stable[22m[2m         - element is not enabled[22m[2m       - retrying click action[22m[2m         - waiting 500ms[22m
Videos: C:\Aventis\Aventis_Playwright-\test-results\videos\006_KeyWords_Smoketest_V2-001b-001b-Microsoft-Edge\video.webm</t>
  </si>
  <si>
    <t>Error: locator.click: Error: strict mode violation: locator('mat-expansion-panel-header:has-text(\'Ausbildung\')') resolved to 2 elements:    1) &lt;mat-expansion-panel-header tabindex="0" role="button" aria-expanded="false" aria-disabled="false" _ngcontent-ng-c1868759669="" id="mat-expansion-panel-header-23" aria-controls="cdk-accordion-child-23" class="mat-expansion-panel-header mat-focus-indicator mat-expansion-toggle-indicator-before"&gt;…&lt;/mat-expansion-panel-header&gt; aka getByRole('button', { name: 'Ausbildung Pendent', exact: true })    2) &lt;mat-expansion-panel-header tabindex="0" role="button" aria-expanded="false" aria-disabled="false" _ngcontent-ng-c1868759669="" id="mat-expansion-panel-header-37" aria-controls="cdk-accordion-child-37" class="mat-expansion-panel-header mat-focus-indicator mat-expansion-toggle-indicator-before"&gt;…&lt;/mat-expansion-panel-header&gt; aka getByRole('button', { name: 'Ausbildung Pendent Kategorie' })Call log:[2m  - waiting for locator('mat-expansion-panel-header:has-text(\'Ausbildung\')')[22m
Screenshots: C:\Aventis\Aventis_Playwright-\test-results\videos\006_KeyWords_Smoketest_V2-A01b-A01b-Microsoft-Edge\test-failed-1.png
Videos: C:\Aventis\Aventis_Playwright-\test-results\videos\006_KeyWords_Smoketest_V2-A01b-A01b-Microsoft-Edge\video.webm</t>
  </si>
  <si>
    <t>Error: locator.click: Error: strict mode violation: getByRole('tab', { name: /Entscheidrelevante Dokumente|Documents pertinents pour la décision/i }) resolved to 2 elements:    1) &lt;div role="tab" tabindex="0" aria-setsize="3" aria-posinset="1" aria-selected="true" mattablabelwrapper="" aria-disabled="false" cdkmonitorelementfocus="" id="mat-tab-group-0-label-0" aria-controls="mat-tab-group-0-content-0" class="mdc-tab mat-mdc-tab mat-focus-indicator mdc-tab--active mdc-tab-indicator--active"&gt;…&lt;/div&gt; aka locator('#mat-tab-group-0-label-0')    2) &lt;div role="tab" tabindex="0" aria-setsize="3" aria-posinset="1" aria-selected="true" mattablabelwrapper="" aria-disabled="false" cdkmonitorelementfocus="" id="mat-tab-group-1-label-0" aria-controls="mat-tab-group-1-content-0" class="mdc-tab mat-mdc-tab mat-focus-indicator mdc-tab--active mdc-tab-indicator--active"&gt;…&lt;/div&gt; aka locator('#mat-tab-group-1-label-0')Call log:[2m  - waiting for getByRole('tab', { name: /Entscheidrelevante Dokumente|Documents pertinents pour la décision/i })[22m
Screenshots: C:\Aventis\Aventis_Playwright-\test-results\videos\006_KeyWords_Smoketest_V2-A01c-A01c-Microsoft-Edge\test-failed-1.png
Videos: C:\Aventis\Aventis_Playwright-\test-results\videos\006_KeyWords_Smoketest_V2-A01c-A01c-Microsoft-Edge\video.webm</t>
  </si>
  <si>
    <t>Error: locator.click: Test timeout of 60000ms exceeded.Call log:[2m  - waiting for getByTestId('WshNode')[22m
Screenshots: C:\Aventis\Aventis_Playwright-\test-results\videos\006_KeyWords_Smoketest_V2-A02-FE00-A02-FE00-Microsoft-Edge\test-failed-1.png
Videos: C:\Aventis\Aventis_Playwright-\test-results\videos\006_KeyWords_Smoketest_V2-A02-FE00-A02-FE00-Microsoft-Edge\video.webm</t>
  </si>
  <si>
    <t>Error: page.waitForResponse: Test timeout of 60000ms exceeded.
Screenshots: C:\Aventis\Aventis_Playwright-\test-results\videos\006_KeyWords_Smoketest_V2-A03-FE01-A03-FE01-Microsoft-Edge\test-failed-1.png
Videos: C:\Aventis\Aventis_Playwright-\test-results\videos\006_KeyWords_Smoketest_V2-A03-FE01-A03-FE01-Microsoft-Edge\video.webm</t>
  </si>
  <si>
    <t>Error: page.screenshot: Target page, context or browser has been closed
Screenshots: C:\Aventis\Aventis_Playwright-\test-results\videos\006_KeyWords_Smoketest_V2-A04-FE02-A04-FE02-Microsoft-Edge\test-failed-1.png
Videos: C:\Aventis\Aventis_Playwright-\test-results\videos\006_KeyWords_Smoketest_V2-A04-FE02-A04-FE02-Microsoft-Edge\video.webm</t>
  </si>
  <si>
    <t>Error: locator.isChecked: Test timeout of 60000ms exceeded.Call log:[2m  - waiting for locator('thead mat-checkbox input')[22m
Screenshots: C:\Aventis\Aventis_Playwright-\test-results\videos\006_KeyWords_Smoketest_V2-A05-FE03-A05-FE03-Microsoft-Edge\test-failed-1.png
Videos: C:\Aventis\Aventis_Playwright-\test-results\videos\006_KeyWords_Smoketest_V2-A05-FE03-A05-FE03-Microsoft-Edge\video.webm</t>
  </si>
  <si>
    <t>Error: Error message contains "Für dieses Dossier kann keine Soforthilfe mehr erfasst werden, da bereits WSH-Leistungen vorhanden sind."[31mTimed out 5000ms waiting for [39m[2mexpect([22m[31mlocator[39m[2m).[22mtoBeVisible[2m()[22mLocator: getByText('Für dieses Dossier kann keine Soforthilfe mehr erfasst werden, da bereits WSH-Leistungen vorhanden sind.')Expected: visibleReceived: &lt;element(s) not found&gt;Call log:[2m  - Expect "Error message contains \"Für dieses Dossier kann keine Soforthilfe mehr erfasst werden, da bereits WSH-Leistungen vorhanden sind.\"" with timeout 5000ms[22m[2m  - waiting for getByText('Für dieses Dossier kann keine Soforthilfe mehr erfasst werden, da bereits WSH-Leistungen vorhanden sind.')[22m
Screenshots: C:\Aventis\Aventis_Playwright-\test-results\videos\006_KeyWords_Smoketest_V2-AN01-AN01-Microsoft-Edge\test-failed-1.png
Videos: C:\Aventis\Aventis_Playwright-\test-results\videos\006_KeyWords_Smoketest_V2-AN01-AN01-Microsoft-Edge\video.webm</t>
  </si>
  <si>
    <t>Error: [31mTimed out 20000ms waiting for [39m[2mexpect([22m[31mlocator[39m[2m).[22mtoContainText[2m([22m[32mexpected[39m[2m)[22mLocator: locator('td[class=\'currency-column total-row\']')Expected pattern: [32m/(997,00.*0,00)|(997.00.*0.00)/i[39mReceived string:  [31m" 28.05. - 31.12.2025 - Total Ausgaben: 798.00 Total Einnahmen: 0.00 Saldo: 798.00"[39mCall log:[2m  - Expect "soft toContainText" with timeout 20000ms[22m[2m  - waiting for locator('td[class=\'currency-column total-row\']')[22m[2m    20 × locator resolved to &lt;td colspan="100%" _ngcontent-ng-c821186568="" class="currency-column total-row"&gt;…&lt;/td&gt;[22m[2m       - unexpected value " 28.05. - 31.12.2025 - Total Ausgaben: 798.00 Total Einnahmen: 0.00 Saldo: 798.00"[22m
Screenshots: C:\Aventis\Aventis_Playwright-\test-results\videos\006_KeyWords_Smoketest_V2-AW01b-AW01b-Microsoft-Edge\test-failed-1.png
Videos: C:\Aventis\Aventis_Playwright-\test-results\videos\006_KeyWords_Smoketest_V2-AW01b-AW01b-Microsoft-Edge\video.webm</t>
  </si>
  <si>
    <t>Error: [31mTimed out 20000ms waiting for [39m[2mexpect([22m[31mlocator[39m[2m).[22mtoContainText[2m([22m[32mexpected[39m[2m)[22mLocator: locator('app-buchung-detail-table b')Expected string: [32m"CHF 1’[7m797[27m.00"[39mReceived string: [31m"[7m∑ [27mCHF 1’[7m598[27m.00"[39mCall log:[2m  - Expect "soft toContainText" with timeout 20000ms[22m[2m  - waiting for locator('app-buchung-detail-table b')[22m[2m    20 × locator resolved to &lt;b&gt;∑ CHF 1’598.00&lt;/b&gt;[22m[2m       - unexpected value "∑ CHF 1’598.00"[22m
Screenshots: C:\Aventis\Aventis_Playwright-\test-results\videos\006_KeyWords_Smoketest_V2-BC02-BC02-Microsoft-Edge\test-failed-1.png
Videos: C:\Aventis\Aventis_Playwright-\test-results\videos\006_KeyWords_Smoketest_V2-BC02-BC02-Microsoft-Edge\video.webm</t>
  </si>
  <si>
    <t>Error: [31mTimed out 20000ms waiting for [39m[2mexpect([22m[31mlocator[39m[2m).[22mtoContainText[2m([22m[32mexpected[39m[2m)[22mLocator: locator('td[class*=\'mat-column-Betrag\']').first()Expected string: [32m" 3’382.00"[39mReceived: &lt;element(s) not found&gt;Call log:[2m  - Expect "soft toContainText" with timeout 20000ms[22m[2m  - waiting for locator('td[class*=\'mat-column-Betrag\']').first()[22m
Screenshots: C:\Aventis\Aventis_Playwright-\test-results\videos\006_KeyWords_Smoketest_V2-BC04-BC04-Microsoft-Edge\test-failed-1.png
Videos: C:\Aventis\Aventis_Playwright-\test-results\videos\006_KeyWords_Smoketest_V2-BC04-BC04-Microsoft-Edge\video.webm</t>
  </si>
  <si>
    <t>Error: [31mTimed out 20000ms waiting for [39m[2mexpect([22m[31mlocator[39m[2m).[22mtoBeVisible[2m()[22mLocator: locator('tr:has-text(\'1_E2E_2025.8.26|14:2:37_675\')').first()Expected: visibleReceived: &lt;element(s) not found&gt;Call log:[2m  - Expect "soft toBeVisible" with timeout 20000ms[22m[2m  - waiting for locator('tr:has-text(\'1_E2E_2025.8.26|14:2:37_675\')').first()[22m
Screenshots: C:\Aventis\Aventis_Playwright-\test-results\videos\006_KeyWords_Smoketest_V2-BU02-BU02-Microsoft-Edge\test-failed-1.png
Videos: C:\Aventis\Aventis_Playwright-\test-results\videos\006_KeyWords_Smoketest_V2-BU02-BU02-Microsoft-Edge\video.webm</t>
  </si>
  <si>
    <t>Error: locator.click: Test timeout of 840000ms exceeded.Call log:[2m  - waiting for getByTestId('RahmenbudgetRoute')[22m
Screenshots: C:\Aventis\Aventis_Playwright-\test-results\videos\006_KeyWords_Smoketest_V2-KG01-KG01-Microsoft-Edge\test-failed-1.png
Videos: C:\Aventis\Aventis_Playwright-\test-results\videos\006_KeyWords_Smoketest_V2-KG01-KG01-Microsoft-Edge\video.webm</t>
  </si>
  <si>
    <t>Error: locator.click: Test timeout of 840000ms exceeded.Call log:[2m  - waiting for getByTestId('RahmenbudgetRoute')[22m
Screenshots: C:\Aventis\Aventis_Playwright-\test-results\videos\006_KeyWords_Smoketest_V2-KG01b-KG01b-Microsoft-Edge\test-failed-1.png
Videos: C:\Aventis\Aventis_Playwright-\test-results\videos\006_KeyWords_Smoketest_V2-KG01b-KG01b-Microsoft-Edge\video.webm</t>
  </si>
  <si>
    <t>Error: locator.click: Test timeout of 840000ms exceeded.Call log:[2m  - waiting for getByTestId('RahmenbudgetRoute')[22m
Screenshots: C:\Aventis\Aventis_Playwright-\test-results\videos\006_KeyWords_Smoketest_V2-KG02-KG02-Microsoft-Edge\test-failed-1.png
Videos: C:\Aventis\Aventis_Playwright-\test-results\videos\006_KeyWords_Smoketest_V2-KG02-KG02-Microsoft-Edge\video.webm</t>
  </si>
  <si>
    <t>Error: locator.click: Test timeout of 840000ms exceeded.Call log:[2m  - waiting for getByRole('button', { name: /Filter zurücksetzen|Réinitialiser le filtre/i })[22m
Screenshots: C:\Aventis\Aventis_Playwright-\test-results\videos\006_KeyWords_Smoketest_V2-KO02-KO02-Microsoft-Edge\test-failed-1.png
Videos: C:\Aventis\Aventis_Playwright-\test-results\videos\006_KeyWords_Smoketest_V2-KO02-KO02-Microsoft-Edge\video.webm</t>
  </si>
  <si>
    <t>Error: locator.click: Test timeout of 120000ms exceeded.Call log:[2m  - waiting for getByTestId('RahmenbudgetRoute')[22m
Screenshots: C:\Aventis\Aventis_Playwright-\test-results\videos\006_KeyWords_Smoketest_V2-R02-R02-Microsoft-Edge\test-failed-1.png
Videos: C:\Aventis\Aventis_Playwright-\test-results\videos\006_KeyWords_Smoketest_V2-R02-R02-Microsoft-Edge\video.webm</t>
  </si>
  <si>
    <t>Error: locator.click: Test timeout of 60000ms exceeded.Call log:[2m  - waiting for getByTestId('RahmenbudgetRoute')[22m
Screenshots: C:\Aventis\Aventis_Playwright-\test-results\videos\006_KeyWords_Smoketest_V2-R03-R03-Microsoft-Edge\test-failed-1.png
Videos: C:\Aventis\Aventis_Playwright-\test-results\videos\006_KeyWords_Smoketest_V2-R03-R03-Microsoft-Edge\video.webm</t>
  </si>
  <si>
    <t>Error: locator.click: Test timeout of 120000ms exceeded.Call log:[2m  - waiting for getByTestId('RahmenbudgetRoute')[22m
Screenshots: C:\Aventis\Aventis_Playwright-\test-results\videos\006_KeyWords_Smoketest_V2-R05-R05-Microsoft-Edge\test-failed-1.png
Videos: C:\Aventis\Aventis_Playwright-\test-results\videos\006_KeyWords_Smoketest_V2-R05-R05-Microsoft-Edge\video.webm</t>
  </si>
  <si>
    <t>Error: locator.click: Test timeout of 180000ms exceeded.Call log:[2m  - waiting for getByTestId('RahmenbudgetRoute')[22m
Screenshots: C:\Aventis\Aventis_Playwright-\test-results\videos\006_KeyWords_Smoketest_V2-R06-R06-Microsoft-Edge\test-failed-1.png
Videos: C:\Aventis\Aventis_Playwright-\test-results\videos\006_KeyWords_Smoketest_V2-R06-R06-Microsoft-Edge\video.webm</t>
  </si>
  <si>
    <t>Error: locator.click: Test timeout of 120000ms exceeded.Call log:[2m  - waiting for getByTestId('RahmenbudgetRoute')[22m
Screenshots: C:\Aventis\Aventis_Playwright-\test-results\videos\006_KeyWords_Smoketest_V2-R07-R07-Microsoft-Edge\test-failed-1.png
Videos: C:\Aventis\Aventis_Playwright-\test-results\videos\006_KeyWords_Smoketest_V2-R07-R07-Microsoft-Edge\video.webm</t>
  </si>
  <si>
    <t>Error: locator.click: Test timeout of 300000ms exceeded.Call log:[2m  - waiting for getByTestId('RahmenbudgetRoute')[22m
Screenshots: C:\Aventis\Aventis_Playwright-\test-results\videos\006_KeyWords_Smoketest_V2-SL01-SL01-Microsoft-Edge\test-failed-1.png
Videos: C:\Aventis\Aventis_Playwright-\test-results\videos\006_KeyWords_Smoketest_V2-SL01-SL01-Microsoft-Edge\video.webm</t>
  </si>
  <si>
    <t>Error: locator.click: Target page, context or browser has been closedCall log:[2m  - waiting for getByTestId('RahmenbudgetRoute')[22m
Videos: C:\Aventis\Aventis_Playwright-\test-results\videos\006_KeyWords_Smoketest_V2-SL02-SL02-Microsoft-Edge\video.webm</t>
  </si>
  <si>
    <t>Error: locator.click: Target page, context or browser has been closedCall log:[2m  - waiting for getByRole('link', { name: /Wohnsituation - Haushalt|Situation résidentielle - ménage/i })[22m[2m    - locator resolved to &lt;a tabindex="0" appnavigationitem="" _nghost-ng-c1836096494="" routerlinkactive="focused" mattooltipposition="after" app-navigation-tree-node="" _ngcontent-ng-c1729762730="" data-testid="WohnsituationRoute" class="mat-mdc-tooltip-trigger undecorated-link ng-star-inserted" href="/dossiers/cf27724e-ff54-4187-a16c-17b036fd71df/wohnsituation"&gt;…&lt;/a&gt;[22m[2m  - attempting click action[22m[2m    - waiting for element to be visible, enabled and stable[22m[2m    - element is visible, enabled and stable[22m[2m    - scrolling into view if needed[22m[2m    - done scrolling[22m[2m    - &lt;app-navigation-drawer-item tabindex="0" role="button" _nghost-ng-c1619962178="" _ngcontent-ng-c2072100946="" class="ng-tns-c2072100946-4"&gt;…&lt;/app-navigation-drawer-item&gt; from &lt;app-navigation-tree-group _nghost-ng-c2072100946="" _ngcontent-ng-c1729762730="" data-testid="KlientschaftNode" class="ng-tns-c2072100946-4 ng-star-inserted"&gt;…&lt;/app-navigation-tree-group&gt; subtree intercepts pointer events[22m[2m  - retrying click action[22m[2m    - waiting for element to be visible, enabled and stable[22m[2m    - element is visible, enabled and stable[22m[2m    - scrolling into view if needed[22m[2m    - done scrolling[22m[2m    - &lt;div _ngcontent-ng-c1619962178="" class="item-title ng-star-inserted"&gt;Dossierverwaltung&lt;/div&gt; from &lt;app-navigation-drawer-item tabindex="0" role="button" _nghost-ng-c1619962178="" _ngcontent-ng-c2072100946="" class="ng-tns-c2072100946-3"&gt;…&lt;/app-navigation-drawer-item&gt; subtree intercepts pointer events[22m[2m  - retrying click action[22m[2m    - waiting 20ms[22m[2m    2 × waiting for element to be visible, enabled and stable[22m[2m      - element is not visible[22m[2m    - retrying click action[22m[2m      - waiting 100ms[22m[2m    65 × waiting for element to be visible, enabled and stable[22m[2m       - element is not visible[22m[2m     - retrying click action[22m[2m       - waiting 500ms[22m
Videos: C:\Aventis\Aventis_Playwright-\test-results\videos\006_KeyWords_Smoketest_V2-WO31-WO31-Microsoft-Edge\video.webm</t>
  </si>
  <si>
    <t>Error: locator.click: Target page, context or browser has been closedCall log:[2m  - waiting for getByRole('link', { name: /Rückerstattungen \/ Vermögensverzehr|Remboursements/i })[22m
Videos: C:\Aventis\Aventis_Playwright-\test-results\videos\006_KeyWords_Smoketest_V2-WSH04-WSH04-Microsoft-Edge\video.webm</t>
  </si>
  <si>
    <t>Error: locator.click: Test timeout of 120000ms exceeded.Call log:[2m  - waiting for getByRole('link', { name: /Rückerstattungen \/ Vermögensverzehr|Remboursements/i })[22m
Screenshots: C:\Aventis\Aventis_Playwright-\test-results\videos\006_KeyWords_Smoketest_V2-WSH04b-WSH04b-Microsoft-Edge\test-failed-1.png
Videos: C:\Aventis\Aventis_Playwright-\test-results\videos\006_KeyWords_Smoketest_V2-WSH04b-WSH04b-Microsoft-Edge\video.webm</t>
  </si>
  <si>
    <t>Error: [31mTimed out 20000ms waiting for [39m[2mexpect([22m[31mlocator[39m[2m).[22mtoBeVisible[2m()[22mLocator: getByTestId('KontoauszugInDossierRoute')Expected: visibleReceived: &lt;element(s) not found&gt;Call log:[2m  - Expect "toBeVisible" with timeout 20000ms[22m[2m  - waiting for getByTestId('KontoauszugInDossierRoute')[22m
Screenshots: C:\Aventis\Aventis_Playwright-\test-results\videos\006_KeyWords_Smoketest_V2-WSH06-WSH06-Microsoft-Edge\test-failed-1.png
Videos: C:\Aventis\Aventis_Playwright-\test-results\videos\006_KeyWords_Smoketest_V2-WSH06-WSH06-Microsoft-Edge\video.webm</t>
  </si>
  <si>
    <t>Error: locator.click: Test timeout of 120000ms exceeded.Call log:[2m  - waiting for getByRole('link', { name: /Kontoauszug|Extrait de compte/i })[22m
Screenshots: C:\Aventis\Aventis_Playwright-\test-results\videos\006_KeyWords_Smoketest_V2-WSH08-WSH08-Microsoft-Edge\test-failed-1.png
Videos: C:\Aventis\Aventis_Playwright-\test-results\videos\006_KeyWords_Smoketest_V2-WSH08-WSH08-Microsoft-Edge\video.webm</t>
  </si>
  <si>
    <t>Error: [31mTimed out 20000ms waiting for [39m[2mexpect([22m[31mlocator[39m[2m).[22mtoBeVisible[2m()[22mLocator: getByTestId('WshUebersichtRoute')Expected: visibleReceived: &lt;element(s) not found&gt;Call log:[2m  - Expect "toBeVisible" with timeout 20000ms[22m[2m  - waiting for getByTestId('WshUebersichtRoute')[22m
Screenshots: C:\Aventis\Aventis_Playwright-\test-results\videos\006_KeyWords_Smoketest_V2-WSH09-WSH09-Microsoft-Edge\test-failed-1.png
Videos: C:\Aventis\Aventis_Playwright-\test-results\videos\006_KeyWords_Smoketest_V2-WSH09-WSH09-Microsoft-Edge\video.webm</t>
  </si>
  <si>
    <t>Error: locator.click: Error: strict mode violation: getByRole('link', { name: /Bewilligung öffnen|Ouvrir la validation/i }) resolved to 2 elements:    1) &lt;a mat-flat-button="" mat-ripple-loader-uninitialized="" mat-ripple-loader-class-name="mat-mdc-button-ripple" class="primary mdc-button mdc-button--unelevated mat-mdc-unelevated-button mat-unthemed mat-mdc-button-base" data-testid="dossiers-klienten?bewilligung-entity=2830a508-7076-4e2f-bad7-4d50a87ff594#2830a508-7076-4e2f-bad7-4d50a87ff594,sidesheet" href="/dossiers/672eb25a-34d2-4d19-9c29-dc04ade8c8f5/klienten/40e126d8-b3ae-41ee-a338-a728c51acfca?bewilligung-entity=2830a508-7076-4e2f-bad7-4d50a…&gt;…&lt;/a&gt; aka getByTestId('dossiers-klienten?bewilligung-entity=2830a508-7076-4e2f-bad7-4d50a87ff594#2830a508-7076-4e2f-bad7-4d50a87ff594,sidesheet')    2) &lt;a mat-flat-button="" mat-ripple-loader-uninitialized="" mat-ripple-loader-class-name="mat-mdc-button-ripple" class="primary mdc-button mdc-button--unelevated mat-mdc-unelevated-button mat-unthemed mat-mdc-button-base" data-testid="dossiers-klienten?bewilligung-entity=41e51904-b0b7-4d97-9ed0-a17c62414190#41e51904-b0b7-4d97-9ed0-a17c62414190,sidesheet" href="/dossiers/672eb25a-34d2-4d19-9c29-dc04ade8c8f5/klienten/40e126d8-b3ae-41ee-a338-a728c51acfca?bewilligung-entity=41e51904-b0b7-4d97-9ed0-a17c6…&gt;…&lt;/a&gt; aka getByTestId('dossiers-klienten?bewilligung-entity=41e51904-b0b7-4d97-9ed0-a17c62414190#41e51904-b0b7-4d97-9ed0-a17c62414190,sidesheet')Call log:[2m  - waiting for getByRole('link', { name: /Bewilligung öffnen|Ouvrir la validation/i })[22m
Screenshots: C:\Aventis\Aventis_Playwright-\test-results\videos\006_KeyWords_Smoketest_V2-Z01b-Z01b-Microsoft-Edge\test-failed-1.png
Videos: C:\Aventis\Aventis_Playwright-\test-results\videos\006_KeyWords_Smoketest_V2-Z01b-Z01b-Microsoft-Edge\video.webm</t>
  </si>
  <si>
    <t>Fail fast if value is not correct</t>
  </si>
  <si>
    <t>Klick on Fachperson erfassen fehlt</t>
  </si>
  <si>
    <t>Test auf 1 war falsch es fehlte der lohn auf der Person</t>
  </si>
  <si>
    <t xml:space="preserve">CHF 80’510.00 </t>
  </si>
  <si>
    <t>"vorlageBez":"</t>
  </si>
  <si>
    <t>Nochmals prüfen wieweit der Test funktioniert .. echt komplex</t>
  </si>
  <si>
    <t>KO03b_Vorlage_loeschen</t>
  </si>
  <si>
    <t xml:space="preserve">works on VM - </t>
  </si>
  <si>
    <t>Schritt 3.   die fehlermeldung ist nicht passend und er wartet studn</t>
  </si>
  <si>
    <t>Menu eintrag wird nicht geöffnet ?</t>
  </si>
  <si>
    <t>Total 3’293.00</t>
  </si>
  <si>
    <t xml:space="preserve">Für dieses Dossier kann keine Soforthilfe mehr erfasst werden, </t>
  </si>
  <si>
    <t>3’059.90</t>
  </si>
  <si>
    <t>","saldoVorschau":</t>
  </si>
  <si>
    <t>,"clickAuswahlFreigeben":"</t>
  </si>
  <si>
    <t>"-3’059.90"</t>
  </si>
  <si>
    <t>2025.4.385-stable</t>
  </si>
  <si>
    <t>manchmal</t>
  </si>
  <si>
    <t>Klick auf Dossierverwaltung fehlt</t>
  </si>
  <si>
    <t>13’219.00</t>
  </si>
  <si>
    <t>14’910.00</t>
  </si>
  <si>
    <t>4’985.00</t>
  </si>
  <si>
    <t>Datum welches</t>
  </si>
  <si>
    <t>{"Pause":"10000"}</t>
  </si>
  <si>
    <t>3’382.00</t>
  </si>
  <si>
    <t>CHF 2’882.00</t>
  </si>
  <si>
    <t xml:space="preserve"> CHF 898.60</t>
  </si>
  <si>
    <t>A01d_Zu_AnsprPruef_Bedarfspruef_Checklist_als_WordExport</t>
  </si>
  <si>
    <t>{"bedarfsPrDate":"27.02.2025","klient":`${p.FamilyName1}, ${p.ManFirstName1}`,"filterKategorie":"Ausbildung,Kinder","filterStatus":"einzureichen","filterBetrifft":""}</t>
  </si>
  <si>
    <t>Ausbildung,Kinder</t>
  </si>
  <si>
    <t>","filterStatus":"</t>
  </si>
  <si>
    <t>`,"filterKategorie":"</t>
  </si>
  <si>
    <t>","filterBetrifft":"</t>
  </si>
  <si>
    <t>KO02b_Fachperson_loeschen</t>
  </si>
  <si>
    <t>{"suche":"</t>
  </si>
  <si>
    <t>Peter,Dockter</t>
  </si>
  <si>
    <t>SL03_SituationsbedingteLeistung_imRahmenbudget_Anzeigen</t>
  </si>
  <si>
    <t>{"dossier":"006_SmokeTest....","category":"Grundversorgende SIL","element":"KVG überhöhter Anteil","leistungsErbringer":"","betragMonatlich":"","geplantVon":"","geplantBis":""}</t>
  </si>
  <si>
    <t>,"category":"</t>
  </si>
  <si>
    <t>Grundversorgende SIL</t>
  </si>
  <si>
    <t>","element":"</t>
  </si>
  <si>
    <t>","leistungsErbringer":"</t>
  </si>
  <si>
    <t>type</t>
  </si>
  <si>
    <t>Institution erfassen</t>
  </si>
  <si>
    <t>Name</t>
  </si>
  <si>
    <t>Neuername</t>
  </si>
  <si>
    <t>am Weg</t>
  </si>
  <si>
    <t>Hausnummer</t>
  </si>
  <si>
    <t>GueltigVon</t>
  </si>
  <si>
    <t>01.10.2025</t>
  </si>
  <si>
    <t>gueltigBis</t>
  </si>
  <si>
    <t>31.12.2025</t>
  </si>
  <si>
    <t>Typisierung</t>
  </si>
  <si>
    <t>tel</t>
  </si>
  <si>
    <t>eMail</t>
  </si>
  <si>
    <t>test@test.ch</t>
  </si>
  <si>
    <t>ort</t>
  </si>
  <si>
    <t>5103 Wildegg</t>
  </si>
  <si>
    <t>kPVorname</t>
  </si>
  <si>
    <t>kPName</t>
  </si>
  <si>
    <t>kPTel</t>
  </si>
  <si>
    <t>kPMobile</t>
  </si>
  <si>
    <t>kPMail</t>
  </si>
  <si>
    <t>Potter</t>
  </si>
  <si>
    <t>Zahlungsverbindung</t>
  </si>
  <si>
    <t>Kontaktperson</t>
  </si>
  <si>
    <t>IBAN</t>
  </si>
  <si>
    <t>CH1200789100000047598</t>
  </si>
  <si>
    <t>UM03_Institution_erfassen_details</t>
  </si>
  <si>
    <t>{"Name":"</t>
  </si>
  <si>
    <t>","typisierung.":"</t>
  </si>
  <si>
    <t>","tel":"</t>
  </si>
  <si>
    <t>","eMail":"</t>
  </si>
  <si>
    <t>","kPName":"</t>
  </si>
  <si>
    <t>","kPVorname":"</t>
  </si>
  <si>
    <t>","kPTel":"</t>
  </si>
  <si>
    <t>","kPMobile":"</t>
  </si>
  <si>
    <t>","kPMail":"</t>
  </si>
  <si>
    <t>","Strasse":"</t>
  </si>
  <si>
    <t>UM03_Fachperson_erfassen_details</t>
  </si>
  <si>
    <t>Müller</t>
  </si>
  <si>
    <t>{"name":"</t>
  </si>
  <si>
    <t>Weckerweg</t>
  </si>
  <si>
    <t>Paula</t>
  </si>
  <si>
    <t>ahd@dd.ch</t>
  </si>
  <si>
    <t>CH1500789100000046962</t>
  </si>
  <si>
    <t>Krankenkasse</t>
  </si>
  <si>
    <t>qwe@sss.ch</t>
  </si>
  <si>
    <t>Hoslio</t>
  </si>
  <si>
    <t>Huberz</t>
  </si>
  <si>
    <t>ww@ddd.ch</t>
  </si>
  <si>
    <t>p.IBAN88</t>
  </si>
  <si>
    <t>","kPIBAN":</t>
  </si>
  <si>
    <t>L06_Check_Support_Infos</t>
  </si>
  <si>
    <t>{"linkName":"Wissensdatenbank","linkContent":"https://diartis.atlassian.net/wiki/spaces/aventisde/overview"}</t>
  </si>
  <si>
    <t>{"linkName":"eLearning","linkContent":"https://lms.diartis.academy/"}</t>
  </si>
  <si>
    <t>{"linkName":"support.de@aventis.swiss","linkContent":"mailto:support.de@aventis.swiss"}</t>
  </si>
  <si>
    <t>Support Tel. +41566755020</t>
  </si>
  <si>
    <t>{"linkName":"Support Tel. +41566755020","linkContent":""}</t>
  </si>
  <si>
    <t>AN02_Soforthilfe_in_RahmenbudgetPruefen</t>
  </si>
  <si>
    <t>{"dossier":p.DossierName1","zahlungsArt":"Elektronisch","buchungsDatum":"21.10.2025"}</t>
  </si>
  <si>
    <t>,"zahlungsArt":"</t>
  </si>
  <si>
    <t>Elektronisch</t>
  </si>
  <si>
    <t>","buchungsDatum":"</t>
  </si>
  <si>
    <t>R10_RahmenBudget_Monatsbudget_Pruefen</t>
  </si>
  <si>
    <t>,"checkAusgabenTotal":</t>
  </si>
  <si>
    <t>,"checkWeitereAbzuege":"</t>
  </si>
  <si>
    <t>","checkZusammenfassung":</t>
  </si>
  <si>
    <t>L07_Check_Fachhilfe_Documentation</t>
  </si>
  <si>
    <t>H07_Dokumente_Hochladen_Versionen</t>
  </si>
  <si>
    <t>eins.doc,zwei.doc,drei.doc</t>
  </si>
  <si>
    <t>{"klient":"</t>
  </si>
  <si>
    <t>","docPath":"</t>
  </si>
  <si>
    <t>C:/temp/</t>
  </si>
  <si>
    <t>2025.5.249-dev</t>
  </si>
  <si>
    <t>30.10.2025 03:23:00</t>
  </si>
  <si>
    <t>Error: [2mexpect([22m[31mlocator[39m[2m).[22mtoHaveText[2m([22m[32mexpected[39m[2m)[22m failedLocator: locator('div.versions-container.ng-star-inserted').locator('span.version-row')Expected: [32m"2025.5.249-dev"[39mTimeout: 10000msError: element(s) not foundCall log:[2m  - Expect "soft toHaveText" with timeout 10000ms[22m[2m  - waiting for locator('div.versions-container.ng-star-inserted').locator('span.version-row')[22m[2m    10 × locator resolved to &lt;span class="version-row" _ngcontent-ng-c2680178628=""&gt;2025.5.275-stable&lt;/span&gt;[22m[2m       - unexpected value "2025.5.275-stable"[22m
Screenshots: C:\Aventis_Playwright\test-results\videos\006_KeyWords_Smoketest_V2-000-000-Microsoft-Edge\test-failed-1.png</t>
  </si>
  <si>
    <t>Error: [2mexpect([22m[31mlocator[39m[2m).[22mtoContainText[2m([22m[32mexpected[39m[2m)[22m failedLocator: locator('tfoot td[class*=\'currency-column\']')Expected substring: [32m"[7mCHF 22’174[27m.00"[39mReceived string:    [31m"[7m Total Betrag: CHF 12’028[27m.00[7m [27m"[39mTimeout: 20000msCall log:[2m  - Expect "soft toContainText" with timeout 20000ms[22m[2m  - waiting for locator('tfoot td[class*=\'currency-column\']')[22m[2m    4 × locator resolved to &lt;td colspan="2" role="cell" mat-footer-cell="" _ngcontent-ng-c2887877529="" class="mat-mdc-footer-cell mdc-data-table__cell cdk-footer-cell currency-column font-bold cdk-column-kreditor mat-column-kreditor ng-star-inserted"&gt; Total Betrag: CHF 2’882.00 &lt;/td&gt;[22m[2m      - unexpected value " Total Betrag: CHF 2’882.00 "[22m[2m    19 × locator resolved to &lt;td colspan="2" role="cell" mat-footer-cell="" _ngcontent-ng-c2887877529="" class="mat-mdc-footer-cell mdc-data-table__cell cdk-footer-cell currency-column font-bold cdk-column-kreditor mat-column-kreditor ng-star-inserted"&gt; Total Betrag: CHF 12’028.00 &lt;/td&gt;[22m[2m       - unexpected value " Total Betrag: CHF 12’028.00 "[22m
Screenshots: C:\Aventis_Playwright\test-results\videos\006_KeyWords_Smoketest_V2-001b-001b-Microsoft-Edge\test-failed-1.png</t>
  </si>
  <si>
    <t>Error: locator.click: Target page, context or browser has been closedCall log:[2m  - waiting for locator('#otherTileText')[22m
Screenshots: C:\Aventis_Playwright\test-results\videos\006_KeyWords_Smoketest_V2-003b-003b-Microsoft-Edge\test-failed-1.png</t>
  </si>
  <si>
    <t>Error: locator.waitFor: Error: strict mode violation: locator('h1') resolved to 2 elements:    1) &lt;h1 class="ng-star-inserted" _ngcontent-ng-c2398542461=""&gt;Manuelle Anpassungen erforderlich&lt;/h1&gt; aka getByRole('heading', { name: 'Manuelle Anpassungen' })    2) &lt;h1 _ngcontent-ng-c3330199423=""&gt;Wohnsituation - Haushalt&lt;/h1&gt; aka getByRole('heading', { name: 'Wohnsituation - Haushalt' })Call log:[2m  - waiting for locator('h1') to be visible[22m
Screenshots: C:\Aventis_Playwright\test-results\videos\006_KeyWords_Smoketest_V2-005-005-Microsoft-Edge\test-failed-1.png</t>
  </si>
  <si>
    <t>Error: locator.click: Target page, context or browser has been closedCall log:[2m  - waiting for locator('#otherTileText')[22m</t>
  </si>
  <si>
    <t>Error: [2mexpect([22m[31mlocator[39m[2m).[22mtoBeVisible[2m([22m[2m)[22m failedLocator: locator('tbody tr').filter({ hasText: /(?=.*Miete)(?=.*und)(?=.*Nebenkosten)(?=.*vom)(?=.*Lohn)(?=.*Klientschaft)(?=.*Wiederkehrende)(?=.*Zahlung)(?=.*3000)(?=.*Miete)(?=.*und)(?=.*Nebenkosten)(?=.*)(?=.*)(?=.*Monatlich)/i }).filter({ hasText: 'Rossi3214, Noah - CH06 0078 9100 0000 6293 5' })Expected: visibleTimeout: 20000msError: element(s) not foundCall log:[2m  - Expect "soft toBeVisible" with timeout 20000ms[22m[2m  - waiting for locator('tbody tr').filter({ hasText: /(?=.*Miete)(?=.*und)(?=.*Nebenkosten)(?=.*vom)(?=.*Lohn)(?=.*Klientschaft)(?=.*Wiederkehrende)(?=.*Zahlung)(?=.*3000)(?=.*Miete)(?=.*und)(?=.*Nebenkosten)(?=.*)(?=.*)(?=.*Monatlich)/i }).filter({ hasText: 'Rossi3214, Noah - CH06 0078 9100 0000 6293 5' })[22m
Screenshots: C:\Aventis_Playwright\test-results\videos\006_KeyWords_Smoketest_V2-A04-FE02-A04-FE02-Microsoft-Edge\test-failed-1.png</t>
  </si>
  <si>
    <t>Error: locator.isChecked: Target page, context or browser has been closedCall log:[2m  - waiting for locator('thead mat-checkbox input')[22m
Screenshots: C:\Aventis_Playwright\test-results\videos\006_KeyWords_Smoketest_V2-A05-FE03-A05-FE03-Microsoft-Edge\test-failed-1.png</t>
  </si>
  <si>
    <t>Error: [2mexpect([22m[31mlocator[39m[2m).[22mtoContainText[2m([22m[32mexpected[39m[2m)[22m failedLocator: locator('td[class=\'currency-column total-row\']')Expected pattern: [32m/(4 985,00.*0,00)|(4’985.00.*0.00)/i[39mTimeout: 20000msError: element(s) not foundCall log:[2m  - Expect "soft toContainText" with timeout 20000ms[22m[2m  - waiting for locator('td[class=\'currency-column total-row\']')[22m[2m    17 × locator resolved to &lt;td colspan="100%" _ngcontent-ng-c821186568="" class="currency-column total-row"&gt;…&lt;/td&gt;[22m[2m       - unexpected value " 31.07. - 31.12.2025 - Total Ausgaben: 3’087.50 Total Einnahmen: 0.00 Saldo: 3’087.50"[22m
Screenshots: C:\Aventis_Playwright\test-results\videos\006_KeyWords_Smoketest_V2-AW01b-AW01b-Microsoft-Edge\test-failed-1.png</t>
  </si>
  <si>
    <t>Error: locator.click: Target page, context or browser has been closedCall log:[2m  - waiting for locator('tr').filter({ hasText: 'April 2026' }).locator('app-enum-selection mat-select')[22m
Screenshots: C:\Aventis_Playwright\test-results\videos\006_KeyWords_Smoketest_V2-BC00-BC00-Microsoft-Edge\test-failed-1.png</t>
  </si>
  <si>
    <t>Error: locator.click: Target page, context or browser has been closedCall log:[2m  - waiting for locator('tr:has-text(\'\'):has-text(\'GBL, Wohnkosten\'):has-text(\'12_E2E_2025.10.29|21:41:20_195\') button').first()[22m
Screenshots: C:\Aventis_Playwright\test-results\videos\006_KeyWords_Smoketest_V2-BC02-BC02-Microsoft-Edge\test-failed-1.png</t>
  </si>
  <si>
    <t>Error: locator.fill: Target page, context or browser has been closedCall log:[2m  - waiting for getByTestId('lastname').getByTestId('root-control')[22m
Screenshots: C:\Aventis_Playwright\test-results\videos\006_KeyWords_Smoketest_V2-D01b-D01b-Microsoft-Edge\test-failed-1.png</t>
  </si>
  <si>
    <t>Error: locator.fill: Target page, context or browser has been closedCall log:[2m  - waiting for getByTestId('lastname').getByTestId('root-control')[22m
Screenshots: C:\Aventis_Playwright\test-results\videos\006_KeyWords_Smoketest_V2-D03-D03-Microsoft-Edge\test-failed-1.png</t>
  </si>
  <si>
    <t>Error: The database did not respond within the expected time frame.[2mexpect([22m[31mlocator[39m[2m).[22mtoBeVisible[2m([22m[2m)[22m failedLocator: locator('tbody tr').first().locator('td').last()Expected: visibleTimeout: 5000msError: element(s) not foundCall log:[2m  - The database did not respond within the expected time frame. with timeout 5000ms[22m[2m  - waiting for locator('tbody tr').first().locator('td').last()[22m
Screenshots: C:\Aventis_Playwright\test-results\videos\006_KeyWords_Smoketest_V2-DO04c-DO04c-Microsoft-Edge\test-failed-1.png</t>
  </si>
  <si>
    <t>Error: [2mexpect([22m[31mlocator[39m[2m).[22mtoBeVisible[2m([22m[2m)[22m failedLocator: locator('tbody tr').filter({ hasText: 'JournalEintrag' }).last()Expected: visibleTimeout: 20000msError: element(s) not foundCall log:[2m  - Expect "soft toBeVisible" with timeout 20000ms[22m[2m  - waiting for locator('tbody tr').filter({ hasText: 'JournalEintrag' }).last()[22m
Screenshots: C:\Aventis_Playwright\test-results\videos\006_KeyWords_Smoketest_V2-H03-H03-Microsoft-Edge\test-failed-1.png</t>
  </si>
  <si>
    <t>Error: locator.click: Target page, context or browser has been closedCall log:[2m  - waiting for locator('tbody tr').filter({ hasText: 'Peter,Dockter' }).filter({ hasText: '29.10. - 31.12.2025' }).first().locator('button mat-icon[data-mat-icon-name=\'menu_vertical\']')[22m
Screenshots: C:\Aventis_Playwright\test-results\videos\006_KeyWords_Smoketest_V2-KO02b-KO02b-Microsoft-Edge\test-failed-1.png</t>
  </si>
  <si>
    <t>Error: [2mexpect([22m[31mlocator[39m[2m).[22mtoHaveText[2m([22m[32mexpected[39m[2m)[22m failedLocator: locator('tbody tr').first().locator('td').nth(1)Expected: [32m"RSC_ Test_112"[39mTimeout: 20000msError: element(s) not foundCall log:[2m  - Expect "soft toHaveText" with timeout 20000ms[22m[2m  - waiting for locator('tbody tr').first().locator('td').nth(1)[22m[2m    5 × locator resolved to &lt;td&gt;&lt;/td&gt;[22m[2m      - unexpected value ""[22m
Screenshots: C:\Aventis_Playwright\test-results\videos\006_KeyWords_Smoketest_V2-KO03-KO03-Microsoft-Edge\test-failed-1.png</t>
  </si>
  <si>
    <t>Error: locator.click: Target page, context or browser has been closedCall log:[2m  - waiting for locator('tbody tr:has-text(\'RSC_ Test_112\'):has-text(\'Trennblatt\'):has-text(\'Deutsch\')').locator('button[aria-haspopup=\'menu\']')[22m
Screenshots: C:\Aventis_Playwright\test-results\videos\006_KeyWords_Smoketest_V2-KO03b-KO03b-Microsoft-Edge\test-failed-1.png</t>
  </si>
  <si>
    <t>Error: [2mexpect([22m[31mlocator[39m[2m).[22mtoBeVisible[2m([22m[2m)[22m failedLocator: locator('app-naechste-faelligkeiten-sidesheet').filter({ hasText: 'Anspruch Oktober 2025 30.09.2025' }).first()Expected: visibleTimeout: 20000msError: element(s) not foundCall log:[2m  - Expect "soft toBeVisible" with timeout 20000ms[22m[2m  - waiting for locator('app-naechste-faelligkeiten-sidesheet').filter({ hasText: 'Anspruch Oktober 2025 30.09.2025' }).first()[22m
Screenshots: C:\Aventis_Playwright\test-results\videos\006_KeyWords_Smoketest_V2-R03-R03-Microsoft-Edge\test-failed-1.png</t>
  </si>
  <si>
    <t>Error: [2mexpect([22m[31mlocator[39m[2m).[22mtoHaveText[2m([22m[32mexpected[39m[2m)[22m failedLocator: locator('.cdk-overlay-pane.mat-mdc-tooltip-panel-right.mat-mdc-tooltip-panel').first()Expected pattern: [32m/444\.00 Personen in besonderer Wohnform, bis|.00 Personnes en logement spécial, jusqu'au Besondere Wohnform/i[39mReceived string:  [31m"Heute"[39mTimeout: 20000msCall log:[2m  - Expect "soft toHaveText" with timeout 20000ms[22m[2m  - waiting for locator('.cdk-overlay-pane.mat-mdc-tooltip-panel-right.mat-mdc-tooltip-panel').first()[22m[2m    23 × locator resolved to &lt;div id="cdk-overlay-9" class="cdk-overlay-pane mat-mdc-tooltip-panel mat-mdc-tooltip-panel-right"&gt;…&lt;/div&gt;[22m[2m       - unexpected value "Heute"[22m
Screenshots: C:\Aventis_Playwright\test-results\videos\006_KeyWords_Smoketest_V2-R05-R05-Microsoft-Edge\test-failed-1.png</t>
  </si>
  <si>
    <t>Error: [2mexpect([22m[31mlocator[39m[2m).[22mtoContainText[2m([22m[32mexpected[39m[2m)[22m failedLocator: locator('tr:has-text(\'Total Ausgaben\'),tr:has-text(\'Total des dépenses\')')Error: [32mexpected[39m value must be a string or regular expressionExpected has type:  numberExpected has value: [32m798[39m
Screenshots: C:\Aventis_Playwright\test-results\videos\006_KeyWords_Smoketest_V2-R10-R10-Microsoft-Edge\test-failed-1.png</t>
  </si>
  <si>
    <t>Error: page.waitForFunction: Target page, context or browser has been closed
Screenshots: C:\Aventis_Playwright\test-results\videos\006_KeyWords_Smoketest_V2-R07-R07-Microsoft-Edge\test-failed-1.png</t>
  </si>
  <si>
    <t>Error: [2mexpect([22m[31mlocator[39m[2m).[22mtoContainText[2m([22m[32mexpected[39m[2m)[22m failedLocator: locator('app-sil-detail-card-readonly').filter({ hasText: 'KVG überhöhter Anteil' }).locator('app-readmode-field').filter({ hasText: /Leistungserbringer|Prestataire de services/i }).first()Expected substring: [32m"AFOREM"[39mReceived string:    [31m"Leistungserbringer/in Zahnarzpraxis Zentrum"[39mTimeout: 20000msCall log:[2m  - Expect "soft toContainText" with timeout 20000ms[22m[2m  - waiting for locator('app-sil-detail-card-readonly').filter({ hasText: 'KVG überhöhter Anteil' }).locator('app-readmode-field').filter({ hasText: /Leistungserbringer|Prestataire de services/i }).first()[22m[2m    23 × locator resolved to &lt;app-readmode-field _ngcontent-ng-c1057108899=""&gt;…&lt;/app-readmode-field&gt;[22m[2m       - unexpected value "Leistungserbringer/in Zahnarzpraxis Zentrum"[22m
Screenshots: C:\Aventis_Playwright\test-results\videos\006_KeyWords_Smoketest_V2-SL03-SL03-Microsoft-Edge\test-failed-1.png</t>
  </si>
  <si>
    <t>Error: locator.click: Target page, context or browser has been closedCall log:[2m  - waiting for locator('app-person-card-row').filter({ hasText: 'Moser, Luici' }).locator('a')[22m
Screenshots: C:\Aventis_Playwright\test-results\videos\006_KeyWords_Smoketest_V2-U01-U01-Microsoft-Edge\test-failed-1.png</t>
  </si>
  <si>
    <t>Error: locator.click: Target page, context or browser has been closedCall log:[2m  - waiting for locator('app-person-card-row').filter({ hasText: 'Moser, Luici' }).locator('a')[22m
Screenshots: C:\Aventis_Playwright\test-results\videos\006_KeyWords_Smoketest_V2-U01b-U01b-Microsoft-Edge\test-failed-1.png</t>
  </si>
  <si>
    <t>Error: locator.click: Target page, context or browser has been closedCall log:[2m  - waiting for locator('app-person-card-row').filter({ hasText: 'Moser, Luici' }).locator('a')[22m
Screenshots: C:\Aventis_Playwright\test-results\videos\006_KeyWords_Smoketest_V2-U01c-U01c-Microsoft-Edge\test-failed-1.png</t>
  </si>
  <si>
    <t>Error: locator.click: Target page, context or browser has been closedCall log:[2m  - waiting for locator('#otherTileText')[22m[2m    - waiting for" https://aventis-qa-backend.azurewebsites.net/login?redirectUri=https%3A%2F%2Fqa.aventis.swiss%2F" navigation to finish...[22m[2m    - navigated to "https://login.microsoftonline.com/f8fae057-6d6d-43ea-a999-7cc2e93b0d90/oauth2/v2.0/authorize?client_id=28fc3694-eb3e-4eeb-9f03-7363b9458a86&amp;redirect_uri=https%3A%2F%2Faventis-qa-backend.azurewebsites…"[22m
Screenshots: C:\Aventis_Playwright\test-results\videos\006_KeyWords_Smoketest_V2-UM02-UM02-Microsoft-Edge\test-failed-1.png</t>
  </si>
  <si>
    <t>Error: locator.fill: value: expected string, got undefined
Screenshots: C:\Aventis_Playwright\test-results\videos\006_KeyWords_Smoketest_V2-UM03-UM03-Microsoft-Edge\test-failed-1.png</t>
  </si>
  <si>
    <t>Error: [2mexpect([22m[31mlocator[39m[2m).[22mtoContainText[2m([22m[32mexpected[39m[2m)[22m failedLocator: getByRole('tab').filter({ hasText: /Ausgeführte Zahlungen|Paiements effectués/i })Expected substring: [32m"5"[39mReceived string:    [31m" Ausgeführte Zahlungen (0) "[39mTimeout: 20000msCall log:[2m  - Expect "toContainText" with timeout 20000ms[22m[2m  - waiting for getByRole('tab').filter({ hasText: /Ausgeführte Zahlungen|Paiements effectués/i })[22m[2m    23 × locator resolved to &lt;a role="tab" tabindex="-1" mat-tab-link="" id="mat-tab-link-4" aria-disabled="false" aria-selected="false" _ngcontent-ng-c743561256="" aria-controls="mat-tab-nav-panel-1" class="mdc-tab mat-mdc-tab-link mat-focus-indicator"&gt;…&lt;/a&gt;[22m[2m       - unexpected value " Ausgeführte Zahlungen (0) "[22m
Screenshots: C:\Aventis_Playwright\test-results\videos\006_KeyWords_Smoketest_V2-WSH99-WSH99-Microsoft-Edge\test-failed-1.png</t>
  </si>
  <si>
    <t>Error: locator.waitFor: Target page, context or browser has been closedCall log:[2m  - waiting for getByTestId('WshNode') to be visible[22m
Screenshots: C:\Aventis_Playwright\test-results\videos\006_KeyWords_Smoketest_V2-Z01b-Z01b-Microsoft-Edge\test-failed-1.png</t>
  </si>
  <si>
    <t xml:space="preserve">
      mode: 'off',
      size:  { width: 1920, height: 1080 </t>
  </si>
  <si>
    <t>2025.5.275-stable</t>
  </si>
  <si>
    <t>1_Komplett_7561007047342 25-No05</t>
  </si>
  <si>
    <t>","filterThema":"</t>
  </si>
  <si>
    <t>{"searchDossierOrKlient":"</t>
  </si>
  <si>
    <t>Weber25494, Elias</t>
  </si>
  <si>
    <t>","person":"</t>
  </si>
  <si>
    <t>gibt es nicht mehr als feld</t>
  </si>
  <si>
    <t>Total Einnahmen fehlt muss erg$nztt werden</t>
  </si>
  <si>
    <t>1_E2E_2025.10.30|10:29:24_922</t>
  </si>
  <si>
    <t>","betragMonatlich":"</t>
  </si>
  <si>
    <t>400.00</t>
  </si>
  <si>
    <t>- Leistungserbringer/in x</t>
  </si>
  <si>
    <t>- Betrag monatlich x</t>
  </si>
  <si>
    <t>- Klient/in oder UE</t>
  </si>
  <si>
    <t>- Geplant von x</t>
  </si>
  <si>
    <t>- Geplant bis x</t>
  </si>
  <si>
    <t>- Zahlungsempfänger/in </t>
  </si>
  <si>
    <t>- Zahlungsmethode</t>
  </si>
  <si>
    <t>","klientOrUE":"</t>
  </si>
  <si>
    <t>","zahlMethod":"</t>
  </si>
  <si>
    <t>03.11.2025 13:58:05</t>
  </si>
  <si>
    <t/>
  </si>
  <si>
    <t>Error: [2mexpect([22m[31mlocator[39m[2m).[22mtoContainText[2m([22m[32mexpected[39m[2m)[22m failedLocator: locator('tfoot td[class*=\'currency-column\']')Expected substring: [32m"[7mCHF 12’028[27m.00"[39mReceived string:    [31m"[7m Total Betrag: CHF 9’146[27m.00[7m [27m"[39mTimeout: 20000msCall log:[2m  - Expect "soft toContainText" with timeout 20000ms[22m[2m  - waiting for locator('tfoot td[class*=\'currency-column\']')[22m[2m    4 × locator resolved to &lt;td colspan="2" role="cell" mat-footer-cell="" _ngcontent-ng-c2887877529="" class="mat-mdc-footer-cell mdc-data-table__cell cdk-footer-cell currency-column font-bold cdk-column-kreditor mat-column-kreditor ng-star-inserted"&gt; Total Betrag: CHF 2’882.00 &lt;/td&gt;[22m[2m      - unexpected value " Total Betrag: CHF 2’882.00 "[22m[2m    19 × locator resolved to &lt;td colspan="2" role="cell" mat-footer-cell="" _ngcontent-ng-c2887877529="" class="mat-mdc-footer-cell mdc-data-table__cell cdk-footer-cell currency-column font-bold cdk-column-kreditor mat-column-kreditor ng-star-inserted"&gt; Total Betrag: CHF 9’146.00 &lt;/td&gt;[22m[2m       - unexpected value " Total Betrag: CHF 9’146.00 "[22m
Screenshots: C:\Aventis_Playwright\test-results\videos\006_KeyWords_Smoketest_V2-001b-001b-Microsoft-Edge\test-failed-1.png</t>
  </si>
  <si>
    <t>Error: [2mexpect([22m[31mlocator[39m[2m).[22mtoBeVisible[2m([22m[2m)[22m failedLocator: getByTestId('WshUebersichtRoute')Expected: visibleTimeout: 20000msError: element(s) not foundCall log:[2m  - Expect "toBeVisible" with timeout 20000ms[22m[2m  - waiting for getByTestId('WshUebersichtRoute')[22m
Screenshots: C:\Aventis_Playwright\test-results\videos\006_KeyWords_Smoketest_V2-003b-003b-Microsoft-Edge\test-failed-1.png</t>
  </si>
  <si>
    <r>
      <t>",</t>
    </r>
    <r>
      <rPr>
        <b/>
        <sz val="11"/>
        <color rgb="FFC82613"/>
        <rFont val="Arial"/>
        <family val="2"/>
      </rPr>
      <t>"dateiPfad":"</t>
    </r>
  </si>
  <si>
    <t>Error: locator.click: Target page, context or browser has been closedCall log:[2m  - waiting for getByRole('option', { name: /einzureichen/i })[22m[2m    - locator resolved to &lt;mat-option role="option" id="mat-option-49" aria-selected="true" aria-disabled="false" _ngcontent-ng-c3703712129="" class="mat-mdc-option mdc-list-item mdc-list-item--selected ng-star-inserted mat-mdc-option-active"&gt;…&lt;/mat-option&gt;[22m[2m  - attempting click action[22m[2m    - waiting for element to be visible, enabled and stable[22m[2m  - element was detached from the DOM, retrying[22m</t>
  </si>
  <si>
    <t>Error: locator.click: Error: strict mode violation: locator('mat-option:has-text(\'BKW Energie AG\')') resolved to 5 elements:    1) &lt;mat-option role="option" id="mat-option-627" aria-selected="false" aria-disabled="false" _ngcontent-ng-c3141470335="" class="mat-mdc-option mdc-list-item ng-star-inserted"&gt;…&lt;/mat-option&gt; aka locator('#mat-option-627')    2) &lt;mat-option role="option" id="mat-option-628" aria-selected="false" aria-disabled="false" _ngcontent-ng-c3141470335="" class="mat-mdc-option mdc-list-item ng-star-inserted"&gt;…&lt;/mat-option&gt; aka locator('#mat-option-628')    3) &lt;mat-option role="option" id="mat-option-629" aria-selected="false" aria-disabled="false" _ngcontent-ng-c3141470335="" class="mat-mdc-option mdc-list-item ng-star-inserted"&gt;…&lt;/mat-option&gt; aka locator('#mat-option-629')    4) &lt;mat-option role="option" id="mat-option-630" aria-selected="false" aria-disabled="false" _ngcontent-ng-c3141470335="" class="mat-mdc-option mdc-list-item ng-star-inserted"&gt;…&lt;/mat-option&gt; aka locator('#mat-option-630')    5) &lt;mat-option role="option" id="mat-option-631" aria-selected="false" aria-disabled="false" _ngcontent-ng-c3141470335="" class="mat-mdc-option mdc-list-item ng-star-inserted"&gt;…&lt;/mat-option&gt; aka locator('#mat-option-631')Call log:[2m  - waiting for locator('mat-option:has-text(\'BKW Energie AG\')')[22m
Screenshots: C:\Aventis_Playwright\test-results\videos\006_KeyWords_Smoketest_V2-A03-FE01-A03-FE01-Microsoft-Edge\test-failed-1.png</t>
  </si>
  <si>
    <t>Error: [2mexpect([22m[31mlocator[39m[2m).[22mtoBeVisible[2m([22m[2m)[22m failedLocator: locator('tbody tr').filter({ hasText: /(?=.*Miete)(?=.*und)(?=.*Nebenkosten)(?=.*vom)(?=.*Lohn)(?=.*Klientschaft)(?=.*Wiederkehrende)(?=.*Zahlung)(?=.*3000)(?=.*Miete)(?=.*und)(?=.*Nebenkosten)(?=.*)(?=.*)(?=.*Monatlich)/i }).filter({ hasText: 'Rossi15555, Noah - CH94 0078 9100 0000 6047 8' })Expected: visibleTimeout: 20000msError: element(s) not foundCall log:[2m  - Expect "soft toBeVisible" with timeout 20000ms[22m[2m  - waiting for locator('tbody tr').filter({ hasText: /(?=.*Miete)(?=.*und)(?=.*Nebenkosten)(?=.*vom)(?=.*Lohn)(?=.*Klientschaft)(?=.*Wiederkehrende)(?=.*Zahlung)(?=.*3000)(?=.*Miete)(?=.*und)(?=.*Nebenkosten)(?=.*)(?=.*)(?=.*Monatlich)/i }).filter({ hasText: 'Rossi15555, Noah - CH94 0078 9100 0000 6047 8' })[22m
Screenshots: C:\Aventis_Playwright\test-results\videos\006_KeyWords_Smoketest_V2-A04-FE02-A04-FE02-Microsoft-Edge\test-failed-1.png</t>
  </si>
  <si>
    <t>Error: locator.isChecked: Target page, context or browser has been closedCall log:[2m  - waiting for locator('thead mat-checkbox input')[22m</t>
  </si>
  <si>
    <t>Error: [2mexpect([22m[31mlocator[39m[2m).[22mtoContainText[2m([22m[32mexpected[39m[2m)[22m failedLocator: locator('td[class=\'currency-column total-row\']')Expected pattern: [32m/(4 985,00.*0,00)|(4’985.00.*0.00)/i[39mTimeout: 20000msError: element(s) not foundCall log:[2m  - Expect "soft toContainText" with timeout 20000ms[22m[2m  - waiting for locator('td[class=\'currency-column total-row\']')[22m[2m    18 × locator resolved to &lt;td colspan="100%" _ngcontent-ng-c821186568="" class="currency-column total-row"&gt;…&lt;/td&gt;[22m[2m       - unexpected value " 05.08. - 31.12.2025 - Total Ausgaben: 2’991.00 Total Einnahmen: 0.00 Saldo: 2’991.00"[22m
Screenshots: C:\Aventis_Playwright\test-results\videos\006_KeyWords_Smoketest_V2-AW01b-AW01b-Microsoft-Edge\test-failed-1.png</t>
  </si>
  <si>
    <r>
      <t>:</t>
    </r>
    <r>
      <rPr>
        <sz val="11"/>
        <color rgb="FFB5CEA8"/>
        <rFont val="Consolas"/>
        <family val="3"/>
      </rPr>
      <t>27861.10</t>
    </r>
    <r>
      <rPr>
        <sz val="11"/>
        <color rgb="FFD4D4D4"/>
        <rFont val="Consolas"/>
        <family val="3"/>
      </rPr>
      <t>,</t>
    </r>
    <r>
      <rPr>
        <sz val="11"/>
        <color rgb="FFCE9178"/>
        <rFont val="Consolas"/>
        <family val="3"/>
      </rPr>
      <t>"totalEinahmen"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7000.00</t>
    </r>
  </si>
  <si>
    <t>Error: [2mexpect([22m[31mlocator[39m[2m).[22mtoContainText[2m([22m[32mexpected[39m[2m)[22m failedLocator: locator('app-buchung-detail-table b')Expected substring: [32m" CHF 898.60"[39mTimeout: 20000msError: element(s) not foundCall log:[2m  - Expect "soft toContainText" with timeout 20000ms[22m[2m  - waiting for locator('app-buchung-detail-table b')[22m[2m    19 × locator resolved to &lt;b&gt;∑ CHF 1’677.20&lt;/b&gt;[22m[2m       - unexpected value "∑ CHF 1’677.20"[22m
Screenshots: C:\Aventis_Playwright\test-results\videos\006_KeyWords_Smoketest_V2-BC02-BC02-Microsoft-Edge\test-failed-1.png</t>
  </si>
  <si>
    <t>Error: locator.click: Target page, context or browser has been closedCall log:[2m  - waiting for locator('tr:has-text(\'Müller10559\') a')[22m</t>
  </si>
  <si>
    <t>Error: locator.fill: Target page, context or browser has been closedCall log:[2m  - waiting for getByTestId('lastname').getByTestId('root-control')[22m</t>
  </si>
  <si>
    <t>Error: locator.hover: Target page, context or browser has been closedCall log:[2m  - waiting for locator('app-aufgabe-card:has-text(\'Eine wichtige Aufgabe_012\'):has-text(\'Bern Sozialarbeiterin 1A\')').first()[22m
Screenshots: C:\Aventis_Playwright\test-results\videos\006_KeyWords_Smoketest_V2-DO04c-DO04c-Microsoft-Edge\test-failed-1.png</t>
  </si>
  <si>
    <r>
      <t>{"dossier":"</t>
    </r>
    <r>
      <rPr>
        <b/>
        <sz val="11"/>
        <color rgb="FF548235"/>
        <rFont val="Arial"/>
        <family val="2"/>
      </rPr>
      <t>11_E2E_2024.10.3|17:1:32_896</t>
    </r>
    <r>
      <rPr>
        <sz val="11"/>
        <color rgb="FF548235"/>
        <rFont val="Arial"/>
        <family val="2"/>
      </rPr>
      <t>","titel":"noch eine schöne Brille","betrag":500.00}</t>
    </r>
  </si>
  <si>
    <t>Error: locator.click: Target page, context or browser has been closedCall log:[2m  - waiting for getByRole('button', { name: /Speichern|Enregistrer/i })[22m[2m    - locator resolved to &lt;button disabled="true" mat-flat-button="" mat-ripple-loader-disabled="" mat-ripple-loader-uninitialized="" mat-ripple-loader-class-name="mat-mdc-button-ripple" class="primary mdc-button mdc-button--unelevated mat-mdc-unelevated-button mat-mdc-button-disabled mat-unthemed mat-mdc-button-base"&gt;…&lt;/button&gt;[22m[2m  - attempting click action[22m[2m    2 × waiting for element to be visible, enabled and stable[22m[2m      - element is not enabled[22m[2m    - retrying click action[22m[2m    - waiting 20ms[22m[2m    2 × waiting for element to be visible, enabled and stable[22m[2m      - element is not enabled[22m[2m    - retrying click action[22m[2m      - waiting 100ms[22m[2m    307 × waiting for element to be visible, enabled and stable[22m[2m        - element is not enabled[22m[2m      - retrying click action[22m[2m        - waiting 500ms[22m[2m    - waiting for element to be visible, enabled and stable[22m[2m  - element was detached from the DOM, retrying[22m</t>
  </si>
  <si>
    <t>Error: locator.click: Target page, context or browser has been closedCall log:[2m  - waiting for locator('tbody tr:has-text(\'RSC_Test_324\'):has-text(\'Trennblatt\'):has-text(\'Deutsch\')').locator('button[aria-haspopup=\'menu\']')[22m</t>
  </si>
  <si>
    <t>Error: [2mexpect([22m[31mlocator[39m[2m).[22mtoBeVisible[2m([22m[2m)[22m failedLocator: locator('app-naechste-faelligkeiten-sidesheet').filter({ hasText: 'Anspruch November 2025 31.10.2025' }).first()Expected: visibleTimeout: 20000msError: element(s) not foundCall log:[2m  - Expect "soft toBeVisible" with timeout 20000ms[22m[2m  - waiting for locator('app-naechste-faelligkeiten-sidesheet').filter({ hasText: 'Anspruch November 2025 31.10.2025' }).first()[22m
Screenshots: C:\Aventis_Playwright\test-results\videos\006_KeyWords_Smoketest_V2-R03-R03-Microsoft-Edge\test-failed-1.png</t>
  </si>
  <si>
    <t>Error: Cannot find timeline[2mexpect([22m[31mlocator[39m[2m).[22mtoBeVisible[2m([22m[2m)[22m failedLocator: locator('app-timeline').locator('div:has-text(\'04.11.2025\') + a')Expected: visibleTimeout: 5000msError: element(s) not foundCall log:[2m  - Cannot find timeline with timeout 5000ms[22m[2m  - waiting for locator('app-timeline').locator('div:has-text(\'04.11.2025\') + a')[22m
Screenshots: C:\Aventis_Playwright\test-results\videos\006_KeyWords_Smoketest_V2-R05-R05-Microsoft-Edge\test-failed-1.png</t>
  </si>
  <si>
    <t>Error: [2mexpect([22m[31mlocator[39m[2m).[22mtoContainText[2m([22m[32mexpected[39m[2m)[22m failedLocator: locator('tr:has-text(\'Total Ausgaben\'),tr:has-text(\'Total des dépenses\')')Error: [32mexpected[39m value must be a string or regular expressionExpected has type:  numberExpected has value: [32m3382[39m
Screenshots: C:\Aventis_Playwright\test-results\videos\006_KeyWords_Smoketest_V2-R10-R10-Microsoft-Edge\test-failed-1.png</t>
  </si>
  <si>
    <t>Error: locator.click: Target page, context or browser has been closedCall log:[2m  - waiting for locator('div[class*=\'date-caption\']:has-text(\'13.11.2025\') + a')[22m</t>
  </si>
  <si>
    <t>Error: locator.click: Target page, context or browser has been closedCall log:[2m  - waiting for locator('app-person-card-row').filter({ hasText: 'Moser, Luici' }).locator('a')[22m</t>
  </si>
  <si>
    <t>Error: [2mexpect([22m[31mlocator[39m[2m).[22mtoBeVisible[2m([22m[2m)[22m failedLocator: getByRole('button', { name: /Umfeld|Environnement/i })Expected: visibleTimeout: 20000msError: element(s) not foundCall log:[2m  - Expect "toBeVisible" with timeout 20000ms[22m[2m  - waiting for getByRole('button', { name: /Umfeld|Environnement/i })[22m
Screenshots: C:\Aventis_Playwright\test-results\videos\006_KeyWords_Smoketest_V2-UM02-UM02-Microsoft-Edge\test-failed-1.png</t>
  </si>
  <si>
    <t>Error: locator.fill: value: expected string, got undefined
Screenshots: C:\Aventis_Playwright\test-results\videos\006_KeyWords_Smoketest_V2-UM03-UM03-Microsoft-Edge\test-failed-1.png</t>
  </si>
  <si>
    <r>
      <t>`,</t>
    </r>
    <r>
      <rPr>
        <b/>
        <sz val="11"/>
        <color theme="1"/>
        <rFont val="Arial"/>
        <family val="2"/>
      </rPr>
      <t>"</t>
    </r>
    <r>
      <rPr>
        <sz val="11"/>
        <color theme="1"/>
        <rFont val="Arial"/>
        <family val="2"/>
      </rPr>
      <t>bescheinigungsArt":"</t>
    </r>
  </si>
  <si>
    <t>Error: [2mexpect([22m[31mlocator[39m[2m).[22mtoContainText[2m([22m[32mexpected[39m[2m)[22m failedLocator: getByRole('tab').filter({ hasText: /Ausgeführte Zahlungen|Paiements effectués/i })Expected substring: [32m"5"[39mReceived string:    [31m" Ausgeführte Zahlungen (0) "[39mTimeout: 20000msCall log:[2m  - Expect "toContainText" with timeout 20000ms[22m[2m  - waiting for getByRole('tab').filter({ hasText: /Ausgeführte Zahlungen|Paiements effectués/i })[22m[2m    23 × locator resolved to &lt;a role="tab" tabindex="-1" mat-tab-link="" id="mat-tab-link-4" aria-disabled="false" aria-selected="false" _ngcontent-ng-c743561256="" aria-controls="mat-tab-nav-panel-1" class="mdc-tab mat-mdc-tab-link mat-focus-indicator"&gt;…&lt;/a&gt;[22m[2m       - unexpected value " Ausgeführte Zahlungen (0) "[22m
Screenshots: C:\Aventis_Playwright\test-results\videos\006_KeyWords_Smoketest_V2-WSH99-WSH99-Microsoft-Edge\test-failed-1.png</t>
  </si>
  <si>
    <t>Error: locator.click: Target page, context or browser has been closedCall log:[2m  - waiting for getByRole('button', { name: /Abmelden|Fermer la session/i })[22m[2m    - locator resolved to &lt;div tabindex="0" role="button" appnavigationitem="" _ngcontent-ng-c2680178628="" class="row row-with-icon bg-color-gray-1 pointer"&gt;…&lt;/div&gt;[22m[2m  - attempting click action[22m[2m    - waiting for element to be visible, enabled and stable[22m[2m    - element is not stable[22m[2m  - retrying click action[22m[2m    - waiting for element to be visible, enabled and stable[22m[2m    - element is visible, enabled and stable[22m[2m    - scrolling into view if needed[22m[2m    - done scrolling[22m[2m    - performing click action[22m[2m    - &lt;button tabindex="0" appnavigationitem="" cdk-describedby-host="ng-1" _ngcontent-ng-c2680178628="" class="mat-mdc-tooltip-trigger row row-with-icon" aria-describedby="cdk-describedby-message-ng-1-28"&gt;…&lt;/button&gt; intercepts pointer events[22m[2m  - retrying click action[22m[2m    - waiting 20ms[22m[2m    2 × waiting for element to be visible, enabled and stable[22m[2m      - element is visible, enabled and stable[22m[2m      - scrolling into view if needed[22m[2m      - done scrolling[22m[2m      - &lt;div class="mat-mdc-tooltip-surface mdc-tooltip__surface"&gt;Sensitive Informationen werden entfernt&lt;/div&gt; from &lt;div dir="ltr" class="cdk-overlay-connected-position-bounding-box"&gt;…&lt;/div&gt; subtree intercepts pointer events[22m[2m    - retrying click action[22m[2m      - waiting 100ms[22m[2m    2173 × waiting for element to be visible, enabled and stable[22m[2m         - element is visible, enabled and stable[22m[2m         - scrolling into view if needed[22m[2m         - done scrolling[22m[2m         - &lt;div class="mat-mdc-tooltip-surface mdc-tooltip__surface"&gt;Sensitive Informationen werden entfernt&lt;/div&gt; from &lt;div dir="ltr" class="cdk-overlay-connected-position-bounding-box"&gt;…&lt;/div&gt; subtree intercepts pointer events[22m[2m       - retrying click action[22m[2m         - waiting 500ms[22m
Screenshots: C:\Aventis_Playwright\test-results\videos\006_KeyWords_Smoketest_V2-Z01b-Z01b-Microsoft-Edge\test-failed-1.png</t>
  </si>
  <si>
    <t>2025.11.03_13.58.03</t>
  </si>
  <si>
    <r>
      <t>CHF 9’146</t>
    </r>
    <r>
      <rPr>
        <sz val="11"/>
        <color rgb="FFCD3131"/>
        <rFont val="Courier New"/>
        <family val="3"/>
      </rPr>
      <t>.00</t>
    </r>
  </si>
  <si>
    <t>CHF 9’146.00</t>
  </si>
  <si>
    <t>p.endOfMonthDate</t>
  </si>
  <si>
    <t>Fehler Aventis</t>
  </si>
  <si>
    <t>{"group":"Dossierverwaltung","soubGroup":"Wohnsituation - Haushalt","topic":"Besondere Wohnform","topicLink":"https://handbuch.bernerkonferenz.ch/stichwoerter/stichwort/detail/personen-in-besonderen-wohnformen/","lang":""}</t>
  </si>
  <si>
    <t>{"group":"Klientschaft","soubGroup":`${p.FamilyName1}, ${p.ManFirstName1}`,"topic":"Gesuch um Drittauszahlung von Leistungen der AHV/IV/EO/EL/ÜL/FamZ","topicLink":"Gesuch um Drittauszahlung von Leistungen der AHV/IV/EO/EL/ÜL/FamZ","lang":"Deutsch"}</t>
  </si>
  <si>
    <t>{"group":"Dossierverwaltung","soubGroup":"Wohnsituation - Haushalt","topic":"SKOS-Wohnen","topicLink":"https://rl.skos.ch/lexoverview-home/lex-RL_C_4_1?effective-from=20210101","lang":""}</t>
  </si>
  <si>
    <t>Fehler Aventis erfasst mehrfacheinträge sind nicht identifiziert …</t>
  </si>
  <si>
    <t>unexpected value " 06.08. - 31.12.2025 - Total Ausgaben: 997.00 Total Einnahmen: 0.00 Saldo: 997.00"</t>
  </si>
  <si>
    <t>Februar 2026</t>
  </si>
  <si>
    <t>`,"gueltigMonatJahr":"</t>
  </si>
  <si>
    <t>","zahlungsEmpfaenger":"</t>
  </si>
  <si>
    <t>,"valutaTerminNext":"</t>
  </si>
  <si>
    <t>9’146.00</t>
  </si>
  <si>
    <t>Werte aktualisieren</t>
  </si>
  <si>
    <t>8’807.80</t>
  </si>
  <si>
    <t>,"zeitRaum":"</t>
  </si>
  <si>
    <t>","zeitRaumBis":</t>
  </si>
  <si>
    <t>not set</t>
  </si>
  <si>
    <t>Die Darstellung it mir nicht wirklich klar</t>
  </si>
  <si>
    <t>Anspruch Januar 2026</t>
  </si>
  <si>
    <t>`,"valutaDatum":"</t>
  </si>
  <si>
    <t>werte anpassen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</si>
</sst>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XDR&quot;;[Red]\-#,##0.00\ &quot;XDR&quot;"/>
    <numFmt numFmtId="165" formatCode="0.0"/>
  </numFmts>
  <fonts count="3420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sz val="11"/>
      <color rgb="FF548235"/>
      <name val="Arial"/>
      <family val="2"/>
    </font>
    <font>
      <b/>
      <sz val="11"/>
      <color rgb="FF000000"/>
      <name val="Arial"/>
      <family val="2"/>
    </font>
    <font>
      <b/>
      <sz val="11"/>
      <color rgb="FF548235"/>
      <name val="Arial"/>
      <family val="2"/>
    </font>
    <font>
      <u/>
      <sz val="11"/>
      <color theme="10"/>
      <name val="Arial"/>
      <family val="2"/>
    </font>
    <font>
      <sz val="11"/>
      <color theme="2" tint="-0.499984740745262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rgb="FF212529"/>
      <name val="Arial"/>
      <family val="2"/>
    </font>
    <font>
      <sz val="11"/>
      <color theme="0" tint="-0.14999847407452621"/>
      <name val="Arial"/>
      <family val="2"/>
    </font>
    <font>
      <sz val="11"/>
      <color theme="2" tint="-0.749992370372631"/>
      <name val="Arial"/>
      <family val="2"/>
    </font>
    <font>
      <sz val="11"/>
      <color rgb="FFFF0000"/>
      <name val="Arial"/>
      <family val="2"/>
    </font>
    <font>
      <sz val="11"/>
      <color theme="1" tint="4.9989318521683403E-2"/>
      <name val="Arial"/>
      <family val="2"/>
    </font>
    <font>
      <sz val="11"/>
      <color rgb="FF0D0D0D"/>
      <name val="Arial"/>
      <family val="2"/>
    </font>
    <font>
      <sz val="11"/>
      <color rgb="FF000000"/>
      <name val="Calibri"/>
      <family val="2"/>
    </font>
    <font>
      <sz val="11"/>
      <color theme="1" tint="4.9989318521683403E-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0D0D0D"/>
      <name val="Calibri"/>
      <family val="2"/>
      <scheme val="minor"/>
    </font>
    <font>
      <sz val="11"/>
      <color rgb="FF548235"/>
      <name val="Calibri"/>
      <family val="2"/>
      <scheme val="minor"/>
    </font>
    <font>
      <sz val="11"/>
      <color theme="4"/>
      <name val="Arial"/>
      <family val="2"/>
    </font>
    <font>
      <sz val="11"/>
      <color rgb="FFCC0000"/>
      <name val="Arial"/>
      <family val="2"/>
    </font>
    <font>
      <sz val="11"/>
      <color rgb="FF9C0006"/>
      <name val="Arial"/>
      <family val="2"/>
    </font>
    <font>
      <sz val="11"/>
      <color rgb="FFCD3131"/>
      <name val="Courier New"/>
      <family val="3"/>
    </font>
    <font>
      <sz val="11"/>
      <color rgb="FF4D5156"/>
      <name val="Arial"/>
      <family val="2"/>
    </font>
    <font>
      <b/>
      <sz val="11"/>
      <color theme="1"/>
      <name val="Arial"/>
      <family val="2"/>
    </font>
    <font>
      <sz val="11"/>
      <color theme="0" tint="-0.499984740745262"/>
      <name val="Arial"/>
      <family val="2"/>
    </font>
    <font>
      <sz val="11"/>
      <color theme="2" tint="-0.249977111117893"/>
      <name val="Arial"/>
      <family val="2"/>
    </font>
    <font>
      <sz val="11"/>
      <color rgb="FF9C5700"/>
      <name val="Arial"/>
      <family val="2"/>
    </font>
    <font>
      <sz val="11"/>
      <color rgb="FFFFFF00"/>
      <name val="Arial"/>
      <family val="2"/>
    </font>
    <font>
      <sz val="11"/>
      <color rgb="FFD4D4D4"/>
      <name val="Consolas"/>
      <family val="3"/>
    </font>
    <font>
      <sz val="11"/>
      <color rgb="FFCE9178"/>
      <name val="Arial"/>
      <family val="2"/>
    </font>
    <font>
      <b/>
      <sz val="11"/>
      <name val="Arial"/>
      <family val="2"/>
    </font>
    <font>
      <sz val="11"/>
      <color rgb="FF9CDCFE"/>
      <name val="Arial"/>
      <family val="2"/>
    </font>
    <font>
      <sz val="11"/>
      <color theme="0" tint="-0.34998626667073579"/>
      <name val="Arial"/>
      <family val="2"/>
    </font>
    <font>
      <sz val="10"/>
      <color theme="1"/>
      <name val="Arial"/>
      <family val="2"/>
    </font>
    <font>
      <sz val="11"/>
      <color rgb="FF002060"/>
      <name val="Arial"/>
      <family val="2"/>
    </font>
    <font>
      <sz val="11"/>
      <color rgb="FFC82613"/>
      <name val="Arial"/>
      <family val="2"/>
    </font>
    <font>
      <sz val="11"/>
      <color rgb="FF000000"/>
      <name val="Segoe UI"/>
      <family val="2"/>
    </font>
    <font>
      <sz val="11"/>
      <color rgb="FFCD3131"/>
      <name val="Arial"/>
      <family val="2"/>
    </font>
    <font>
      <b/>
      <sz val="10"/>
      <color rgb="FFFF0000"/>
      <name val="Arial"/>
      <family val="2"/>
    </font>
    <font>
      <sz val="11"/>
      <color rgb="FF4FC1FF"/>
      <name val="Arial"/>
      <family val="2"/>
    </font>
    <font>
      <sz val="11"/>
      <color rgb="FF757171"/>
      <name val="Arial"/>
      <family val="2"/>
    </font>
    <font>
      <b/>
      <sz val="11"/>
      <color rgb="FFC82613"/>
      <name val="Arial"/>
      <family val="2"/>
    </font>
    <font>
      <sz val="11"/>
      <color rgb="FFB5CEA8"/>
      <name val="Consolas"/>
      <family val="3"/>
    </font>
    <font>
      <sz val="11"/>
      <color rgb="FFCE9178"/>
      <name val="Consolas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9"/>
      <color rgb="FF495057"/>
      <name val="Arial"/>
      <family val="2"/>
    </font>
    <font>
      <sz val="11"/>
      <color theme="2" tint="-0.749992370372631"/>
      <name val="Calibri"/>
      <family val="2"/>
      <scheme val="minor"/>
    </font>
    <font>
      <b/>
      <sz val="11"/>
      <color theme="1"/>
      <name val="Inter var"/>
    </font>
    <font>
      <sz val="11"/>
      <color rgb="FF548235"/>
      <name val="Aptos Narrow"/>
      <family val="2"/>
    </font>
    <font>
      <sz val="11"/>
      <color theme="0" tint="-0.499984740745262"/>
      <name val="Aptos Narrow"/>
      <family val="2"/>
    </font>
    <font>
      <sz val="11"/>
      <color theme="4"/>
      <name val="Calibri"/>
      <family val="2"/>
      <scheme val="minor"/>
    </font>
    <font>
      <sz val="11"/>
      <color rgb="FF548235"/>
      <name val="Calibri"/>
      <family val="2"/>
    </font>
    <font>
      <sz val="11"/>
      <name val="Aptos Narrow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Courier New"/>
      <family val="3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u/>
      <sz val="1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ourier New"/>
      <family val="3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Courier New"/>
      <family val="3"/>
    </font>
    <font>
      <sz val="11"/>
      <color rgb="FFF6F8FA"/>
      <name val="Courier New"/>
      <family val="3"/>
    </font>
    <font>
      <sz val="11"/>
      <color rgb="FF002060"/>
      <name val="Calibri"/>
      <family val="2"/>
      <scheme val="minor"/>
    </font>
    <font>
      <sz val="11"/>
      <color rgb="FF002060"/>
      <name val="Courier New"/>
      <family val="3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</font>
    <font>
      <b/>
      <sz val="11"/>
      <name val="Calibri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</font>
    <font>
      <b/>
      <sz val="11"/>
      <name val="Calibri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Segoe U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</font>
    <font>
      <b/>
      <sz val="11"/>
      <name val="Calibri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</font>
    <font>
      <b/>
      <sz val="11"/>
      <name val="Calibri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24292F"/>
      <name val="Courier New"/>
      <family val="3"/>
    </font>
    <font>
      <sz val="11"/>
      <color theme="1"/>
      <name val="Arial"/>
      <family val="2"/>
    </font>
  </fonts>
  <fills count="340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FF00"/>
        <bgColor rgb="FF00000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solid">
        <fgColor theme="2" tint="-0.249977111117893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solid">
        <fgColor theme="0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CCB"/>
      </patternFill>
    </fill>
    <fill>
      <patternFill patternType="solid">
        <fgColor rgb="FFFFCCC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</fills>
  <borders count="3392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D4D4D4"/>
      </left>
      <right style="medium">
        <color rgb="FFD4D4D4"/>
      </right>
      <top style="medium">
        <color indexed="64"/>
      </top>
      <bottom style="medium">
        <color indexed="64"/>
      </bottom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/>
      <bottom/>
      <diagonal/>
    </border>
    <border>
      <left style="medium">
        <color rgb="FFD4D4D4"/>
      </left>
      <right style="medium">
        <color rgb="FFD4D4D4"/>
      </right>
      <top style="medium">
        <color indexed="64"/>
      </top>
      <bottom/>
      <diagonal/>
    </border>
    <border>
      <left style="medium">
        <color rgb="FFD4D4D4"/>
      </left>
      <right style="medium">
        <color rgb="FFD4D4D4"/>
      </right>
      <top style="medium">
        <color indexed="6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F1F3F5"/>
      </bottom>
      <diagonal/>
    </border>
  </borders>
  <cellStyleXfs count="4">
    <xf numFmtId="0" fontId="0" fillId="0" borderId="0"/>
    <xf numFmtId="0" fontId="52" fillId="0" borderId="0" applyNumberFormat="0" applyFill="0" applyBorder="0" applyAlignment="0" applyProtection="0"/>
    <xf numFmtId="0" fontId="3416" fillId="29" borderId="0" applyNumberFormat="0" applyBorder="0" applyAlignment="0" applyProtection="0"/>
    <xf numFmtId="0" fontId="3417" fillId="37" borderId="0" applyNumberFormat="0" applyBorder="0" applyAlignment="0" applyProtection="0"/>
  </cellStyleXfs>
  <cellXfs count="422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wrapText="1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horizontal="left" wrapText="1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7" borderId="0" xfId="0" applyFont="1" applyFill="1" applyAlignment="1">
      <alignment wrapText="1"/>
    </xf>
    <xf numFmtId="165" fontId="1" fillId="7" borderId="0" xfId="0" applyNumberFormat="1" applyFont="1" applyFill="1" applyAlignment="1">
      <alignment horizontal="left"/>
    </xf>
    <xf numFmtId="0" fontId="1" fillId="0" borderId="0" xfId="0" applyFont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0" xfId="0" applyFont="1"/>
    <xf numFmtId="0" fontId="1" fillId="8" borderId="0" xfId="0" applyFont="1" applyFill="1" applyAlignment="1">
      <alignment horizontal="left" vertical="top"/>
    </xf>
    <xf numFmtId="0" fontId="1" fillId="9" borderId="0" xfId="0" applyFont="1" applyFill="1" applyAlignment="1">
      <alignment horizontal="left"/>
    </xf>
    <xf numFmtId="0" fontId="1" fillId="10" borderId="0" xfId="0" applyFont="1" applyFill="1" applyAlignment="1">
      <alignment horizontal="center" vertical="top"/>
    </xf>
    <xf numFmtId="0" fontId="6" fillId="10" borderId="1" xfId="0" applyFont="1" applyFill="1" applyBorder="1" applyAlignment="1">
      <alignment wrapText="1"/>
    </xf>
    <xf numFmtId="0" fontId="7" fillId="10" borderId="1" xfId="0" applyFont="1" applyFill="1" applyBorder="1" applyAlignment="1">
      <alignment wrapText="1"/>
    </xf>
    <xf numFmtId="0" fontId="1" fillId="10" borderId="0" xfId="0" applyFont="1" applyFill="1" applyAlignment="1">
      <alignment wrapText="1"/>
    </xf>
    <xf numFmtId="0" fontId="8" fillId="10" borderId="0" xfId="0" applyFont="1" applyFill="1" applyAlignment="1">
      <alignment horizontal="left" vertical="top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11" borderId="0" xfId="0" applyFont="1" applyFill="1" applyAlignment="1">
      <alignment horizontal="left"/>
    </xf>
    <xf numFmtId="0" fontId="1" fillId="12" borderId="0" xfId="0" applyFont="1" applyFill="1" applyAlignment="1">
      <alignment horizontal="left"/>
    </xf>
    <xf numFmtId="0" fontId="1" fillId="11" borderId="0" xfId="0" applyFont="1" applyFill="1" applyAlignment="1">
      <alignment vertical="top"/>
    </xf>
    <xf numFmtId="0" fontId="1" fillId="13" borderId="0" xfId="0" applyFont="1" applyFill="1" applyAlignment="1">
      <alignment horizontal="left"/>
    </xf>
    <xf numFmtId="0" fontId="1" fillId="7" borderId="2" xfId="0" applyFont="1" applyFill="1" applyBorder="1" applyAlignment="1">
      <alignment horizontal="left"/>
    </xf>
    <xf numFmtId="0" fontId="1" fillId="14" borderId="0" xfId="0" applyFont="1" applyFill="1" applyAlignment="1">
      <alignment horizontal="left" wrapText="1"/>
    </xf>
    <xf numFmtId="0" fontId="1" fillId="15" borderId="0" xfId="0" applyFont="1" applyFill="1" applyAlignment="1">
      <alignment horizontal="left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wrapText="1"/>
    </xf>
    <xf numFmtId="0" fontId="11" fillId="2" borderId="0" xfId="0" applyFont="1" applyFill="1" applyAlignment="1">
      <alignment horizontal="left" vertical="top"/>
    </xf>
    <xf numFmtId="0" fontId="1" fillId="8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9" fillId="8" borderId="0" xfId="0" applyFont="1" applyFill="1" applyAlignment="1">
      <alignment horizontal="left" vertical="top"/>
    </xf>
    <xf numFmtId="0" fontId="1" fillId="4" borderId="0" xfId="0" applyFont="1" applyFill="1" applyAlignment="1">
      <alignment wrapText="1"/>
    </xf>
    <xf numFmtId="0" fontId="1" fillId="10" borderId="0" xfId="0" applyFont="1" applyFill="1" applyAlignment="1">
      <alignment horizontal="left" wrapText="1"/>
    </xf>
    <xf numFmtId="0" fontId="1" fillId="8" borderId="0" xfId="0" applyFont="1" applyFill="1"/>
    <xf numFmtId="0" fontId="1" fillId="7" borderId="0" xfId="0" applyFont="1" applyFill="1" applyAlignment="1">
      <alignment horizontal="left" vertical="top" wrapText="1"/>
    </xf>
    <xf numFmtId="0" fontId="9" fillId="7" borderId="0" xfId="0" applyFont="1" applyFill="1" applyAlignment="1">
      <alignment wrapText="1"/>
    </xf>
    <xf numFmtId="0" fontId="8" fillId="7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" fillId="7" borderId="0" xfId="0" applyFont="1" applyFill="1" applyAlignment="1">
      <alignment horizontal="center" vertical="top"/>
    </xf>
    <xf numFmtId="0" fontId="1" fillId="6" borderId="0" xfId="0" applyFont="1" applyFill="1" applyAlignment="1">
      <alignment vertical="top"/>
    </xf>
    <xf numFmtId="0" fontId="1" fillId="6" borderId="0" xfId="0" applyFont="1" applyFill="1" applyAlignment="1">
      <alignment wrapText="1"/>
    </xf>
    <xf numFmtId="0" fontId="12" fillId="0" borderId="0" xfId="0" applyFont="1"/>
    <xf numFmtId="0" fontId="1" fillId="0" borderId="0" xfId="0" applyFont="1" applyAlignment="1">
      <alignment vertical="top"/>
    </xf>
    <xf numFmtId="0" fontId="1" fillId="8" borderId="0" xfId="0" applyFont="1" applyFill="1" applyAlignment="1">
      <alignment vertical="top"/>
    </xf>
    <xf numFmtId="0" fontId="1" fillId="8" borderId="1" xfId="0" applyFont="1" applyFill="1" applyBorder="1" applyAlignment="1">
      <alignment wrapText="1"/>
    </xf>
    <xf numFmtId="0" fontId="1" fillId="17" borderId="0" xfId="0" applyFont="1" applyFill="1" applyAlignment="1">
      <alignment wrapText="1"/>
    </xf>
    <xf numFmtId="0" fontId="13" fillId="17" borderId="0" xfId="0" applyFont="1" applyFill="1" applyAlignment="1">
      <alignment vertical="top" wrapText="1"/>
    </xf>
    <xf numFmtId="0" fontId="14" fillId="17" borderId="0" xfId="0" applyFont="1" applyFill="1" applyAlignment="1">
      <alignment vertical="top" wrapText="1"/>
    </xf>
    <xf numFmtId="0" fontId="8" fillId="17" borderId="0" xfId="0" applyFont="1" applyFill="1" applyAlignment="1">
      <alignment wrapText="1"/>
    </xf>
    <xf numFmtId="0" fontId="1" fillId="5" borderId="0" xfId="0" applyFont="1" applyFill="1" applyAlignment="1">
      <alignment horizontal="left" vertical="top"/>
    </xf>
    <xf numFmtId="0" fontId="14" fillId="7" borderId="0" xfId="0" applyFont="1" applyFill="1" applyAlignment="1">
      <alignment horizontal="left" vertical="top" wrapText="1"/>
    </xf>
    <xf numFmtId="0" fontId="15" fillId="6" borderId="0" xfId="0" applyFont="1" applyFill="1" applyAlignment="1">
      <alignment wrapText="1"/>
    </xf>
    <xf numFmtId="49" fontId="1" fillId="7" borderId="0" xfId="0" applyNumberFormat="1" applyFont="1" applyFill="1" applyAlignment="1">
      <alignment horizontal="left" vertical="top"/>
    </xf>
    <xf numFmtId="0" fontId="1" fillId="18" borderId="0" xfId="0" applyFont="1" applyFill="1" applyAlignment="1">
      <alignment horizontal="left" vertical="top"/>
    </xf>
    <xf numFmtId="14" fontId="1" fillId="7" borderId="0" xfId="0" applyNumberFormat="1" applyFont="1" applyFill="1" applyAlignment="1">
      <alignment horizontal="left" vertical="top"/>
    </xf>
    <xf numFmtId="1" fontId="1" fillId="7" borderId="0" xfId="0" applyNumberFormat="1" applyFont="1" applyFill="1" applyAlignment="1">
      <alignment wrapText="1"/>
    </xf>
    <xf numFmtId="0" fontId="1" fillId="19" borderId="0" xfId="0" applyFont="1" applyFill="1" applyAlignment="1">
      <alignment horizontal="left" vertical="top"/>
    </xf>
    <xf numFmtId="0" fontId="9" fillId="6" borderId="0" xfId="0" applyFont="1" applyFill="1" applyAlignment="1">
      <alignment horizontal="left" vertical="top"/>
    </xf>
    <xf numFmtId="14" fontId="1" fillId="10" borderId="3" xfId="0" applyNumberFormat="1" applyFont="1" applyFill="1" applyBorder="1" applyAlignment="1">
      <alignment horizontal="left" vertical="top"/>
    </xf>
    <xf numFmtId="0" fontId="1" fillId="0" borderId="0" xfId="0" applyFont="1" applyAlignment="1">
      <alignment vertical="center"/>
    </xf>
    <xf numFmtId="0" fontId="1" fillId="20" borderId="0" xfId="0" applyFont="1" applyFill="1" applyAlignment="1">
      <alignment horizontal="left"/>
    </xf>
    <xf numFmtId="0" fontId="1" fillId="21" borderId="0" xfId="0" applyFont="1" applyFill="1" applyAlignment="1">
      <alignment vertical="top"/>
    </xf>
    <xf numFmtId="0" fontId="8" fillId="17" borderId="0" xfId="0" applyFont="1" applyFill="1" applyAlignment="1">
      <alignment vertical="top"/>
    </xf>
    <xf numFmtId="0" fontId="1" fillId="14" borderId="0" xfId="0" applyFont="1" applyFill="1" applyAlignment="1">
      <alignment horizontal="left"/>
    </xf>
    <xf numFmtId="0" fontId="1" fillId="22" borderId="0" xfId="0" applyFont="1" applyFill="1" applyAlignment="1">
      <alignment horizontal="left" vertical="top"/>
    </xf>
    <xf numFmtId="0" fontId="1" fillId="20" borderId="0" xfId="0" applyFont="1" applyFill="1" applyAlignment="1">
      <alignment wrapText="1"/>
    </xf>
    <xf numFmtId="0" fontId="1" fillId="20" borderId="0" xfId="0" applyFont="1" applyFill="1" applyAlignment="1">
      <alignment horizontal="left" vertical="top" wrapText="1"/>
    </xf>
    <xf numFmtId="0" fontId="9" fillId="20" borderId="0" xfId="0" applyFont="1" applyFill="1" applyAlignment="1">
      <alignment wrapText="1"/>
    </xf>
    <xf numFmtId="0" fontId="1" fillId="18" borderId="0" xfId="0" applyFont="1" applyFill="1" applyAlignment="1">
      <alignment wrapText="1"/>
    </xf>
    <xf numFmtId="14" fontId="1" fillId="20" borderId="0" xfId="0" applyNumberFormat="1" applyFont="1" applyFill="1" applyAlignment="1">
      <alignment horizontal="left" vertical="top"/>
    </xf>
    <xf numFmtId="0" fontId="1" fillId="15" borderId="0" xfId="0" applyFont="1" applyFill="1" applyAlignment="1">
      <alignment horizontal="left"/>
    </xf>
    <xf numFmtId="0" fontId="1" fillId="15" borderId="0" xfId="0" applyFont="1" applyFill="1" applyAlignment="1">
      <alignment wrapText="1"/>
    </xf>
    <xf numFmtId="0" fontId="1" fillId="15" borderId="0" xfId="0" applyFont="1" applyFill="1" applyAlignment="1">
      <alignment horizontal="left" vertical="top" wrapText="1"/>
    </xf>
    <xf numFmtId="0" fontId="9" fillId="15" borderId="0" xfId="0" applyFont="1" applyFill="1" applyAlignment="1">
      <alignment horizontal="left" vertical="top"/>
    </xf>
    <xf numFmtId="0" fontId="8" fillId="15" borderId="0" xfId="0" applyFont="1" applyFill="1" applyAlignment="1">
      <alignment horizontal="left" vertical="top"/>
    </xf>
    <xf numFmtId="14" fontId="8" fillId="15" borderId="0" xfId="0" applyNumberFormat="1" applyFont="1" applyFill="1" applyAlignment="1">
      <alignment horizontal="left" vertical="top"/>
    </xf>
    <xf numFmtId="14" fontId="1" fillId="15" borderId="0" xfId="0" applyNumberFormat="1" applyFont="1" applyFill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1" fillId="19" borderId="0" xfId="0" applyFont="1" applyFill="1" applyAlignment="1">
      <alignment wrapText="1"/>
    </xf>
    <xf numFmtId="0" fontId="1" fillId="19" borderId="0" xfId="0" applyFont="1" applyFill="1" applyAlignment="1">
      <alignment horizontal="left" vertical="top" wrapText="1"/>
    </xf>
    <xf numFmtId="0" fontId="9" fillId="19" borderId="0" xfId="0" applyFont="1" applyFill="1" applyAlignment="1">
      <alignment horizontal="left" vertical="top"/>
    </xf>
    <xf numFmtId="0" fontId="16" fillId="7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14" fontId="1" fillId="18" borderId="0" xfId="0" applyNumberFormat="1" applyFont="1" applyFill="1" applyAlignment="1">
      <alignment horizontal="left" vertical="top"/>
    </xf>
    <xf numFmtId="0" fontId="1" fillId="0" borderId="0" xfId="0" applyFont="1" applyAlignment="1">
      <alignment horizontal="left"/>
    </xf>
    <xf numFmtId="0" fontId="4" fillId="7" borderId="1" xfId="0" applyFont="1" applyFill="1" applyBorder="1" applyAlignment="1">
      <alignment horizontal="left" vertical="top" wrapText="1"/>
    </xf>
    <xf numFmtId="0" fontId="10" fillId="7" borderId="0" xfId="0" applyFont="1" applyFill="1" applyAlignment="1">
      <alignment horizontal="left" vertical="top"/>
    </xf>
    <xf numFmtId="0" fontId="15" fillId="11" borderId="0" xfId="0" applyFont="1" applyFill="1" applyAlignment="1">
      <alignment horizontal="left" vertical="top"/>
    </xf>
    <xf numFmtId="0" fontId="1" fillId="23" borderId="1" xfId="0" applyFont="1" applyFill="1" applyBorder="1" applyAlignment="1">
      <alignment horizontal="left" vertical="top" wrapText="1"/>
    </xf>
    <xf numFmtId="0" fontId="17" fillId="7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0" fillId="8" borderId="0" xfId="0" applyFont="1" applyFill="1" applyAlignment="1">
      <alignment horizontal="left" vertical="top"/>
    </xf>
    <xf numFmtId="0" fontId="21" fillId="0" borderId="0" xfId="0" applyFont="1" applyAlignment="1">
      <alignment horizontal="left" vertical="top"/>
    </xf>
    <xf numFmtId="0" fontId="23" fillId="10" borderId="0" xfId="0" applyFont="1" applyFill="1" applyAlignment="1">
      <alignment horizontal="left" vertical="top"/>
    </xf>
    <xf numFmtId="0" fontId="23" fillId="6" borderId="0" xfId="0" applyFont="1" applyFill="1" applyAlignment="1">
      <alignment horizontal="left" vertical="top"/>
    </xf>
    <xf numFmtId="0" fontId="4" fillId="8" borderId="1" xfId="0" applyFont="1" applyFill="1" applyBorder="1" applyAlignment="1">
      <alignment horizontal="left" vertical="top" wrapText="1"/>
    </xf>
    <xf numFmtId="0" fontId="1" fillId="17" borderId="0" xfId="0" applyFont="1" applyFill="1" applyAlignment="1">
      <alignment horizontal="left" vertical="top" wrapText="1"/>
    </xf>
    <xf numFmtId="0" fontId="9" fillId="17" borderId="0" xfId="0" applyFont="1" applyFill="1" applyAlignment="1">
      <alignment horizontal="left" vertical="top"/>
    </xf>
    <xf numFmtId="14" fontId="1" fillId="11" borderId="0" xfId="0" applyNumberFormat="1" applyFont="1" applyFill="1" applyAlignment="1">
      <alignment horizontal="left" vertical="top"/>
    </xf>
    <xf numFmtId="0" fontId="1" fillId="26" borderId="0" xfId="0" applyFont="1" applyFill="1" applyAlignment="1">
      <alignment horizontal="left" vertical="top"/>
    </xf>
    <xf numFmtId="0" fontId="1" fillId="16" borderId="0" xfId="0" applyFont="1" applyFill="1" applyAlignment="1">
      <alignment horizontal="left" vertical="top"/>
    </xf>
    <xf numFmtId="0" fontId="24" fillId="17" borderId="0" xfId="0" applyFont="1" applyFill="1" applyAlignment="1">
      <alignment horizontal="left" vertical="top"/>
    </xf>
    <xf numFmtId="0" fontId="1" fillId="27" borderId="0" xfId="0" applyFont="1" applyFill="1" applyAlignment="1">
      <alignment horizontal="left" vertical="top"/>
    </xf>
    <xf numFmtId="0" fontId="1" fillId="6" borderId="0" xfId="0" applyFont="1" applyFill="1" applyAlignment="1">
      <alignment horizontal="center" vertical="top"/>
    </xf>
    <xf numFmtId="49" fontId="1" fillId="15" borderId="0" xfId="0" applyNumberFormat="1" applyFont="1" applyFill="1" applyAlignment="1">
      <alignment horizontal="left" vertical="top"/>
    </xf>
    <xf numFmtId="0" fontId="9" fillId="15" borderId="0" xfId="0" applyFont="1" applyFill="1" applyAlignment="1">
      <alignment horizontal="left" vertical="top" wrapText="1"/>
    </xf>
    <xf numFmtId="0" fontId="1" fillId="28" borderId="0" xfId="0" applyFont="1" applyFill="1" applyAlignment="1">
      <alignment horizontal="center" vertical="top"/>
    </xf>
    <xf numFmtId="0" fontId="1" fillId="28" borderId="0" xfId="0" applyFont="1" applyFill="1" applyAlignment="1">
      <alignment horizontal="left" vertical="top"/>
    </xf>
    <xf numFmtId="0" fontId="1" fillId="28" borderId="0" xfId="0" applyFont="1" applyFill="1" applyAlignment="1">
      <alignment horizontal="left" vertical="top" wrapText="1"/>
    </xf>
    <xf numFmtId="0" fontId="1" fillId="28" borderId="0" xfId="0" applyFont="1" applyFill="1" applyAlignment="1">
      <alignment wrapText="1"/>
    </xf>
    <xf numFmtId="1" fontId="1" fillId="28" borderId="0" xfId="0" applyNumberFormat="1" applyFont="1" applyFill="1" applyAlignment="1">
      <alignment horizontal="left" vertical="top"/>
    </xf>
    <xf numFmtId="0" fontId="13" fillId="19" borderId="0" xfId="0" applyFont="1" applyFill="1" applyAlignment="1">
      <alignment vertical="top" wrapText="1"/>
    </xf>
    <xf numFmtId="0" fontId="14" fillId="19" borderId="0" xfId="0" applyFont="1" applyFill="1" applyAlignment="1">
      <alignment vertical="top" wrapText="1"/>
    </xf>
    <xf numFmtId="0" fontId="9" fillId="20" borderId="0" xfId="0" applyFont="1" applyFill="1" applyAlignment="1">
      <alignment horizontal="left" vertical="top"/>
    </xf>
    <xf numFmtId="49" fontId="1" fillId="20" borderId="0" xfId="0" applyNumberFormat="1" applyFont="1" applyFill="1" applyAlignment="1">
      <alignment horizontal="left" vertical="top"/>
    </xf>
    <xf numFmtId="1" fontId="1" fillId="20" borderId="0" xfId="0" applyNumberFormat="1" applyFont="1" applyFill="1" applyAlignment="1">
      <alignment horizontal="left" vertical="top"/>
    </xf>
    <xf numFmtId="0" fontId="4" fillId="22" borderId="1" xfId="0" applyFont="1" applyFill="1" applyBorder="1" applyAlignment="1">
      <alignment horizontal="left" vertical="top" wrapText="1"/>
    </xf>
    <xf numFmtId="0" fontId="4" fillId="19" borderId="1" xfId="0" applyFont="1" applyFill="1" applyBorder="1" applyAlignment="1">
      <alignment horizontal="left" vertical="top" wrapText="1"/>
    </xf>
    <xf numFmtId="0" fontId="15" fillId="25" borderId="0" xfId="0" applyFont="1" applyFill="1" applyAlignment="1">
      <alignment horizontal="left" vertical="top"/>
    </xf>
    <xf numFmtId="165" fontId="1" fillId="0" borderId="0" xfId="0" applyNumberFormat="1" applyFont="1" applyAlignment="1">
      <alignment horizontal="left"/>
    </xf>
    <xf numFmtId="14" fontId="1" fillId="19" borderId="0" xfId="0" applyNumberFormat="1" applyFont="1" applyFill="1" applyAlignment="1">
      <alignment horizontal="left" vertical="top"/>
    </xf>
    <xf numFmtId="0" fontId="4" fillId="22" borderId="4" xfId="0" applyFont="1" applyFill="1" applyBorder="1" applyAlignment="1">
      <alignment horizontal="left" vertical="top" wrapText="1"/>
    </xf>
    <xf numFmtId="0" fontId="15" fillId="17" borderId="0" xfId="0" applyFont="1" applyFill="1" applyAlignment="1">
      <alignment horizontal="left" vertical="top"/>
    </xf>
    <xf numFmtId="0" fontId="25" fillId="0" borderId="0" xfId="0" applyFont="1"/>
    <xf numFmtId="0" fontId="1" fillId="13" borderId="0" xfId="0" applyFont="1" applyFill="1" applyAlignment="1">
      <alignment horizontal="left" vertical="top"/>
    </xf>
    <xf numFmtId="0" fontId="26" fillId="29" borderId="0" xfId="0" applyFont="1" applyFill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9" fillId="8" borderId="6" xfId="0" applyFont="1" applyFill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49" fontId="1" fillId="10" borderId="0" xfId="0" applyNumberFormat="1" applyFont="1" applyFill="1" applyAlignment="1">
      <alignment horizontal="left" vertical="top" wrapText="1"/>
    </xf>
    <xf numFmtId="0" fontId="1" fillId="0" borderId="8" xfId="0" applyFont="1" applyBorder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9" fillId="8" borderId="9" xfId="0" applyFont="1" applyFill="1" applyBorder="1" applyAlignment="1">
      <alignment horizontal="left" vertical="top"/>
    </xf>
    <xf numFmtId="0" fontId="1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/>
    </xf>
    <xf numFmtId="0" fontId="1" fillId="4" borderId="0" xfId="0" applyFont="1" applyFill="1" applyAlignment="1">
      <alignment vertical="top" wrapText="1"/>
    </xf>
    <xf numFmtId="0" fontId="1" fillId="3" borderId="0" xfId="0" applyFont="1" applyFill="1" applyAlignment="1">
      <alignment horizontal="left" vertical="top" wrapText="1"/>
    </xf>
    <xf numFmtId="0" fontId="9" fillId="7" borderId="0" xfId="0" applyFont="1" applyFill="1" applyAlignment="1">
      <alignment horizontal="left" vertical="top"/>
    </xf>
    <xf numFmtId="0" fontId="8" fillId="7" borderId="0" xfId="0" applyFont="1" applyFill="1" applyAlignment="1">
      <alignment horizontal="left" vertical="top"/>
    </xf>
    <xf numFmtId="0" fontId="1" fillId="7" borderId="0" xfId="0" applyFont="1" applyFill="1" applyAlignment="1">
      <alignment vertical="top" wrapText="1"/>
    </xf>
    <xf numFmtId="0" fontId="1" fillId="30" borderId="0" xfId="0" applyFont="1" applyFill="1" applyAlignment="1">
      <alignment vertical="top" wrapText="1"/>
    </xf>
    <xf numFmtId="165" fontId="1" fillId="7" borderId="0" xfId="0" applyNumberFormat="1" applyFont="1" applyFill="1" applyAlignment="1">
      <alignment horizontal="left" vertical="top"/>
    </xf>
    <xf numFmtId="0" fontId="1" fillId="17" borderId="0" xfId="0" applyFont="1" applyFill="1" applyAlignment="1">
      <alignment vertical="top" wrapText="1"/>
    </xf>
    <xf numFmtId="0" fontId="1" fillId="4" borderId="0" xfId="0" applyFont="1" applyFill="1" applyAlignment="1">
      <alignment horizontal="left" vertical="top"/>
    </xf>
    <xf numFmtId="0" fontId="1" fillId="13" borderId="0" xfId="0" applyFont="1" applyFill="1" applyAlignment="1">
      <alignment horizontal="center" vertical="top"/>
    </xf>
    <xf numFmtId="14" fontId="1" fillId="17" borderId="0" xfId="0" applyNumberFormat="1" applyFont="1" applyFill="1" applyAlignment="1">
      <alignment horizontal="left" vertical="top"/>
    </xf>
    <xf numFmtId="0" fontId="1" fillId="11" borderId="0" xfId="0" applyFont="1" applyFill="1" applyAlignment="1">
      <alignment wrapText="1"/>
    </xf>
    <xf numFmtId="0" fontId="1" fillId="19" borderId="0" xfId="0" applyFont="1" applyFill="1" applyAlignment="1">
      <alignment vertical="top" wrapText="1"/>
    </xf>
    <xf numFmtId="0" fontId="27" fillId="0" borderId="0" xfId="0" applyFont="1"/>
    <xf numFmtId="0" fontId="4" fillId="0" borderId="1" xfId="0" applyFont="1" applyBorder="1" applyAlignment="1">
      <alignment vertical="top" wrapText="1"/>
    </xf>
    <xf numFmtId="165" fontId="1" fillId="0" borderId="0" xfId="0" applyNumberFormat="1" applyFont="1" applyAlignment="1">
      <alignment horizontal="left" vertical="top"/>
    </xf>
    <xf numFmtId="0" fontId="4" fillId="0" borderId="0" xfId="0" applyFont="1" applyAlignment="1">
      <alignment vertical="top"/>
    </xf>
    <xf numFmtId="0" fontId="1" fillId="6" borderId="0" xfId="0" applyFont="1" applyFill="1" applyAlignment="1">
      <alignment vertical="top" wrapText="1"/>
    </xf>
    <xf numFmtId="0" fontId="1" fillId="6" borderId="0" xfId="0" applyFont="1" applyFill="1" applyAlignment="1">
      <alignment horizontal="left" vertical="top" wrapText="1"/>
    </xf>
    <xf numFmtId="0" fontId="1" fillId="31" borderId="0" xfId="0" applyFont="1" applyFill="1" applyAlignment="1">
      <alignment wrapText="1"/>
    </xf>
    <xf numFmtId="0" fontId="1" fillId="20" borderId="0" xfId="0" applyFont="1" applyFill="1" applyAlignment="1">
      <alignment vertical="top" wrapText="1"/>
    </xf>
    <xf numFmtId="0" fontId="1" fillId="15" borderId="0" xfId="0" applyFont="1" applyFill="1" applyAlignment="1">
      <alignment vertical="top" wrapText="1"/>
    </xf>
    <xf numFmtId="0" fontId="1" fillId="11" borderId="0" xfId="0" applyFont="1" applyFill="1" applyAlignment="1">
      <alignment horizontal="left" vertical="top" wrapText="1"/>
    </xf>
    <xf numFmtId="0" fontId="1" fillId="11" borderId="0" xfId="0" applyFont="1" applyFill="1" applyAlignment="1">
      <alignment vertical="top" wrapText="1"/>
    </xf>
    <xf numFmtId="0" fontId="1" fillId="7" borderId="0" xfId="0" applyFont="1" applyFill="1" applyAlignment="1">
      <alignment vertical="top"/>
    </xf>
    <xf numFmtId="0" fontId="1" fillId="11" borderId="0" xfId="0" applyFont="1" applyFill="1" applyAlignment="1">
      <alignment horizontal="left" vertical="top"/>
    </xf>
    <xf numFmtId="0" fontId="1" fillId="15" borderId="0" xfId="0" applyFont="1" applyFill="1" applyAlignment="1">
      <alignment vertical="top"/>
    </xf>
    <xf numFmtId="0" fontId="1" fillId="20" borderId="0" xfId="0" applyFont="1" applyFill="1" applyAlignment="1">
      <alignment vertical="top"/>
    </xf>
    <xf numFmtId="49" fontId="1" fillId="19" borderId="0" xfId="0" applyNumberFormat="1" applyFont="1" applyFill="1" applyAlignment="1">
      <alignment horizontal="left" vertical="top"/>
    </xf>
    <xf numFmtId="0" fontId="4" fillId="6" borderId="1" xfId="0" applyFont="1" applyFill="1" applyBorder="1" applyAlignment="1">
      <alignment wrapText="1"/>
    </xf>
    <xf numFmtId="49" fontId="1" fillId="8" borderId="0" xfId="0" applyNumberFormat="1" applyFont="1" applyFill="1" applyAlignment="1">
      <alignment horizontal="left" vertical="top" wrapText="1"/>
    </xf>
    <xf numFmtId="0" fontId="28" fillId="0" borderId="0" xfId="0" applyFont="1"/>
    <xf numFmtId="0" fontId="3" fillId="7" borderId="0" xfId="0" applyFont="1" applyFill="1" applyAlignment="1">
      <alignment horizontal="left" vertical="top"/>
    </xf>
    <xf numFmtId="2" fontId="1" fillId="7" borderId="0" xfId="0" applyNumberFormat="1" applyFont="1" applyFill="1" applyAlignment="1">
      <alignment wrapText="1"/>
    </xf>
    <xf numFmtId="0" fontId="3" fillId="20" borderId="0" xfId="0" applyFont="1" applyFill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" fillId="10" borderId="0" xfId="0" applyFont="1" applyFill="1" applyAlignment="1">
      <alignment horizontal="left" vertical="top"/>
    </xf>
    <xf numFmtId="0" fontId="1" fillId="10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wrapText="1"/>
    </xf>
    <xf numFmtId="0" fontId="11" fillId="2" borderId="0" xfId="0" applyFont="1" applyFill="1" applyAlignment="1">
      <alignment horizontal="left" wrapText="1"/>
    </xf>
    <xf numFmtId="0" fontId="1" fillId="8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1" fillId="10" borderId="0" xfId="0" applyFont="1" applyFill="1" applyAlignment="1">
      <alignment horizontal="left"/>
    </xf>
    <xf numFmtId="0" fontId="1" fillId="7" borderId="0" xfId="0" applyFont="1" applyFill="1" applyAlignment="1">
      <alignment horizontal="left" wrapText="1"/>
    </xf>
    <xf numFmtId="0" fontId="1" fillId="8" borderId="0" xfId="0" applyFont="1" applyFill="1" applyAlignment="1">
      <alignment horizontal="left"/>
    </xf>
    <xf numFmtId="0" fontId="1" fillId="8" borderId="1" xfId="0" applyFont="1" applyFill="1" applyBorder="1" applyAlignment="1">
      <alignment horizontal="left" wrapText="1"/>
    </xf>
    <xf numFmtId="0" fontId="1" fillId="17" borderId="0" xfId="0" applyFont="1" applyFill="1" applyAlignment="1">
      <alignment horizontal="left" wrapText="1"/>
    </xf>
    <xf numFmtId="0" fontId="1" fillId="19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15" fillId="18" borderId="0" xfId="0" applyFont="1" applyFill="1" applyAlignment="1">
      <alignment horizontal="left"/>
    </xf>
    <xf numFmtId="0" fontId="1" fillId="21" borderId="0" xfId="0" applyFont="1" applyFill="1" applyAlignment="1">
      <alignment horizontal="left"/>
    </xf>
    <xf numFmtId="0" fontId="13" fillId="17" borderId="0" xfId="0" applyFont="1" applyFill="1" applyAlignment="1">
      <alignment horizontal="left" wrapText="1"/>
    </xf>
    <xf numFmtId="0" fontId="1" fillId="20" borderId="0" xfId="0" applyFont="1" applyFill="1" applyAlignment="1">
      <alignment horizontal="left" wrapText="1"/>
    </xf>
    <xf numFmtId="0" fontId="16" fillId="0" borderId="0" xfId="0" applyFont="1" applyAlignment="1">
      <alignment horizontal="left" wrapText="1"/>
    </xf>
    <xf numFmtId="0" fontId="1" fillId="19" borderId="0" xfId="0" applyFont="1" applyFill="1" applyAlignment="1">
      <alignment horizontal="left" wrapText="1"/>
    </xf>
    <xf numFmtId="0" fontId="4" fillId="7" borderId="1" xfId="0" applyFont="1" applyFill="1" applyBorder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" fillId="11" borderId="0" xfId="0" applyFont="1" applyFill="1" applyAlignment="1">
      <alignment horizontal="center" vertical="top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1" fillId="21" borderId="1" xfId="0" applyFont="1" applyFill="1" applyBorder="1" applyAlignment="1">
      <alignment horizontal="left" wrapText="1"/>
    </xf>
    <xf numFmtId="0" fontId="13" fillId="19" borderId="0" xfId="0" applyFont="1" applyFill="1" applyAlignment="1">
      <alignment horizontal="left" wrapText="1"/>
    </xf>
    <xf numFmtId="0" fontId="1" fillId="27" borderId="0" xfId="0" applyFont="1" applyFill="1" applyAlignment="1">
      <alignment horizontal="left"/>
    </xf>
    <xf numFmtId="0" fontId="1" fillId="23" borderId="1" xfId="0" applyFont="1" applyFill="1" applyBorder="1" applyAlignment="1">
      <alignment horizontal="left" wrapText="1"/>
    </xf>
    <xf numFmtId="0" fontId="4" fillId="8" borderId="1" xfId="0" applyFont="1" applyFill="1" applyBorder="1" applyAlignment="1">
      <alignment horizontal="left" wrapText="1"/>
    </xf>
    <xf numFmtId="0" fontId="1" fillId="26" borderId="0" xfId="0" applyFont="1" applyFill="1" applyAlignment="1">
      <alignment horizontal="left"/>
    </xf>
    <xf numFmtId="0" fontId="1" fillId="16" borderId="0" xfId="0" applyFont="1" applyFill="1" applyAlignment="1">
      <alignment horizontal="left"/>
    </xf>
    <xf numFmtId="0" fontId="4" fillId="22" borderId="1" xfId="0" applyFont="1" applyFill="1" applyBorder="1" applyAlignment="1">
      <alignment horizontal="left" wrapText="1"/>
    </xf>
    <xf numFmtId="0" fontId="15" fillId="17" borderId="0" xfId="0" applyFont="1" applyFill="1" applyAlignment="1">
      <alignment horizontal="left"/>
    </xf>
    <xf numFmtId="0" fontId="4" fillId="30" borderId="0" xfId="0" applyFont="1" applyFill="1" applyAlignment="1">
      <alignment horizontal="left"/>
    </xf>
    <xf numFmtId="0" fontId="1" fillId="30" borderId="0" xfId="0" applyFont="1" applyFill="1" applyAlignment="1">
      <alignment horizontal="left" wrapText="1"/>
    </xf>
    <xf numFmtId="0" fontId="1" fillId="30" borderId="0" xfId="0" applyFont="1" applyFill="1" applyAlignment="1">
      <alignment horizontal="left"/>
    </xf>
    <xf numFmtId="14" fontId="1" fillId="30" borderId="0" xfId="0" applyNumberFormat="1" applyFont="1" applyFill="1" applyAlignment="1">
      <alignment horizontal="left"/>
    </xf>
    <xf numFmtId="2" fontId="1" fillId="30" borderId="0" xfId="0" applyNumberFormat="1" applyFont="1" applyFill="1" applyAlignment="1">
      <alignment horizontal="left"/>
    </xf>
    <xf numFmtId="49" fontId="1" fillId="30" borderId="0" xfId="0" applyNumberFormat="1" applyFont="1" applyFill="1" applyAlignment="1">
      <alignment horizontal="left"/>
    </xf>
    <xf numFmtId="0" fontId="7" fillId="24" borderId="1" xfId="0" applyFont="1" applyFill="1" applyBorder="1" applyAlignment="1">
      <alignment vertical="top" wrapText="1"/>
    </xf>
    <xf numFmtId="14" fontId="1" fillId="10" borderId="0" xfId="0" applyNumberFormat="1" applyFont="1" applyFill="1" applyAlignment="1">
      <alignment vertical="top" wrapText="1"/>
    </xf>
    <xf numFmtId="0" fontId="1" fillId="10" borderId="0" xfId="0" applyFont="1" applyFill="1" applyAlignment="1">
      <alignment vertical="top" wrapText="1"/>
    </xf>
    <xf numFmtId="14" fontId="1" fillId="3" borderId="0" xfId="0" applyNumberFormat="1" applyFont="1" applyFill="1" applyAlignment="1">
      <alignment horizontal="left" vertical="top"/>
    </xf>
    <xf numFmtId="0" fontId="8" fillId="17" borderId="0" xfId="0" applyFont="1" applyFill="1" applyAlignment="1">
      <alignment vertical="top" wrapText="1"/>
    </xf>
    <xf numFmtId="0" fontId="1" fillId="34" borderId="0" xfId="0" applyFont="1" applyFill="1" applyAlignment="1">
      <alignment horizontal="center" vertical="top"/>
    </xf>
    <xf numFmtId="0" fontId="6" fillId="24" borderId="1" xfId="0" applyFont="1" applyFill="1" applyBorder="1" applyAlignment="1">
      <alignment horizontal="left" vertical="top" wrapText="1"/>
    </xf>
    <xf numFmtId="0" fontId="7" fillId="24" borderId="1" xfId="0" applyFont="1" applyFill="1" applyBorder="1" applyAlignment="1">
      <alignment horizontal="left" vertical="top" wrapText="1"/>
    </xf>
    <xf numFmtId="14" fontId="1" fillId="10" borderId="0" xfId="0" applyNumberFormat="1" applyFont="1" applyFill="1" applyAlignment="1">
      <alignment horizontal="left" vertical="top" wrapText="1"/>
    </xf>
    <xf numFmtId="0" fontId="9" fillId="35" borderId="15" xfId="0" applyFont="1" applyFill="1" applyBorder="1" applyAlignment="1">
      <alignment horizontal="left" vertical="top"/>
    </xf>
    <xf numFmtId="0" fontId="2" fillId="2" borderId="0" xfId="0" applyFont="1" applyFill="1" applyAlignment="1">
      <alignment vertical="top"/>
    </xf>
    <xf numFmtId="0" fontId="4" fillId="10" borderId="1" xfId="0" applyFont="1" applyFill="1" applyBorder="1" applyAlignment="1">
      <alignment horizontal="left" vertical="top" wrapText="1"/>
    </xf>
    <xf numFmtId="0" fontId="1" fillId="36" borderId="0" xfId="0" applyFont="1" applyFill="1" applyAlignment="1">
      <alignment vertical="top"/>
    </xf>
    <xf numFmtId="0" fontId="4" fillId="10" borderId="0" xfId="0" applyFont="1" applyFill="1" applyAlignment="1">
      <alignment horizontal="left" vertical="top"/>
    </xf>
    <xf numFmtId="0" fontId="31" fillId="10" borderId="0" xfId="0" applyFont="1" applyFill="1" applyAlignment="1">
      <alignment horizontal="left" vertical="top"/>
    </xf>
    <xf numFmtId="0" fontId="1" fillId="2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165" fontId="1" fillId="7" borderId="0" xfId="0" applyNumberFormat="1" applyFont="1" applyFill="1" applyAlignment="1">
      <alignment vertical="top"/>
    </xf>
    <xf numFmtId="0" fontId="9" fillId="7" borderId="0" xfId="0" applyFont="1" applyFill="1" applyAlignment="1">
      <alignment vertical="top"/>
    </xf>
    <xf numFmtId="0" fontId="4" fillId="10" borderId="1" xfId="0" applyFont="1" applyFill="1" applyBorder="1" applyAlignment="1">
      <alignment vertical="top" wrapText="1"/>
    </xf>
    <xf numFmtId="0" fontId="1" fillId="10" borderId="0" xfId="0" applyFont="1" applyFill="1" applyAlignment="1">
      <alignment vertical="top"/>
    </xf>
    <xf numFmtId="0" fontId="32" fillId="37" borderId="0" xfId="0" applyFont="1" applyFill="1" applyAlignment="1">
      <alignment vertical="top"/>
    </xf>
    <xf numFmtId="0" fontId="33" fillId="38" borderId="0" xfId="0" applyFont="1" applyFill="1" applyAlignment="1">
      <alignment wrapText="1"/>
    </xf>
    <xf numFmtId="0" fontId="4" fillId="24" borderId="1" xfId="0" applyFont="1" applyFill="1" applyBorder="1" applyAlignment="1">
      <alignment horizontal="left" vertical="top" wrapText="1"/>
    </xf>
    <xf numFmtId="14" fontId="1" fillId="17" borderId="0" xfId="0" applyNumberFormat="1" applyFont="1" applyFill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1" fillId="13" borderId="0" xfId="0" applyFont="1" applyFill="1" applyAlignment="1">
      <alignment vertical="top"/>
    </xf>
    <xf numFmtId="0" fontId="8" fillId="0" borderId="0" xfId="0" applyFont="1" applyAlignment="1">
      <alignment horizontal="left" vertical="top"/>
    </xf>
    <xf numFmtId="0" fontId="34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6" fillId="10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49" fontId="1" fillId="10" borderId="0" xfId="0" applyNumberFormat="1" applyFont="1" applyFill="1" applyAlignment="1">
      <alignment vertical="top"/>
    </xf>
    <xf numFmtId="0" fontId="35" fillId="0" borderId="0" xfId="0" applyFont="1" applyAlignment="1">
      <alignment vertical="center"/>
    </xf>
    <xf numFmtId="0" fontId="17" fillId="10" borderId="1" xfId="0" applyFont="1" applyFill="1" applyBorder="1" applyAlignment="1">
      <alignment horizontal="left" vertical="top" wrapText="1"/>
    </xf>
    <xf numFmtId="14" fontId="1" fillId="10" borderId="0" xfId="0" applyNumberFormat="1" applyFont="1" applyFill="1" applyAlignment="1">
      <alignment horizontal="left" vertical="top"/>
    </xf>
    <xf numFmtId="0" fontId="15" fillId="0" borderId="0" xfId="0" applyFont="1" applyAlignment="1">
      <alignment vertical="top"/>
    </xf>
    <xf numFmtId="0" fontId="36" fillId="0" borderId="0" xfId="0" applyFont="1" applyAlignment="1">
      <alignment horizontal="left" vertical="top"/>
    </xf>
    <xf numFmtId="0" fontId="13" fillId="10" borderId="0" xfId="0" applyFont="1" applyFill="1" applyAlignment="1">
      <alignment horizontal="left" vertical="top" wrapText="1"/>
    </xf>
    <xf numFmtId="0" fontId="14" fillId="10" borderId="0" xfId="0" applyFont="1" applyFill="1" applyAlignment="1">
      <alignment horizontal="left" vertical="top" wrapText="1"/>
    </xf>
    <xf numFmtId="0" fontId="30" fillId="10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6" borderId="0" xfId="0" applyFont="1" applyFill="1"/>
    <xf numFmtId="0" fontId="5" fillId="10" borderId="0" xfId="0" applyFont="1" applyFill="1" applyAlignment="1">
      <alignment horizontal="left" vertical="top" wrapText="1"/>
    </xf>
    <xf numFmtId="0" fontId="9" fillId="10" borderId="0" xfId="0" applyFont="1" applyFill="1" applyAlignment="1">
      <alignment horizontal="left" vertical="top"/>
    </xf>
    <xf numFmtId="0" fontId="37" fillId="0" borderId="0" xfId="0" applyFont="1" applyAlignment="1">
      <alignment vertical="center"/>
    </xf>
    <xf numFmtId="0" fontId="30" fillId="32" borderId="0" xfId="0" applyFont="1" applyFill="1"/>
    <xf numFmtId="0" fontId="36" fillId="0" borderId="0" xfId="0" applyFont="1"/>
    <xf numFmtId="0" fontId="38" fillId="35" borderId="0" xfId="0" applyFont="1" applyFill="1"/>
    <xf numFmtId="0" fontId="10" fillId="10" borderId="0" xfId="0" applyFont="1" applyFill="1" applyAlignment="1">
      <alignment horizontal="left" vertical="top"/>
    </xf>
    <xf numFmtId="0" fontId="30" fillId="10" borderId="0" xfId="0" applyFont="1" applyFill="1" applyAlignment="1">
      <alignment vertical="top"/>
    </xf>
    <xf numFmtId="0" fontId="10" fillId="10" borderId="0" xfId="0" applyFont="1" applyFill="1" applyAlignment="1">
      <alignment vertical="top"/>
    </xf>
    <xf numFmtId="14" fontId="1" fillId="10" borderId="0" xfId="0" applyNumberFormat="1" applyFont="1" applyFill="1" applyAlignment="1">
      <alignment vertical="top"/>
    </xf>
    <xf numFmtId="0" fontId="38" fillId="10" borderId="0" xfId="0" applyFont="1" applyFill="1" applyAlignment="1">
      <alignment vertical="top"/>
    </xf>
    <xf numFmtId="0" fontId="8" fillId="10" borderId="0" xfId="0" applyFont="1" applyFill="1" applyAlignment="1">
      <alignment vertical="top"/>
    </xf>
    <xf numFmtId="0" fontId="4" fillId="0" borderId="16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1" fillId="0" borderId="17" xfId="0" applyFont="1" applyBorder="1" applyAlignment="1">
      <alignment vertical="top"/>
    </xf>
    <xf numFmtId="0" fontId="1" fillId="10" borderId="18" xfId="0" applyFont="1" applyFill="1" applyBorder="1" applyAlignment="1">
      <alignment horizontal="center" vertical="top"/>
    </xf>
    <xf numFmtId="0" fontId="1" fillId="10" borderId="17" xfId="0" applyFont="1" applyFill="1" applyBorder="1" applyAlignment="1">
      <alignment wrapText="1"/>
    </xf>
    <xf numFmtId="165" fontId="1" fillId="7" borderId="17" xfId="0" applyNumberFormat="1" applyFont="1" applyFill="1" applyBorder="1" applyAlignment="1">
      <alignment horizontal="left" vertical="top"/>
    </xf>
    <xf numFmtId="0" fontId="1" fillId="0" borderId="17" xfId="0" applyFont="1" applyBorder="1" applyAlignment="1">
      <alignment wrapText="1"/>
    </xf>
    <xf numFmtId="0" fontId="1" fillId="10" borderId="5" xfId="0" applyFont="1" applyFill="1" applyBorder="1" applyAlignment="1">
      <alignment horizontal="right" vertical="top" wrapText="1"/>
    </xf>
    <xf numFmtId="0" fontId="1" fillId="10" borderId="6" xfId="0" applyFont="1" applyFill="1" applyBorder="1" applyAlignment="1">
      <alignment horizontal="left" vertical="top" wrapText="1"/>
    </xf>
    <xf numFmtId="0" fontId="1" fillId="10" borderId="6" xfId="0" applyFont="1" applyFill="1" applyBorder="1" applyAlignment="1">
      <alignment wrapText="1"/>
    </xf>
    <xf numFmtId="14" fontId="1" fillId="3" borderId="6" xfId="0" applyNumberFormat="1" applyFont="1" applyFill="1" applyBorder="1" applyAlignment="1">
      <alignment horizontal="left" vertical="top"/>
    </xf>
    <xf numFmtId="165" fontId="1" fillId="7" borderId="6" xfId="0" applyNumberFormat="1" applyFont="1" applyFill="1" applyBorder="1" applyAlignment="1">
      <alignment horizontal="left" vertical="top"/>
    </xf>
    <xf numFmtId="0" fontId="1" fillId="0" borderId="6" xfId="0" applyFont="1" applyBorder="1" applyAlignment="1">
      <alignment wrapText="1"/>
    </xf>
    <xf numFmtId="0" fontId="1" fillId="10" borderId="10" xfId="0" applyFont="1" applyFill="1" applyBorder="1" applyAlignment="1">
      <alignment horizontal="left" vertical="top" wrapText="1"/>
    </xf>
    <xf numFmtId="0" fontId="1" fillId="10" borderId="10" xfId="0" applyFont="1" applyFill="1" applyBorder="1" applyAlignment="1">
      <alignment wrapText="1"/>
    </xf>
    <xf numFmtId="14" fontId="1" fillId="3" borderId="10" xfId="0" applyNumberFormat="1" applyFont="1" applyFill="1" applyBorder="1" applyAlignment="1">
      <alignment horizontal="left" vertical="top"/>
    </xf>
    <xf numFmtId="165" fontId="1" fillId="7" borderId="10" xfId="0" applyNumberFormat="1" applyFont="1" applyFill="1" applyBorder="1" applyAlignment="1">
      <alignment horizontal="left" vertical="top"/>
    </xf>
    <xf numFmtId="0" fontId="1" fillId="0" borderId="10" xfId="0" applyFont="1" applyBorder="1" applyAlignment="1">
      <alignment wrapText="1"/>
    </xf>
    <xf numFmtId="0" fontId="15" fillId="0" borderId="0" xfId="0" applyFont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10" borderId="18" xfId="0" applyFont="1" applyFill="1" applyBorder="1" applyAlignment="1">
      <alignment wrapText="1"/>
    </xf>
    <xf numFmtId="0" fontId="4" fillId="10" borderId="20" xfId="0" applyFont="1" applyFill="1" applyBorder="1" applyAlignment="1">
      <alignment horizontal="left" vertical="top" wrapText="1"/>
    </xf>
    <xf numFmtId="0" fontId="4" fillId="10" borderId="20" xfId="0" applyFont="1" applyFill="1" applyBorder="1" applyAlignment="1">
      <alignment vertical="top" wrapText="1"/>
    </xf>
    <xf numFmtId="0" fontId="4" fillId="2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3" borderId="0" xfId="0" applyFont="1" applyFill="1" applyAlignment="1">
      <alignment vertical="top"/>
    </xf>
    <xf numFmtId="0" fontId="4" fillId="10" borderId="0" xfId="0" applyFont="1" applyFill="1" applyAlignment="1">
      <alignment vertical="top"/>
    </xf>
    <xf numFmtId="0" fontId="1" fillId="10" borderId="18" xfId="0" applyFont="1" applyFill="1" applyBorder="1" applyAlignment="1">
      <alignment vertical="top" wrapText="1"/>
    </xf>
    <xf numFmtId="0" fontId="1" fillId="10" borderId="17" xfId="0" applyFont="1" applyFill="1" applyBorder="1" applyAlignment="1">
      <alignment vertical="top" wrapText="1"/>
    </xf>
    <xf numFmtId="0" fontId="4" fillId="24" borderId="20" xfId="0" applyFont="1" applyFill="1" applyBorder="1" applyAlignment="1">
      <alignment vertical="top" wrapText="1"/>
    </xf>
    <xf numFmtId="0" fontId="6" fillId="0" borderId="17" xfId="0" applyFont="1" applyBorder="1"/>
    <xf numFmtId="49" fontId="1" fillId="10" borderId="17" xfId="0" applyNumberFormat="1" applyFont="1" applyFill="1" applyBorder="1" applyAlignment="1">
      <alignment vertical="top"/>
    </xf>
    <xf numFmtId="0" fontId="4" fillId="10" borderId="17" xfId="0" applyFont="1" applyFill="1" applyBorder="1" applyAlignment="1">
      <alignment vertical="top"/>
    </xf>
    <xf numFmtId="0" fontId="5" fillId="10" borderId="20" xfId="0" applyFont="1" applyFill="1" applyBorder="1" applyAlignment="1">
      <alignment vertical="top" wrapText="1"/>
    </xf>
    <xf numFmtId="0" fontId="30" fillId="10" borderId="17" xfId="0" applyFont="1" applyFill="1" applyBorder="1" applyAlignment="1">
      <alignment horizontal="left" vertical="top"/>
    </xf>
    <xf numFmtId="49" fontId="1" fillId="10" borderId="17" xfId="0" applyNumberFormat="1" applyFont="1" applyFill="1" applyBorder="1" applyAlignment="1">
      <alignment horizontal="left" vertical="top"/>
    </xf>
    <xf numFmtId="164" fontId="30" fillId="10" borderId="17" xfId="0" applyNumberFormat="1" applyFont="1" applyFill="1" applyBorder="1" applyAlignment="1">
      <alignment horizontal="left" vertical="top"/>
    </xf>
    <xf numFmtId="0" fontId="15" fillId="0" borderId="0" xfId="0" applyFont="1" applyAlignment="1">
      <alignment vertical="center"/>
    </xf>
    <xf numFmtId="0" fontId="30" fillId="10" borderId="0" xfId="0" applyFont="1" applyFill="1" applyAlignment="1">
      <alignment horizontal="left" vertical="top"/>
    </xf>
    <xf numFmtId="49" fontId="1" fillId="10" borderId="0" xfId="0" applyNumberFormat="1" applyFont="1" applyFill="1" applyAlignment="1">
      <alignment horizontal="left" vertical="top"/>
    </xf>
    <xf numFmtId="164" fontId="30" fillId="10" borderId="0" xfId="0" applyNumberFormat="1" applyFont="1" applyFill="1" applyAlignment="1">
      <alignment horizontal="left" vertical="top"/>
    </xf>
    <xf numFmtId="0" fontId="5" fillId="10" borderId="0" xfId="0" applyFont="1" applyFill="1" applyAlignment="1">
      <alignment horizontal="left" vertical="top"/>
    </xf>
    <xf numFmtId="0" fontId="15" fillId="39" borderId="0" xfId="0" applyFont="1" applyFill="1" applyAlignment="1">
      <alignment horizontal="left" vertical="top"/>
    </xf>
    <xf numFmtId="0" fontId="15" fillId="6" borderId="0" xfId="0" applyFont="1" applyFill="1" applyAlignment="1">
      <alignment vertical="top"/>
    </xf>
    <xf numFmtId="0" fontId="1" fillId="10" borderId="17" xfId="0" applyFont="1" applyFill="1" applyBorder="1" applyAlignment="1">
      <alignment horizontal="left" vertical="top" wrapText="1"/>
    </xf>
    <xf numFmtId="0" fontId="5" fillId="10" borderId="17" xfId="0" applyFont="1" applyFill="1" applyBorder="1" applyAlignment="1">
      <alignment horizontal="left" vertical="top"/>
    </xf>
    <xf numFmtId="0" fontId="5" fillId="10" borderId="20" xfId="0" applyFont="1" applyFill="1" applyBorder="1" applyAlignment="1">
      <alignment horizontal="left" vertical="top" wrapText="1"/>
    </xf>
    <xf numFmtId="0" fontId="15" fillId="39" borderId="17" xfId="0" applyFont="1" applyFill="1" applyBorder="1" applyAlignment="1">
      <alignment horizontal="left" vertical="top"/>
    </xf>
    <xf numFmtId="0" fontId="5" fillId="0" borderId="0" xfId="0" applyFont="1"/>
    <xf numFmtId="0" fontId="5" fillId="24" borderId="21" xfId="0" applyFont="1" applyFill="1" applyBorder="1" applyAlignment="1">
      <alignment wrapText="1"/>
    </xf>
    <xf numFmtId="0" fontId="1" fillId="3" borderId="0" xfId="0" applyFont="1" applyFill="1" applyAlignment="1">
      <alignment vertical="top" wrapText="1"/>
    </xf>
    <xf numFmtId="0" fontId="8" fillId="3" borderId="0" xfId="0" applyFont="1" applyFill="1" applyAlignment="1">
      <alignment horizontal="left" vertical="top"/>
    </xf>
    <xf numFmtId="0" fontId="5" fillId="24" borderId="1" xfId="0" applyFont="1" applyFill="1" applyBorder="1" applyAlignment="1">
      <alignment horizontal="left" vertical="top" wrapText="1"/>
    </xf>
    <xf numFmtId="0" fontId="5" fillId="24" borderId="1" xfId="0" applyFont="1" applyFill="1" applyBorder="1" applyAlignment="1">
      <alignment vertical="top" wrapText="1"/>
    </xf>
    <xf numFmtId="0" fontId="5" fillId="10" borderId="17" xfId="0" applyFont="1" applyFill="1" applyBorder="1" applyAlignment="1">
      <alignment horizontal="left" vertical="top" wrapText="1"/>
    </xf>
    <xf numFmtId="0" fontId="17" fillId="10" borderId="20" xfId="0" applyFont="1" applyFill="1" applyBorder="1" applyAlignment="1">
      <alignment horizontal="left" vertical="top" wrapText="1"/>
    </xf>
    <xf numFmtId="14" fontId="1" fillId="10" borderId="17" xfId="0" applyNumberFormat="1" applyFont="1" applyFill="1" applyBorder="1" applyAlignment="1">
      <alignment horizontal="left" vertical="top"/>
    </xf>
    <xf numFmtId="0" fontId="8" fillId="10" borderId="17" xfId="0" applyFont="1" applyFill="1" applyBorder="1" applyAlignment="1">
      <alignment horizontal="left" vertical="top"/>
    </xf>
    <xf numFmtId="0" fontId="1" fillId="10" borderId="18" xfId="0" applyFont="1" applyFill="1" applyBorder="1" applyAlignment="1">
      <alignment horizontal="left" vertical="top" wrapText="1"/>
    </xf>
    <xf numFmtId="0" fontId="1" fillId="3" borderId="17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vertical="top" wrapText="1"/>
    </xf>
    <xf numFmtId="0" fontId="1" fillId="26" borderId="0" xfId="0" applyFont="1" applyFill="1" applyAlignment="1">
      <alignment vertical="top"/>
    </xf>
    <xf numFmtId="0" fontId="1" fillId="13" borderId="0" xfId="0" applyFont="1" applyFill="1" applyAlignment="1">
      <alignment wrapText="1"/>
    </xf>
    <xf numFmtId="0" fontId="10" fillId="6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1" fillId="0" borderId="6" xfId="0" applyFont="1" applyBorder="1" applyAlignment="1">
      <alignment vertical="top"/>
    </xf>
    <xf numFmtId="0" fontId="1" fillId="10" borderId="5" xfId="0" applyFont="1" applyFill="1" applyBorder="1" applyAlignment="1">
      <alignment horizontal="center" vertical="top"/>
    </xf>
    <xf numFmtId="0" fontId="4" fillId="10" borderId="23" xfId="0" applyFont="1" applyFill="1" applyBorder="1" applyAlignment="1">
      <alignment horizontal="left" vertical="top" wrapText="1"/>
    </xf>
    <xf numFmtId="0" fontId="7" fillId="10" borderId="23" xfId="0" applyFont="1" applyFill="1" applyBorder="1" applyAlignment="1">
      <alignment horizontal="left" vertical="top" wrapText="1"/>
    </xf>
    <xf numFmtId="0" fontId="9" fillId="10" borderId="6" xfId="0" applyFont="1" applyFill="1" applyBorder="1" applyAlignment="1">
      <alignment horizontal="left" vertical="top"/>
    </xf>
    <xf numFmtId="49" fontId="1" fillId="10" borderId="6" xfId="0" applyNumberFormat="1" applyFont="1" applyFill="1" applyBorder="1" applyAlignment="1">
      <alignment horizontal="left" vertical="top"/>
    </xf>
    <xf numFmtId="0" fontId="7" fillId="10" borderId="20" xfId="0" applyFont="1" applyFill="1" applyBorder="1" applyAlignment="1">
      <alignment horizontal="left" vertical="top" wrapText="1"/>
    </xf>
    <xf numFmtId="0" fontId="9" fillId="10" borderId="17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49" fontId="8" fillId="10" borderId="0" xfId="0" applyNumberFormat="1" applyFont="1" applyFill="1" applyAlignment="1">
      <alignment horizontal="left" vertical="top"/>
    </xf>
    <xf numFmtId="0" fontId="1" fillId="3" borderId="17" xfId="0" applyFont="1" applyFill="1" applyBorder="1" applyAlignment="1">
      <alignment vertical="top"/>
    </xf>
    <xf numFmtId="0" fontId="5" fillId="10" borderId="17" xfId="0" applyFont="1" applyFill="1" applyBorder="1"/>
    <xf numFmtId="0" fontId="5" fillId="10" borderId="17" xfId="0" applyFont="1" applyFill="1" applyBorder="1" applyAlignment="1">
      <alignment vertical="top"/>
    </xf>
    <xf numFmtId="0" fontId="1" fillId="0" borderId="0" xfId="0" applyFont="1" applyAlignment="1">
      <alignment horizontal="right" vertical="top" wrapText="1"/>
    </xf>
    <xf numFmtId="0" fontId="1" fillId="10" borderId="18" xfId="0" applyFont="1" applyFill="1" applyBorder="1" applyAlignment="1">
      <alignment horizontal="right" vertical="top" wrapText="1"/>
    </xf>
    <xf numFmtId="0" fontId="1" fillId="6" borderId="17" xfId="0" applyFont="1" applyFill="1" applyBorder="1" applyAlignment="1">
      <alignment horizontal="left" vertical="top"/>
    </xf>
    <xf numFmtId="0" fontId="1" fillId="0" borderId="17" xfId="0" applyFont="1" applyBorder="1" applyAlignment="1">
      <alignment horizontal="center" vertical="top"/>
    </xf>
    <xf numFmtId="0" fontId="1" fillId="10" borderId="18" xfId="0" applyFont="1" applyFill="1" applyBorder="1" applyAlignment="1">
      <alignment horizontal="center" vertical="top" wrapText="1"/>
    </xf>
    <xf numFmtId="0" fontId="1" fillId="10" borderId="17" xfId="0" applyFont="1" applyFill="1" applyBorder="1" applyAlignment="1">
      <alignment horizontal="center" vertical="top" wrapText="1"/>
    </xf>
    <xf numFmtId="0" fontId="4" fillId="10" borderId="17" xfId="0" applyFont="1" applyFill="1" applyBorder="1" applyAlignment="1">
      <alignment horizontal="center" vertical="top"/>
    </xf>
    <xf numFmtId="0" fontId="30" fillId="10" borderId="17" xfId="0" applyFont="1" applyFill="1" applyBorder="1" applyAlignment="1">
      <alignment horizontal="center" vertical="top"/>
    </xf>
    <xf numFmtId="49" fontId="25" fillId="10" borderId="17" xfId="0" applyNumberFormat="1" applyFont="1" applyFill="1" applyBorder="1" applyAlignment="1">
      <alignment horizontal="center" vertical="top"/>
    </xf>
    <xf numFmtId="14" fontId="1" fillId="10" borderId="17" xfId="0" applyNumberFormat="1" applyFont="1" applyFill="1" applyBorder="1" applyAlignment="1">
      <alignment horizontal="center" vertical="top"/>
    </xf>
    <xf numFmtId="49" fontId="1" fillId="10" borderId="17" xfId="0" applyNumberFormat="1" applyFont="1" applyFill="1" applyBorder="1" applyAlignment="1">
      <alignment horizontal="center" vertical="top"/>
    </xf>
    <xf numFmtId="165" fontId="1" fillId="7" borderId="17" xfId="0" applyNumberFormat="1" applyFont="1" applyFill="1" applyBorder="1" applyAlignment="1">
      <alignment horizontal="center" vertical="top"/>
    </xf>
    <xf numFmtId="0" fontId="10" fillId="0" borderId="0" xfId="0" applyFont="1"/>
    <xf numFmtId="14" fontId="1" fillId="3" borderId="17" xfId="0" applyNumberFormat="1" applyFont="1" applyFill="1" applyBorder="1" applyAlignment="1">
      <alignment horizontal="left" vertical="top"/>
    </xf>
    <xf numFmtId="0" fontId="4" fillId="10" borderId="1" xfId="0" applyFont="1" applyFill="1" applyBorder="1" applyAlignment="1">
      <alignment wrapText="1"/>
    </xf>
    <xf numFmtId="0" fontId="1" fillId="10" borderId="0" xfId="0" applyFont="1" applyFill="1" applyAlignment="1">
      <alignment vertical="center" wrapText="1"/>
    </xf>
    <xf numFmtId="0" fontId="1" fillId="8" borderId="6" xfId="0" applyFont="1" applyFill="1" applyBorder="1" applyAlignment="1">
      <alignment horizontal="left" vertical="top" wrapText="1"/>
    </xf>
    <xf numFmtId="0" fontId="1" fillId="0" borderId="6" xfId="0" applyFont="1" applyBorder="1" applyAlignment="1">
      <alignment vertical="center" wrapText="1"/>
    </xf>
    <xf numFmtId="0" fontId="5" fillId="24" borderId="24" xfId="0" applyFont="1" applyFill="1" applyBorder="1" applyAlignment="1">
      <alignment horizontal="left" vertical="top" wrapText="1"/>
    </xf>
    <xf numFmtId="0" fontId="1" fillId="11" borderId="6" xfId="0" applyFont="1" applyFill="1" applyBorder="1" applyAlignment="1">
      <alignment horizontal="left" vertical="top"/>
    </xf>
    <xf numFmtId="0" fontId="17" fillId="24" borderId="24" xfId="0" applyFont="1" applyFill="1" applyBorder="1" applyAlignment="1">
      <alignment horizontal="left" vertical="top" wrapText="1"/>
    </xf>
    <xf numFmtId="14" fontId="1" fillId="0" borderId="6" xfId="0" applyNumberFormat="1" applyFont="1" applyBorder="1" applyAlignment="1">
      <alignment horizontal="left" vertical="top"/>
    </xf>
    <xf numFmtId="0" fontId="4" fillId="24" borderId="1" xfId="0" applyFont="1" applyFill="1" applyBorder="1" applyAlignment="1">
      <alignment wrapText="1"/>
    </xf>
    <xf numFmtId="0" fontId="1" fillId="0" borderId="0" xfId="0" applyFont="1" applyAlignment="1">
      <alignment vertical="center" wrapText="1"/>
    </xf>
    <xf numFmtId="0" fontId="17" fillId="24" borderId="1" xfId="0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 vertical="top"/>
    </xf>
    <xf numFmtId="0" fontId="1" fillId="10" borderId="0" xfId="0" applyFont="1" applyFill="1" applyAlignment="1">
      <alignment horizontal="right" vertical="top" wrapText="1"/>
    </xf>
    <xf numFmtId="0" fontId="17" fillId="10" borderId="20" xfId="0" applyFont="1" applyFill="1" applyBorder="1" applyAlignment="1">
      <alignment vertical="top" wrapText="1"/>
    </xf>
    <xf numFmtId="0" fontId="1" fillId="10" borderId="1" xfId="0" applyFont="1" applyFill="1" applyBorder="1" applyAlignment="1">
      <alignment horizontal="left" vertical="top" wrapText="1"/>
    </xf>
    <xf numFmtId="164" fontId="30" fillId="10" borderId="0" xfId="0" applyNumberFormat="1" applyFont="1" applyFill="1" applyAlignment="1">
      <alignment vertical="top"/>
    </xf>
    <xf numFmtId="0" fontId="1" fillId="10" borderId="0" xfId="0" applyFont="1" applyFill="1" applyAlignment="1">
      <alignment horizontal="center" wrapText="1"/>
    </xf>
    <xf numFmtId="0" fontId="40" fillId="10" borderId="1" xfId="0" applyFont="1" applyFill="1" applyBorder="1" applyAlignment="1">
      <alignment horizontal="left" vertical="top" wrapText="1"/>
    </xf>
    <xf numFmtId="0" fontId="30" fillId="10" borderId="0" xfId="0" applyFont="1" applyFill="1" applyAlignment="1">
      <alignment horizontal="left" vertical="top" wrapText="1"/>
    </xf>
    <xf numFmtId="14" fontId="30" fillId="10" borderId="0" xfId="0" applyNumberFormat="1" applyFont="1" applyFill="1" applyAlignment="1">
      <alignment horizontal="left" vertical="top"/>
    </xf>
    <xf numFmtId="0" fontId="40" fillId="0" borderId="0" xfId="0" applyFont="1"/>
    <xf numFmtId="0" fontId="4" fillId="10" borderId="24" xfId="0" applyFont="1" applyFill="1" applyBorder="1" applyAlignment="1">
      <alignment horizontal="left" vertical="top" wrapText="1"/>
    </xf>
    <xf numFmtId="0" fontId="41" fillId="10" borderId="6" xfId="0" applyFont="1" applyFill="1" applyBorder="1"/>
    <xf numFmtId="0" fontId="1" fillId="10" borderId="6" xfId="0" applyFont="1" applyFill="1" applyBorder="1"/>
    <xf numFmtId="49" fontId="1" fillId="10" borderId="6" xfId="0" applyNumberFormat="1" applyFont="1" applyFill="1" applyBorder="1" applyAlignment="1">
      <alignment vertical="top"/>
    </xf>
    <xf numFmtId="0" fontId="1" fillId="3" borderId="6" xfId="0" applyFont="1" applyFill="1" applyBorder="1" applyAlignment="1">
      <alignment vertical="top"/>
    </xf>
    <xf numFmtId="0" fontId="1" fillId="10" borderId="8" xfId="0" applyFont="1" applyFill="1" applyBorder="1" applyAlignment="1">
      <alignment horizontal="center" vertical="top"/>
    </xf>
    <xf numFmtId="0" fontId="41" fillId="10" borderId="0" xfId="0" applyFont="1" applyFill="1"/>
    <xf numFmtId="0" fontId="1" fillId="10" borderId="0" xfId="0" applyFont="1" applyFill="1"/>
    <xf numFmtId="0" fontId="1" fillId="0" borderId="10" xfId="0" applyFont="1" applyBorder="1" applyAlignment="1">
      <alignment vertical="top"/>
    </xf>
    <xf numFmtId="0" fontId="1" fillId="10" borderId="19" xfId="0" applyFont="1" applyFill="1" applyBorder="1" applyAlignment="1">
      <alignment horizontal="center" vertical="top"/>
    </xf>
    <xf numFmtId="0" fontId="4" fillId="10" borderId="25" xfId="0" applyFont="1" applyFill="1" applyBorder="1" applyAlignment="1">
      <alignment horizontal="left" vertical="top" wrapText="1"/>
    </xf>
    <xf numFmtId="0" fontId="41" fillId="10" borderId="10" xfId="0" applyFont="1" applyFill="1" applyBorder="1"/>
    <xf numFmtId="49" fontId="1" fillId="10" borderId="10" xfId="0" applyNumberFormat="1" applyFont="1" applyFill="1" applyBorder="1" applyAlignment="1">
      <alignment vertical="top"/>
    </xf>
    <xf numFmtId="0" fontId="1" fillId="3" borderId="10" xfId="0" applyFont="1" applyFill="1" applyBorder="1" applyAlignment="1">
      <alignment vertical="top"/>
    </xf>
    <xf numFmtId="0" fontId="5" fillId="10" borderId="1" xfId="0" applyFont="1" applyFill="1" applyBorder="1" applyAlignment="1">
      <alignment wrapText="1"/>
    </xf>
    <xf numFmtId="0" fontId="6" fillId="10" borderId="20" xfId="0" applyFont="1" applyFill="1" applyBorder="1" applyAlignment="1">
      <alignment horizontal="left" vertical="top" wrapText="1"/>
    </xf>
    <xf numFmtId="0" fontId="1" fillId="3" borderId="17" xfId="0" applyFont="1" applyFill="1" applyBorder="1" applyAlignment="1">
      <alignment horizontal="left" vertical="top"/>
    </xf>
    <xf numFmtId="0" fontId="10" fillId="10" borderId="0" xfId="0" applyFont="1" applyFill="1"/>
    <xf numFmtId="0" fontId="42" fillId="0" borderId="0" xfId="0" applyFont="1"/>
    <xf numFmtId="0" fontId="4" fillId="10" borderId="17" xfId="0" applyFont="1" applyFill="1" applyBorder="1" applyAlignment="1">
      <alignment vertical="top" wrapText="1"/>
    </xf>
    <xf numFmtId="0" fontId="30" fillId="10" borderId="17" xfId="0" applyFont="1" applyFill="1" applyBorder="1" applyAlignment="1">
      <alignment vertical="top"/>
    </xf>
    <xf numFmtId="0" fontId="30" fillId="3" borderId="17" xfId="0" applyFont="1" applyFill="1" applyBorder="1" applyAlignment="1">
      <alignment vertical="top"/>
    </xf>
    <xf numFmtId="14" fontId="1" fillId="10" borderId="17" xfId="0" applyNumberFormat="1" applyFont="1" applyFill="1" applyBorder="1" applyAlignment="1">
      <alignment vertical="top"/>
    </xf>
    <xf numFmtId="0" fontId="4" fillId="10" borderId="0" xfId="0" applyFont="1" applyFill="1" applyAlignment="1">
      <alignment vertical="top" wrapText="1"/>
    </xf>
    <xf numFmtId="0" fontId="29" fillId="0" borderId="0" xfId="0" applyFont="1"/>
    <xf numFmtId="0" fontId="30" fillId="3" borderId="0" xfId="0" applyFont="1" applyFill="1" applyAlignment="1">
      <alignment vertical="top"/>
    </xf>
    <xf numFmtId="17" fontId="1" fillId="10" borderId="0" xfId="0" applyNumberFormat="1" applyFont="1" applyFill="1" applyAlignment="1">
      <alignment vertical="top" wrapText="1"/>
    </xf>
    <xf numFmtId="0" fontId="5" fillId="24" borderId="1" xfId="0" applyFont="1" applyFill="1" applyBorder="1" applyAlignment="1">
      <alignment wrapText="1"/>
    </xf>
    <xf numFmtId="0" fontId="29" fillId="10" borderId="17" xfId="0" applyFont="1" applyFill="1" applyBorder="1" applyAlignment="1">
      <alignment horizontal="left" vertical="top"/>
    </xf>
    <xf numFmtId="49" fontId="43" fillId="0" borderId="17" xfId="0" applyNumberFormat="1" applyFont="1" applyBorder="1"/>
    <xf numFmtId="0" fontId="44" fillId="10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16" fillId="10" borderId="0" xfId="0" applyFont="1" applyFill="1" applyAlignment="1">
      <alignment horizontal="left" vertical="top" wrapText="1"/>
    </xf>
    <xf numFmtId="14" fontId="9" fillId="10" borderId="0" xfId="0" applyNumberFormat="1" applyFont="1" applyFill="1" applyAlignment="1">
      <alignment horizontal="left" vertical="top"/>
    </xf>
    <xf numFmtId="14" fontId="5" fillId="10" borderId="0" xfId="0" applyNumberFormat="1" applyFont="1" applyFill="1" applyAlignment="1">
      <alignment horizontal="left" vertical="top"/>
    </xf>
    <xf numFmtId="0" fontId="1" fillId="10" borderId="12" xfId="0" applyFont="1" applyFill="1" applyBorder="1" applyAlignment="1">
      <alignment horizontal="left" vertical="top"/>
    </xf>
    <xf numFmtId="0" fontId="4" fillId="10" borderId="20" xfId="0" applyFont="1" applyFill="1" applyBorder="1" applyAlignment="1">
      <alignment wrapText="1"/>
    </xf>
    <xf numFmtId="0" fontId="45" fillId="10" borderId="0" xfId="0" applyFont="1" applyFill="1" applyAlignment="1">
      <alignment horizontal="left" vertical="top"/>
    </xf>
    <xf numFmtId="0" fontId="9" fillId="8" borderId="10" xfId="0" applyFont="1" applyFill="1" applyBorder="1" applyAlignment="1">
      <alignment horizontal="left" vertical="top"/>
    </xf>
    <xf numFmtId="0" fontId="1" fillId="4" borderId="0" xfId="0" applyFont="1" applyFill="1" applyAlignment="1">
      <alignment horizontal="left" vertical="top" wrapText="1"/>
    </xf>
    <xf numFmtId="0" fontId="1" fillId="15" borderId="0" xfId="0" applyFont="1" applyFill="1" applyAlignment="1">
      <alignment horizontal="left" vertical="top"/>
    </xf>
    <xf numFmtId="0" fontId="1" fillId="20" borderId="0" xfId="0" applyFont="1" applyFill="1" applyAlignment="1">
      <alignment horizontal="left" vertical="top"/>
    </xf>
    <xf numFmtId="0" fontId="4" fillId="39" borderId="0" xfId="0" applyFont="1" applyFill="1" applyAlignment="1">
      <alignment horizontal="left" vertical="top"/>
    </xf>
    <xf numFmtId="0" fontId="17" fillId="4" borderId="0" xfId="0" applyFont="1" applyFill="1" applyAlignment="1">
      <alignment horizontal="left" vertical="top" wrapText="1"/>
    </xf>
    <xf numFmtId="0" fontId="46" fillId="40" borderId="0" xfId="0" applyFont="1" applyFill="1" applyAlignment="1">
      <alignment horizontal="left" vertical="top"/>
    </xf>
    <xf numFmtId="0" fontId="1" fillId="7" borderId="0" xfId="0" applyFont="1" applyFill="1"/>
    <xf numFmtId="0" fontId="1" fillId="17" borderId="0" xfId="0" applyFont="1" applyFill="1" applyAlignment="1">
      <alignment horizontal="left" vertical="top"/>
    </xf>
    <xf numFmtId="0" fontId="1" fillId="17" borderId="0" xfId="0" applyFont="1" applyFill="1" applyAlignment="1">
      <alignment vertical="top"/>
    </xf>
    <xf numFmtId="0" fontId="1" fillId="19" borderId="0" xfId="0" applyFont="1" applyFill="1" applyAlignment="1">
      <alignment vertical="top"/>
    </xf>
    <xf numFmtId="0" fontId="45" fillId="0" borderId="0" xfId="0" applyFont="1" applyAlignment="1">
      <alignment vertical="center"/>
    </xf>
    <xf numFmtId="0" fontId="4" fillId="41" borderId="0" xfId="0" applyFont="1" applyFill="1"/>
    <xf numFmtId="0" fontId="1" fillId="39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 wrapText="1"/>
    </xf>
    <xf numFmtId="0" fontId="1" fillId="13" borderId="0" xfId="0" applyFont="1" applyFill="1"/>
    <xf numFmtId="0" fontId="53" fillId="2" borderId="0" xfId="0" applyFont="1" applyFill="1" applyAlignment="1">
      <alignment horizontal="left"/>
    </xf>
    <xf numFmtId="0" fontId="56" fillId="2" borderId="0" xfId="0" applyFont="1" applyFill="1" applyAlignment="1">
      <alignment horizontal="left" wrapText="1"/>
    </xf>
    <xf numFmtId="0" fontId="57" fillId="11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20" fillId="8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 wrapText="1"/>
    </xf>
    <xf numFmtId="0" fontId="58" fillId="30" borderId="0" xfId="0" applyFont="1" applyFill="1" applyAlignment="1">
      <alignment horizontal="left"/>
    </xf>
    <xf numFmtId="0" fontId="0" fillId="30" borderId="0" xfId="0" applyFill="1" applyAlignment="1">
      <alignment horizontal="left" wrapText="1"/>
    </xf>
    <xf numFmtId="0" fontId="58" fillId="0" borderId="0" xfId="0" applyFont="1" applyAlignment="1">
      <alignment horizontal="left"/>
    </xf>
    <xf numFmtId="0" fontId="55" fillId="8" borderId="0" xfId="0" applyFont="1" applyFill="1" applyAlignment="1">
      <alignment vertical="top" wrapText="1"/>
    </xf>
    <xf numFmtId="0" fontId="58" fillId="34" borderId="0" xfId="0" applyFont="1" applyFill="1" applyAlignment="1">
      <alignment horizontal="center" vertical="top"/>
    </xf>
    <xf numFmtId="0" fontId="0" fillId="7" borderId="0" xfId="0" applyFill="1" applyAlignment="1">
      <alignment vertical="top" wrapText="1"/>
    </xf>
    <xf numFmtId="0" fontId="0" fillId="15" borderId="0" xfId="0" applyFill="1" applyAlignment="1">
      <alignment horizontal="left" vertical="top" wrapText="1"/>
    </xf>
    <xf numFmtId="0" fontId="66" fillId="0" borderId="1" xfId="0" applyFont="1" applyBorder="1" applyAlignment="1">
      <alignment vertical="top" wrapText="1"/>
    </xf>
    <xf numFmtId="0" fontId="52" fillId="15" borderId="0" xfId="0" applyFont="1" applyFill="1" applyAlignment="1">
      <alignment horizontal="left" vertical="top"/>
    </xf>
    <xf numFmtId="0" fontId="20" fillId="15" borderId="0" xfId="0" applyFont="1" applyFill="1" applyAlignment="1">
      <alignment horizontal="left" vertical="top"/>
    </xf>
    <xf numFmtId="14" fontId="52" fillId="15" borderId="0" xfId="0" applyNumberFormat="1" applyFont="1" applyFill="1" applyAlignment="1">
      <alignment horizontal="left" vertical="top"/>
    </xf>
    <xf numFmtId="14" fontId="0" fillId="15" borderId="0" xfId="0" applyNumberFormat="1" applyFill="1" applyAlignment="1">
      <alignment horizontal="left" vertical="top"/>
    </xf>
    <xf numFmtId="0" fontId="0" fillId="15" borderId="0" xfId="0" applyFill="1" applyAlignment="1">
      <alignment horizontal="left" vertical="top"/>
    </xf>
    <xf numFmtId="0" fontId="0" fillId="0" borderId="0" xfId="0" applyAlignment="1">
      <alignment horizontal="center" vertical="center"/>
    </xf>
    <xf numFmtId="0" fontId="59" fillId="30" borderId="0" xfId="0" applyFont="1" applyFill="1" applyAlignment="1">
      <alignment horizontal="left"/>
    </xf>
    <xf numFmtId="0" fontId="0" fillId="13" borderId="0" xfId="0" applyFill="1" applyAlignment="1">
      <alignment horizontal="left"/>
    </xf>
    <xf numFmtId="0" fontId="20" fillId="30" borderId="0" xfId="0" applyFont="1" applyFill="1" applyAlignment="1">
      <alignment horizontal="left"/>
    </xf>
    <xf numFmtId="0" fontId="0" fillId="30" borderId="0" xfId="0" applyFill="1" applyAlignment="1">
      <alignment horizontal="left"/>
    </xf>
    <xf numFmtId="14" fontId="0" fillId="30" borderId="0" xfId="0" applyNumberFormat="1" applyFill="1" applyAlignment="1">
      <alignment horizontal="left"/>
    </xf>
    <xf numFmtId="49" fontId="0" fillId="30" borderId="0" xfId="0" applyNumberFormat="1" applyFill="1" applyAlignment="1">
      <alignment horizontal="left"/>
    </xf>
    <xf numFmtId="2" fontId="58" fillId="30" borderId="0" xfId="0" applyNumberFormat="1" applyFont="1" applyFill="1" applyAlignment="1">
      <alignment horizontal="left"/>
    </xf>
    <xf numFmtId="0" fontId="54" fillId="30" borderId="0" xfId="0" applyFont="1" applyFill="1" applyAlignment="1">
      <alignment horizontal="left"/>
    </xf>
    <xf numFmtId="0" fontId="0" fillId="10" borderId="0" xfId="0" applyFill="1" applyAlignment="1">
      <alignment horizontal="left" vertical="top" wrapText="1"/>
    </xf>
    <xf numFmtId="0" fontId="21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left" vertical="top" wrapText="1"/>
    </xf>
    <xf numFmtId="0" fontId="70" fillId="44" borderId="28" xfId="0" applyFont="1" applyFill="1" applyBorder="1" applyAlignment="1">
      <alignment wrapText="1"/>
    </xf>
    <xf numFmtId="0" fontId="71" fillId="45" borderId="29" xfId="0" applyFont="1" applyFill="1" applyBorder="1" applyAlignment="1">
      <alignment vertical="top" wrapText="1"/>
    </xf>
    <xf numFmtId="0" fontId="72" fillId="46" borderId="30" xfId="0" applyFont="1" applyFill="1" applyBorder="1" applyAlignment="1">
      <alignment horizontal="left" vertical="top"/>
    </xf>
    <xf numFmtId="0" fontId="73" fillId="47" borderId="31" xfId="0" applyFont="1" applyFill="1" applyBorder="1" applyAlignment="1">
      <alignment wrapText="1"/>
    </xf>
    <xf numFmtId="0" fontId="74" fillId="48" borderId="32" xfId="0" applyFont="1" applyFill="1" applyBorder="1" applyAlignment="1">
      <alignment wrapText="1"/>
    </xf>
    <xf numFmtId="0" fontId="75" fillId="49" borderId="33" xfId="0" applyFont="1" applyFill="1" applyBorder="1" applyAlignment="1">
      <alignment wrapText="1"/>
    </xf>
    <xf numFmtId="0" fontId="76" fillId="50" borderId="34" xfId="0" applyFont="1" applyFill="1" applyBorder="1" applyAlignment="1">
      <alignment horizontal="left" wrapText="1"/>
    </xf>
    <xf numFmtId="0" fontId="77" fillId="51" borderId="35" xfId="0" applyFont="1" applyFill="1" applyBorder="1" applyAlignment="1">
      <alignment wrapText="1"/>
    </xf>
    <xf numFmtId="0" fontId="78" fillId="52" borderId="36" xfId="0" applyFont="1" applyFill="1" applyBorder="1" applyAlignment="1">
      <alignment wrapText="1"/>
    </xf>
    <xf numFmtId="0" fontId="79" fillId="53" borderId="37" xfId="0" applyFont="1" applyFill="1" applyBorder="1" applyAlignment="1">
      <alignment horizontal="left" vertical="top"/>
    </xf>
    <xf numFmtId="0" fontId="80" fillId="54" borderId="38" xfId="0" applyFont="1" applyFill="1" applyBorder="1" applyAlignment="1">
      <alignment horizontal="left" vertical="top"/>
    </xf>
    <xf numFmtId="0" fontId="81" fillId="55" borderId="39" xfId="0" applyFont="1" applyFill="1" applyBorder="1" applyAlignment="1">
      <alignment horizontal="left" vertical="top"/>
    </xf>
    <xf numFmtId="0" fontId="82" fillId="56" borderId="40" xfId="0" applyFont="1" applyFill="1" applyBorder="1" applyAlignment="1">
      <alignment horizontal="left" vertical="top"/>
    </xf>
    <xf numFmtId="0" fontId="83" fillId="57" borderId="41" xfId="0" applyFont="1" applyFill="1" applyBorder="1" applyAlignment="1">
      <alignment horizontal="left" vertical="top"/>
    </xf>
    <xf numFmtId="0" fontId="84" fillId="58" borderId="42" xfId="0" applyFont="1" applyFill="1" applyBorder="1" applyAlignment="1">
      <alignment horizontal="left" vertical="top"/>
    </xf>
    <xf numFmtId="0" fontId="85" fillId="59" borderId="43" xfId="0" applyFont="1" applyFill="1" applyBorder="1" applyAlignment="1">
      <alignment wrapText="1"/>
    </xf>
    <xf numFmtId="0" fontId="86" fillId="60" borderId="44" xfId="0" applyFont="1" applyFill="1" applyBorder="1" applyAlignment="1">
      <alignment wrapText="1"/>
    </xf>
    <xf numFmtId="0" fontId="87" fillId="61" borderId="45" xfId="0" applyFont="1" applyFill="1" applyBorder="1" applyAlignment="1">
      <alignment wrapText="1"/>
    </xf>
    <xf numFmtId="0" fontId="88" fillId="62" borderId="46" xfId="0" applyFont="1" applyFill="1" applyBorder="1" applyAlignment="1">
      <alignment wrapText="1"/>
    </xf>
    <xf numFmtId="0" fontId="89" fillId="63" borderId="47" xfId="0" applyFont="1" applyFill="1" applyBorder="1" applyAlignment="1">
      <alignment vertical="top" wrapText="1"/>
    </xf>
    <xf numFmtId="0" fontId="92" fillId="66" borderId="50" xfId="0" applyFont="1" applyFill="1" applyBorder="1" applyAlignment="1">
      <alignment horizontal="left" vertical="top"/>
    </xf>
    <xf numFmtId="0" fontId="93" fillId="67" borderId="51" xfId="0" applyFont="1" applyFill="1" applyBorder="1" applyAlignment="1">
      <alignment horizontal="left" wrapText="1"/>
    </xf>
    <xf numFmtId="0" fontId="94" fillId="68" borderId="52" xfId="0" applyFont="1" applyFill="1" applyBorder="1" applyAlignment="1">
      <alignment horizontal="left" vertical="top"/>
    </xf>
    <xf numFmtId="0" fontId="95" fillId="69" borderId="53" xfId="0" applyFont="1" applyFill="1" applyBorder="1" applyAlignment="1">
      <alignment vertical="top"/>
    </xf>
    <xf numFmtId="0" fontId="96" fillId="70" borderId="54" xfId="0" applyFont="1" applyFill="1" applyBorder="1" applyAlignment="1">
      <alignment wrapText="1"/>
    </xf>
    <xf numFmtId="0" fontId="97" fillId="71" borderId="55" xfId="0" applyFont="1" applyFill="1" applyBorder="1" applyAlignment="1">
      <alignment horizontal="left" vertical="top"/>
    </xf>
    <xf numFmtId="0" fontId="99" fillId="73" borderId="57" xfId="0" applyFont="1" applyFill="1" applyBorder="1" applyAlignment="1">
      <alignment horizontal="left" vertical="top"/>
    </xf>
    <xf numFmtId="0" fontId="103" fillId="79" borderId="63" xfId="0" applyFont="1" applyFill="1" applyBorder="1" applyAlignment="1">
      <alignment horizontal="left" vertical="top"/>
    </xf>
    <xf numFmtId="0" fontId="104" fillId="80" borderId="64" xfId="0" applyFont="1" applyFill="1" applyBorder="1" applyAlignment="1">
      <alignment horizontal="left" vertical="top" wrapText="1"/>
    </xf>
    <xf numFmtId="0" fontId="105" fillId="81" borderId="65" xfId="0" applyFont="1" applyFill="1" applyBorder="1" applyAlignment="1">
      <alignment horizontal="left" vertical="top"/>
    </xf>
    <xf numFmtId="0" fontId="106" fillId="82" borderId="66" xfId="0" applyFont="1" applyFill="1" applyBorder="1" applyAlignment="1">
      <alignment horizontal="left" vertical="top"/>
    </xf>
    <xf numFmtId="0" fontId="107" fillId="84" borderId="68" xfId="0" applyFont="1" applyFill="1" applyBorder="1" applyAlignment="1">
      <alignment wrapText="1"/>
    </xf>
    <xf numFmtId="0" fontId="108" fillId="85" borderId="69" xfId="0" applyFont="1" applyFill="1" applyBorder="1" applyAlignment="1">
      <alignment wrapText="1"/>
    </xf>
    <xf numFmtId="0" fontId="109" fillId="86" borderId="70" xfId="0" applyFont="1" applyFill="1" applyBorder="1" applyAlignment="1">
      <alignment wrapText="1"/>
    </xf>
    <xf numFmtId="0" fontId="110" fillId="87" borderId="71" xfId="0" applyFont="1" applyFill="1" applyBorder="1" applyAlignment="1">
      <alignment wrapText="1"/>
    </xf>
    <xf numFmtId="0" fontId="111" fillId="89" borderId="73" xfId="0" applyFont="1" applyFill="1" applyBorder="1" applyAlignment="1">
      <alignment wrapText="1"/>
    </xf>
    <xf numFmtId="0" fontId="112" fillId="90" borderId="74" xfId="0" applyFont="1" applyFill="1" applyBorder="1" applyAlignment="1">
      <alignment wrapText="1"/>
    </xf>
    <xf numFmtId="0" fontId="113" fillId="91" borderId="75" xfId="0" applyFont="1" applyFill="1" applyBorder="1" applyAlignment="1">
      <alignment wrapText="1"/>
    </xf>
    <xf numFmtId="0" fontId="115" fillId="97" borderId="81" xfId="0" applyFont="1" applyFill="1" applyBorder="1" applyAlignment="1">
      <alignment horizontal="left" vertical="top"/>
    </xf>
    <xf numFmtId="0" fontId="116" fillId="98" borderId="82" xfId="0" applyFont="1" applyFill="1" applyBorder="1" applyAlignment="1">
      <alignment wrapText="1"/>
    </xf>
    <xf numFmtId="0" fontId="117" fillId="99" borderId="83" xfId="0" applyFont="1" applyFill="1" applyBorder="1" applyAlignment="1">
      <alignment horizontal="left" vertical="top"/>
    </xf>
    <xf numFmtId="0" fontId="118" fillId="102" borderId="86" xfId="0" applyFont="1" applyFill="1" applyBorder="1" applyAlignment="1">
      <alignment wrapText="1"/>
    </xf>
    <xf numFmtId="0" fontId="119" fillId="103" borderId="87" xfId="0" applyFont="1" applyFill="1" applyBorder="1" applyAlignment="1">
      <alignment wrapText="1"/>
    </xf>
    <xf numFmtId="0" fontId="122" fillId="110" borderId="94" xfId="0" applyFont="1" applyFill="1" applyBorder="1" applyAlignment="1">
      <alignment wrapText="1"/>
    </xf>
    <xf numFmtId="0" fontId="123" fillId="111" borderId="95" xfId="0" applyFont="1" applyFill="1" applyBorder="1" applyAlignment="1">
      <alignment horizontal="left" vertical="top"/>
    </xf>
    <xf numFmtId="0" fontId="124" fillId="112" borderId="96" xfId="0" applyFont="1" applyFill="1" applyBorder="1" applyAlignment="1">
      <alignment wrapText="1"/>
    </xf>
    <xf numFmtId="0" fontId="126" fillId="115" borderId="99" xfId="0" applyFont="1" applyFill="1" applyBorder="1" applyAlignment="1">
      <alignment wrapText="1"/>
    </xf>
    <xf numFmtId="0" fontId="128" fillId="122" borderId="106" xfId="0" applyFont="1" applyFill="1" applyBorder="1" applyAlignment="1">
      <alignment wrapText="1"/>
    </xf>
    <xf numFmtId="0" fontId="129" fillId="123" borderId="107" xfId="0" applyFont="1" applyFill="1" applyBorder="1" applyAlignment="1">
      <alignment horizontal="left" vertical="top"/>
    </xf>
    <xf numFmtId="0" fontId="130" fillId="129" borderId="113" xfId="0" applyFont="1" applyFill="1" applyBorder="1" applyAlignment="1">
      <alignment horizontal="left" vertical="top" wrapText="1"/>
    </xf>
    <xf numFmtId="0" fontId="131" fillId="130" borderId="114" xfId="0" applyFont="1" applyFill="1" applyBorder="1" applyAlignment="1">
      <alignment horizontal="left" vertical="top"/>
    </xf>
    <xf numFmtId="0" fontId="132" fillId="131" borderId="115" xfId="0" applyFont="1" applyFill="1" applyBorder="1" applyAlignment="1">
      <alignment wrapText="1"/>
    </xf>
    <xf numFmtId="0" fontId="133" fillId="132" borderId="116" xfId="0" applyFont="1" applyFill="1" applyBorder="1" applyAlignment="1">
      <alignment wrapText="1"/>
    </xf>
    <xf numFmtId="0" fontId="134" fillId="135" borderId="119" xfId="0" applyFont="1" applyFill="1" applyBorder="1" applyAlignment="1">
      <alignment vertical="top" wrapText="1"/>
    </xf>
    <xf numFmtId="0" fontId="135" fillId="0" borderId="0" xfId="0" applyFont="1"/>
    <xf numFmtId="0" fontId="13" fillId="0" borderId="0" xfId="0" applyFont="1" applyAlignment="1">
      <alignment vertical="top" wrapText="1"/>
    </xf>
    <xf numFmtId="1" fontId="1" fillId="0" borderId="0" xfId="0" applyNumberFormat="1" applyFont="1" applyAlignment="1">
      <alignment vertical="top" wrapText="1"/>
    </xf>
    <xf numFmtId="1" fontId="1" fillId="0" borderId="0" xfId="0" applyNumberFormat="1" applyFont="1" applyAlignment="1">
      <alignment horizontal="left" vertical="top"/>
    </xf>
    <xf numFmtId="0" fontId="0" fillId="0" borderId="0" xfId="0" applyAlignment="1">
      <alignment wrapText="1"/>
    </xf>
    <xf numFmtId="0" fontId="20" fillId="0" borderId="0" xfId="0" applyFont="1" applyAlignment="1">
      <alignment horizontal="left"/>
    </xf>
    <xf numFmtId="0" fontId="52" fillId="0" borderId="0" xfId="0" applyFont="1" applyAlignment="1">
      <alignment horizontal="left"/>
    </xf>
    <xf numFmtId="0" fontId="58" fillId="0" borderId="0" xfId="0" applyFont="1" applyAlignment="1">
      <alignment horizontal="left" wrapText="1"/>
    </xf>
    <xf numFmtId="14" fontId="52" fillId="0" borderId="0" xfId="0" applyNumberFormat="1" applyFont="1" applyAlignment="1">
      <alignment horizontal="left"/>
    </xf>
    <xf numFmtId="0" fontId="60" fillId="0" borderId="0" xfId="0" applyFont="1"/>
    <xf numFmtId="0" fontId="61" fillId="0" borderId="0" xfId="0" applyFont="1" applyAlignment="1">
      <alignment horizontal="left" wrapText="1"/>
    </xf>
    <xf numFmtId="0" fontId="54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62" fillId="0" borderId="0" xfId="0" applyFont="1" applyAlignment="1">
      <alignment horizontal="left"/>
    </xf>
    <xf numFmtId="0" fontId="63" fillId="0" borderId="0" xfId="0" applyFont="1" applyAlignment="1">
      <alignment horizontal="left" wrapText="1"/>
    </xf>
    <xf numFmtId="0" fontId="64" fillId="0" borderId="0" xfId="0" applyFont="1" applyAlignment="1">
      <alignment horizontal="left"/>
    </xf>
    <xf numFmtId="49" fontId="58" fillId="0" borderId="0" xfId="0" applyNumberFormat="1" applyFont="1" applyAlignment="1">
      <alignment horizontal="left"/>
    </xf>
    <xf numFmtId="164" fontId="64" fillId="0" borderId="0" xfId="0" applyNumberFormat="1" applyFont="1" applyAlignment="1">
      <alignment horizontal="left"/>
    </xf>
    <xf numFmtId="0" fontId="22" fillId="0" borderId="0" xfId="0" applyFont="1" applyAlignment="1">
      <alignment horizontal="left" wrapText="1"/>
    </xf>
    <xf numFmtId="0" fontId="65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0" fillId="0" borderId="0" xfId="0" applyAlignment="1">
      <alignment vertical="top"/>
    </xf>
    <xf numFmtId="0" fontId="18" fillId="0" borderId="0" xfId="0" applyFont="1" applyAlignment="1">
      <alignment vertical="top" wrapText="1"/>
    </xf>
    <xf numFmtId="14" fontId="0" fillId="0" borderId="0" xfId="0" applyNumberFormat="1" applyAlignment="1">
      <alignment vertical="top"/>
    </xf>
    <xf numFmtId="0" fontId="20" fillId="0" borderId="0" xfId="0" applyFont="1" applyAlignment="1">
      <alignment vertical="top"/>
    </xf>
    <xf numFmtId="0" fontId="54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8" fillId="10" borderId="1" xfId="0" applyFont="1" applyFill="1" applyBorder="1" applyAlignment="1">
      <alignment vertical="top" wrapText="1"/>
    </xf>
    <xf numFmtId="0" fontId="138" fillId="138" borderId="122" xfId="0" applyFont="1" applyFill="1" applyBorder="1" applyAlignment="1">
      <alignment wrapText="1"/>
    </xf>
    <xf numFmtId="0" fontId="139" fillId="139" borderId="123" xfId="0" applyFont="1" applyFill="1" applyBorder="1" applyAlignment="1">
      <alignment vertical="top" wrapText="1"/>
    </xf>
    <xf numFmtId="0" fontId="140" fillId="140" borderId="124" xfId="0" applyFont="1" applyFill="1" applyBorder="1" applyAlignment="1">
      <alignment wrapText="1"/>
    </xf>
    <xf numFmtId="0" fontId="141" fillId="141" borderId="125" xfId="0" applyFont="1" applyFill="1" applyBorder="1" applyAlignment="1">
      <alignment wrapText="1"/>
    </xf>
    <xf numFmtId="0" fontId="142" fillId="142" borderId="126" xfId="0" applyFont="1" applyFill="1" applyBorder="1" applyAlignment="1">
      <alignment wrapText="1"/>
    </xf>
    <xf numFmtId="0" fontId="143" fillId="144" borderId="128" xfId="0" applyFont="1" applyFill="1" applyBorder="1" applyAlignment="1">
      <alignment wrapText="1"/>
    </xf>
    <xf numFmtId="0" fontId="144" fillId="145" borderId="129" xfId="0" applyFont="1" applyFill="1" applyBorder="1" applyAlignment="1">
      <alignment wrapText="1"/>
    </xf>
    <xf numFmtId="0" fontId="145" fillId="146" borderId="130" xfId="0" applyFont="1" applyFill="1" applyBorder="1" applyAlignment="1">
      <alignment horizontal="left" vertical="top"/>
    </xf>
    <xf numFmtId="0" fontId="146" fillId="147" borderId="131" xfId="0" applyFont="1" applyFill="1" applyBorder="1" applyAlignment="1">
      <alignment horizontal="left" vertical="top"/>
    </xf>
    <xf numFmtId="0" fontId="147" fillId="148" borderId="132" xfId="0" applyFont="1" applyFill="1" applyBorder="1" applyAlignment="1">
      <alignment wrapText="1"/>
    </xf>
    <xf numFmtId="0" fontId="148" fillId="149" borderId="133" xfId="0" applyFont="1" applyFill="1" applyBorder="1" applyAlignment="1">
      <alignment wrapText="1"/>
    </xf>
    <xf numFmtId="0" fontId="149" fillId="150" borderId="134" xfId="0" applyFont="1" applyFill="1" applyBorder="1" applyAlignment="1">
      <alignment wrapText="1"/>
    </xf>
    <xf numFmtId="0" fontId="150" fillId="151" borderId="135" xfId="0" applyFont="1" applyFill="1" applyBorder="1" applyAlignment="1">
      <alignment wrapText="1"/>
    </xf>
    <xf numFmtId="0" fontId="151" fillId="152" borderId="136" xfId="0" applyFont="1" applyFill="1" applyBorder="1" applyAlignment="1">
      <alignment vertical="top" wrapText="1"/>
    </xf>
    <xf numFmtId="0" fontId="154" fillId="155" borderId="139" xfId="0" applyFont="1" applyFill="1" applyBorder="1" applyAlignment="1">
      <alignment horizontal="left" vertical="top"/>
    </xf>
    <xf numFmtId="0" fontId="155" fillId="156" borderId="140" xfId="0" applyFont="1" applyFill="1" applyBorder="1" applyAlignment="1">
      <alignment horizontal="left" wrapText="1"/>
    </xf>
    <xf numFmtId="0" fontId="156" fillId="157" borderId="141" xfId="0" applyFont="1" applyFill="1" applyBorder="1" applyAlignment="1">
      <alignment horizontal="left"/>
    </xf>
    <xf numFmtId="0" fontId="1" fillId="28" borderId="0" xfId="0" applyFont="1" applyFill="1" applyAlignment="1">
      <alignment horizontal="left"/>
    </xf>
    <xf numFmtId="0" fontId="1" fillId="28" borderId="0" xfId="0" applyFont="1" applyFill="1"/>
    <xf numFmtId="0" fontId="1" fillId="28" borderId="0" xfId="0" applyFont="1" applyFill="1" applyAlignment="1">
      <alignment vertical="top"/>
    </xf>
    <xf numFmtId="0" fontId="1" fillId="28" borderId="1" xfId="0" applyFont="1" applyFill="1" applyBorder="1" applyAlignment="1">
      <alignment wrapText="1"/>
    </xf>
    <xf numFmtId="0" fontId="13" fillId="28" borderId="0" xfId="0" applyFont="1" applyFill="1" applyAlignment="1">
      <alignment vertical="top" wrapText="1"/>
    </xf>
    <xf numFmtId="0" fontId="16" fillId="28" borderId="0" xfId="0" applyFont="1" applyFill="1" applyAlignment="1">
      <alignment horizontal="left" vertical="top" wrapText="1"/>
    </xf>
    <xf numFmtId="0" fontId="1" fillId="28" borderId="1" xfId="0" applyFont="1" applyFill="1" applyBorder="1" applyAlignment="1">
      <alignment horizontal="left" vertical="top" wrapText="1"/>
    </xf>
    <xf numFmtId="0" fontId="4" fillId="28" borderId="1" xfId="0" applyFont="1" applyFill="1" applyBorder="1" applyAlignment="1">
      <alignment horizontal="left" vertical="top" wrapText="1"/>
    </xf>
    <xf numFmtId="0" fontId="10" fillId="28" borderId="0" xfId="0" applyFont="1" applyFill="1" applyAlignment="1">
      <alignment horizontal="left" vertical="top"/>
    </xf>
    <xf numFmtId="0" fontId="0" fillId="28" borderId="0" xfId="0" applyFill="1" applyAlignment="1">
      <alignment horizontal="center" vertical="top"/>
    </xf>
    <xf numFmtId="0" fontId="18" fillId="28" borderId="1" xfId="0" applyFont="1" applyFill="1" applyBorder="1" applyAlignment="1">
      <alignment horizontal="left" vertical="top" wrapText="1"/>
    </xf>
    <xf numFmtId="0" fontId="19" fillId="28" borderId="0" xfId="0" applyFont="1" applyFill="1" applyAlignment="1">
      <alignment horizontal="left" vertical="top" wrapText="1"/>
    </xf>
    <xf numFmtId="0" fontId="4" fillId="28" borderId="0" xfId="0" applyFont="1" applyFill="1"/>
    <xf numFmtId="0" fontId="4" fillId="28" borderId="0" xfId="0" applyFont="1" applyFill="1" applyAlignment="1">
      <alignment horizontal="left"/>
    </xf>
    <xf numFmtId="0" fontId="1" fillId="28" borderId="1" xfId="0" applyFont="1" applyFill="1" applyBorder="1" applyAlignment="1">
      <alignment horizontal="left" wrapText="1"/>
    </xf>
    <xf numFmtId="0" fontId="1" fillId="28" borderId="0" xfId="0" applyFont="1" applyFill="1" applyAlignment="1">
      <alignment horizontal="left" wrapText="1"/>
    </xf>
    <xf numFmtId="0" fontId="16" fillId="28" borderId="0" xfId="0" applyFont="1" applyFill="1" applyAlignment="1">
      <alignment horizontal="left" wrapText="1"/>
    </xf>
    <xf numFmtId="0" fontId="1" fillId="28" borderId="0" xfId="0" applyFont="1" applyFill="1" applyAlignment="1">
      <alignment vertical="top" wrapText="1"/>
    </xf>
    <xf numFmtId="0" fontId="4" fillId="28" borderId="1" xfId="0" applyFont="1" applyFill="1" applyBorder="1" applyAlignment="1">
      <alignment horizontal="left" wrapText="1"/>
    </xf>
    <xf numFmtId="0" fontId="4" fillId="28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157" fillId="0" borderId="0" xfId="0" applyFont="1" applyAlignment="1">
      <alignment wrapText="1"/>
    </xf>
    <xf numFmtId="49" fontId="10" fillId="0" borderId="0" xfId="0" applyNumberFormat="1" applyFont="1" applyAlignment="1">
      <alignment horizontal="left" vertical="top"/>
    </xf>
    <xf numFmtId="14" fontId="10" fillId="0" borderId="0" xfId="0" applyNumberFormat="1" applyFont="1" applyAlignment="1">
      <alignment horizontal="left" vertical="top"/>
    </xf>
    <xf numFmtId="14" fontId="10" fillId="0" borderId="3" xfId="0" applyNumberFormat="1" applyFont="1" applyBorder="1" applyAlignment="1">
      <alignment horizontal="left" vertical="top"/>
    </xf>
    <xf numFmtId="0" fontId="10" fillId="0" borderId="0" xfId="0" applyFont="1" applyAlignment="1">
      <alignment vertical="center"/>
    </xf>
    <xf numFmtId="0" fontId="157" fillId="0" borderId="0" xfId="0" applyFont="1" applyAlignment="1">
      <alignment horizontal="left" vertical="top"/>
    </xf>
    <xf numFmtId="14" fontId="157" fillId="0" borderId="0" xfId="0" applyNumberFormat="1" applyFont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21" fillId="0" borderId="0" xfId="0" applyFont="1" applyAlignment="1">
      <alignment vertical="top"/>
    </xf>
    <xf numFmtId="49" fontId="21" fillId="0" borderId="0" xfId="0" applyNumberFormat="1" applyFont="1" applyAlignment="1">
      <alignment horizontal="left" vertical="top"/>
    </xf>
    <xf numFmtId="14" fontId="21" fillId="0" borderId="0" xfId="0" applyNumberFormat="1" applyFont="1" applyAlignment="1">
      <alignment horizontal="left"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49" fontId="10" fillId="0" borderId="0" xfId="0" applyNumberFormat="1" applyFont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/>
    </xf>
    <xf numFmtId="0" fontId="157" fillId="0" borderId="0" xfId="0" applyFont="1" applyAlignment="1">
      <alignment horizontal="left"/>
    </xf>
    <xf numFmtId="0" fontId="10" fillId="0" borderId="1" xfId="0" applyFont="1" applyBorder="1" applyAlignment="1">
      <alignment horizontal="left" wrapText="1"/>
    </xf>
    <xf numFmtId="49" fontId="10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left"/>
    </xf>
    <xf numFmtId="14" fontId="10" fillId="0" borderId="3" xfId="0" applyNumberFormat="1" applyFont="1" applyBorder="1" applyAlignment="1">
      <alignment horizontal="left"/>
    </xf>
    <xf numFmtId="0" fontId="36" fillId="0" borderId="0" xfId="0" applyFont="1" applyAlignment="1">
      <alignment horizontal="left"/>
    </xf>
    <xf numFmtId="14" fontId="157" fillId="0" borderId="0" xfId="0" applyNumberFormat="1" applyFont="1" applyAlignment="1">
      <alignment horizontal="left"/>
    </xf>
    <xf numFmtId="0" fontId="10" fillId="0" borderId="11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14" fontId="10" fillId="0" borderId="0" xfId="0" applyNumberFormat="1" applyFont="1" applyAlignment="1">
      <alignment horizontal="left" vertical="top" wrapText="1"/>
    </xf>
    <xf numFmtId="164" fontId="10" fillId="0" borderId="0" xfId="0" applyNumberFormat="1" applyFont="1" applyAlignment="1">
      <alignment horizontal="left" vertical="top"/>
    </xf>
    <xf numFmtId="164" fontId="10" fillId="0" borderId="0" xfId="0" applyNumberFormat="1" applyFont="1" applyAlignment="1">
      <alignment horizontal="left"/>
    </xf>
    <xf numFmtId="0" fontId="157" fillId="0" borderId="0" xfId="0" applyFont="1" applyAlignment="1">
      <alignment horizontal="left" vertical="top" wrapText="1"/>
    </xf>
    <xf numFmtId="14" fontId="10" fillId="0" borderId="0" xfId="0" applyNumberFormat="1" applyFont="1"/>
    <xf numFmtId="14" fontId="10" fillId="0" borderId="3" xfId="0" applyNumberFormat="1" applyFont="1" applyBorder="1"/>
    <xf numFmtId="0" fontId="10" fillId="0" borderId="6" xfId="0" applyFont="1" applyBorder="1" applyAlignment="1">
      <alignment horizontal="left" vertical="top" wrapText="1"/>
    </xf>
    <xf numFmtId="0" fontId="157" fillId="0" borderId="0" xfId="0" applyFont="1" applyAlignment="1">
      <alignment vertical="top"/>
    </xf>
    <xf numFmtId="14" fontId="10" fillId="0" borderId="11" xfId="0" applyNumberFormat="1" applyFont="1" applyBorder="1" applyAlignment="1">
      <alignment horizontal="left" vertical="top"/>
    </xf>
    <xf numFmtId="14" fontId="10" fillId="0" borderId="12" xfId="0" applyNumberFormat="1" applyFont="1" applyBorder="1" applyAlignment="1">
      <alignment horizontal="left" vertical="top"/>
    </xf>
    <xf numFmtId="14" fontId="10" fillId="0" borderId="13" xfId="0" applyNumberFormat="1" applyFont="1" applyBorder="1" applyAlignment="1">
      <alignment horizontal="left" vertical="top"/>
    </xf>
    <xf numFmtId="0" fontId="10" fillId="0" borderId="1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142" xfId="0" applyFont="1" applyBorder="1" applyAlignment="1">
      <alignment horizontal="center" vertical="top"/>
    </xf>
    <xf numFmtId="0" fontId="10" fillId="0" borderId="142" xfId="0" applyFont="1" applyBorder="1" applyAlignment="1">
      <alignment wrapText="1"/>
    </xf>
    <xf numFmtId="0" fontId="10" fillId="0" borderId="142" xfId="0" applyFont="1" applyBorder="1"/>
    <xf numFmtId="0" fontId="10" fillId="0" borderId="142" xfId="0" applyFont="1" applyBorder="1" applyAlignment="1">
      <alignment horizontal="left" vertical="top"/>
    </xf>
    <xf numFmtId="0" fontId="10" fillId="0" borderId="142" xfId="0" applyFont="1" applyBorder="1" applyAlignment="1">
      <alignment horizontal="left" vertical="top" wrapText="1"/>
    </xf>
    <xf numFmtId="0" fontId="10" fillId="0" borderId="142" xfId="0" applyFont="1" applyBorder="1" applyAlignment="1">
      <alignment vertical="top"/>
    </xf>
    <xf numFmtId="0" fontId="1" fillId="0" borderId="0" xfId="0" applyFont="1" applyAlignment="1">
      <alignment horizontal="right" wrapText="1"/>
    </xf>
    <xf numFmtId="0" fontId="29" fillId="143" borderId="127" xfId="0" applyFont="1" applyFill="1" applyBorder="1" applyAlignment="1">
      <alignment horizontal="left"/>
    </xf>
    <xf numFmtId="0" fontId="1" fillId="28" borderId="142" xfId="0" applyFont="1" applyFill="1" applyBorder="1" applyAlignment="1">
      <alignment horizontal="center" vertical="top"/>
    </xf>
    <xf numFmtId="0" fontId="1" fillId="28" borderId="142" xfId="0" applyFont="1" applyFill="1" applyBorder="1" applyAlignment="1">
      <alignment horizontal="left" vertical="top"/>
    </xf>
    <xf numFmtId="0" fontId="1" fillId="28" borderId="16" xfId="0" applyFont="1" applyFill="1" applyBorder="1" applyAlignment="1">
      <alignment horizontal="left" vertical="top" wrapText="1"/>
    </xf>
    <xf numFmtId="0" fontId="1" fillId="0" borderId="142" xfId="0" applyFont="1" applyBorder="1" applyAlignment="1">
      <alignment horizontal="center" vertical="top"/>
    </xf>
    <xf numFmtId="0" fontId="1" fillId="21" borderId="142" xfId="0" applyFont="1" applyFill="1" applyBorder="1" applyAlignment="1">
      <alignment vertical="top"/>
    </xf>
    <xf numFmtId="0" fontId="1" fillId="8" borderId="21" xfId="0" applyFont="1" applyFill="1" applyBorder="1" applyAlignment="1">
      <alignment vertical="top" wrapText="1"/>
    </xf>
    <xf numFmtId="0" fontId="1" fillId="10" borderId="142" xfId="0" applyFont="1" applyFill="1" applyBorder="1" applyAlignment="1">
      <alignment horizontal="left" vertical="top" wrapText="1"/>
    </xf>
    <xf numFmtId="0" fontId="1" fillId="10" borderId="142" xfId="0" applyFont="1" applyFill="1" applyBorder="1" applyAlignment="1">
      <alignment horizontal="center" vertical="top"/>
    </xf>
    <xf numFmtId="0" fontId="6" fillId="10" borderId="142" xfId="0" applyFont="1" applyFill="1" applyBorder="1" applyAlignment="1">
      <alignment vertical="top" wrapText="1"/>
    </xf>
    <xf numFmtId="0" fontId="10" fillId="28" borderId="0" xfId="0" applyFont="1" applyFill="1" applyAlignment="1">
      <alignment horizontal="left" vertical="top" wrapText="1"/>
    </xf>
    <xf numFmtId="0" fontId="10" fillId="28" borderId="0" xfId="0" applyFont="1" applyFill="1" applyAlignment="1">
      <alignment wrapText="1"/>
    </xf>
    <xf numFmtId="0" fontId="10" fillId="28" borderId="1" xfId="0" applyFont="1" applyFill="1" applyBorder="1" applyAlignment="1">
      <alignment horizontal="left" vertical="top" wrapText="1"/>
    </xf>
    <xf numFmtId="0" fontId="1" fillId="28" borderId="0" xfId="0" applyFont="1" applyFill="1" applyAlignment="1">
      <alignment horizontal="center" wrapText="1"/>
    </xf>
    <xf numFmtId="0" fontId="21" fillId="28" borderId="0" xfId="0" applyFont="1" applyFill="1" applyAlignment="1">
      <alignment horizontal="left" vertical="top" wrapText="1"/>
    </xf>
    <xf numFmtId="0" fontId="158" fillId="28" borderId="0" xfId="0" applyFont="1" applyFill="1" applyAlignment="1">
      <alignment horizontal="center" vertical="center"/>
    </xf>
    <xf numFmtId="0" fontId="67" fillId="28" borderId="0" xfId="0" applyFont="1" applyFill="1" applyAlignment="1">
      <alignment horizontal="left"/>
    </xf>
    <xf numFmtId="0" fontId="21" fillId="28" borderId="0" xfId="0" applyFont="1" applyFill="1" applyAlignment="1">
      <alignment horizontal="left" wrapText="1"/>
    </xf>
    <xf numFmtId="0" fontId="21" fillId="28" borderId="0" xfId="0" applyFont="1" applyFill="1" applyAlignment="1">
      <alignment horizontal="center" vertical="center"/>
    </xf>
    <xf numFmtId="0" fontId="159" fillId="28" borderId="0" xfId="0" applyFont="1" applyFill="1" applyAlignment="1">
      <alignment horizontal="left" wrapText="1"/>
    </xf>
    <xf numFmtId="0" fontId="67" fillId="28" borderId="0" xfId="0" applyFont="1" applyFill="1" applyAlignment="1">
      <alignment horizontal="center" vertical="center"/>
    </xf>
    <xf numFmtId="0" fontId="67" fillId="28" borderId="0" xfId="0" applyFont="1" applyFill="1" applyAlignment="1">
      <alignment horizontal="left" wrapText="1"/>
    </xf>
    <xf numFmtId="0" fontId="21" fillId="28" borderId="0" xfId="0" applyFont="1" applyFill="1"/>
    <xf numFmtId="0" fontId="21" fillId="28" borderId="0" xfId="0" applyFont="1" applyFill="1" applyAlignment="1">
      <alignment horizontal="center" vertical="top"/>
    </xf>
    <xf numFmtId="0" fontId="67" fillId="28" borderId="0" xfId="0" applyFont="1" applyFill="1" applyAlignment="1">
      <alignment vertical="top" wrapText="1"/>
    </xf>
    <xf numFmtId="0" fontId="159" fillId="28" borderId="0" xfId="0" applyFont="1" applyFill="1" applyAlignment="1">
      <alignment vertical="top" wrapText="1"/>
    </xf>
    <xf numFmtId="0" fontId="67" fillId="28" borderId="0" xfId="0" applyFont="1" applyFill="1" applyAlignment="1">
      <alignment vertical="top"/>
    </xf>
    <xf numFmtId="0" fontId="4" fillId="28" borderId="1" xfId="0" applyFont="1" applyFill="1" applyBorder="1" applyAlignment="1">
      <alignment wrapText="1"/>
    </xf>
    <xf numFmtId="0" fontId="10" fillId="28" borderId="0" xfId="0" applyFont="1" applyFill="1" applyAlignment="1">
      <alignment horizontal="center" vertical="top"/>
    </xf>
    <xf numFmtId="0" fontId="10" fillId="28" borderId="0" xfId="0" applyFont="1" applyFill="1"/>
    <xf numFmtId="0" fontId="10" fillId="28" borderId="0" xfId="0" applyFont="1" applyFill="1" applyAlignment="1">
      <alignment vertical="top" wrapText="1"/>
    </xf>
    <xf numFmtId="0" fontId="1" fillId="10" borderId="6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10" borderId="10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29" fillId="10" borderId="0" xfId="0" applyFont="1" applyFill="1"/>
    <xf numFmtId="0" fontId="29" fillId="78" borderId="62" xfId="0" applyFont="1" applyFill="1" applyBorder="1"/>
    <xf numFmtId="0" fontId="29" fillId="83" borderId="67" xfId="0" applyFont="1" applyFill="1" applyBorder="1"/>
    <xf numFmtId="0" fontId="29" fillId="88" borderId="72" xfId="0" applyFont="1" applyFill="1" applyBorder="1"/>
    <xf numFmtId="0" fontId="29" fillId="0" borderId="0" xfId="0" applyFont="1" applyAlignment="1">
      <alignment wrapText="1"/>
    </xf>
    <xf numFmtId="0" fontId="29" fillId="92" borderId="76" xfId="0" applyFont="1" applyFill="1" applyBorder="1"/>
    <xf numFmtId="0" fontId="5" fillId="28" borderId="1" xfId="0" applyFont="1" applyFill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10" borderId="0" xfId="0" applyFont="1" applyFill="1" applyAlignment="1">
      <alignment horizontal="left" vertical="top" wrapText="1"/>
    </xf>
    <xf numFmtId="0" fontId="29" fillId="93" borderId="77" xfId="0" applyFont="1" applyFill="1" applyBorder="1" applyAlignment="1">
      <alignment horizontal="left" vertical="top" wrapText="1"/>
    </xf>
    <xf numFmtId="0" fontId="36" fillId="94" borderId="78" xfId="0" applyFont="1" applyFill="1" applyBorder="1"/>
    <xf numFmtId="0" fontId="36" fillId="10" borderId="0" xfId="0" applyFont="1" applyFill="1"/>
    <xf numFmtId="0" fontId="114" fillId="95" borderId="79" xfId="0" applyFont="1" applyFill="1" applyBorder="1" applyAlignment="1">
      <alignment horizontal="left" vertical="top"/>
    </xf>
    <xf numFmtId="0" fontId="29" fillId="10" borderId="0" xfId="0" applyFont="1" applyFill="1" applyAlignment="1">
      <alignment wrapText="1"/>
    </xf>
    <xf numFmtId="0" fontId="29" fillId="96" borderId="80" xfId="0" applyFont="1" applyFill="1" applyBorder="1"/>
    <xf numFmtId="0" fontId="1" fillId="1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" fillId="10" borderId="0" xfId="0" applyFont="1" applyFill="1" applyAlignment="1">
      <alignment horizontal="center" vertical="top" wrapText="1"/>
    </xf>
    <xf numFmtId="0" fontId="29" fillId="0" borderId="0" xfId="0" applyFont="1" applyAlignment="1">
      <alignment horizontal="left" vertical="top"/>
    </xf>
    <xf numFmtId="0" fontId="29" fillId="10" borderId="0" xfId="0" applyFont="1" applyFill="1" applyAlignment="1">
      <alignment horizontal="left" vertical="top"/>
    </xf>
    <xf numFmtId="0" fontId="29" fillId="100" borderId="84" xfId="0" applyFont="1" applyFill="1" applyBorder="1" applyAlignment="1">
      <alignment horizontal="left" vertical="top"/>
    </xf>
    <xf numFmtId="0" fontId="29" fillId="10" borderId="0" xfId="0" applyFont="1" applyFill="1" applyAlignment="1">
      <alignment horizontal="left"/>
    </xf>
    <xf numFmtId="0" fontId="29" fillId="101" borderId="85" xfId="0" applyFont="1" applyFill="1" applyBorder="1" applyAlignment="1">
      <alignment horizontal="left"/>
    </xf>
    <xf numFmtId="0" fontId="39" fillId="10" borderId="0" xfId="0" applyFont="1" applyFill="1" applyAlignment="1">
      <alignment horizontal="left" vertical="top"/>
    </xf>
    <xf numFmtId="0" fontId="1" fillId="33" borderId="0" xfId="0" applyFont="1" applyFill="1" applyAlignment="1">
      <alignment horizontal="center" vertical="top"/>
    </xf>
    <xf numFmtId="0" fontId="1" fillId="33" borderId="0" xfId="0" applyFont="1" applyFill="1" applyAlignment="1">
      <alignment wrapText="1"/>
    </xf>
    <xf numFmtId="0" fontId="1" fillId="33" borderId="0" xfId="0" applyFont="1" applyFill="1" applyAlignment="1">
      <alignment vertical="top" wrapText="1"/>
    </xf>
    <xf numFmtId="0" fontId="29" fillId="104" borderId="88" xfId="0" applyFont="1" applyFill="1" applyBorder="1" applyAlignment="1">
      <alignment wrapText="1"/>
    </xf>
    <xf numFmtId="0" fontId="1" fillId="0" borderId="0" xfId="0" applyFont="1" applyAlignment="1">
      <alignment horizontal="left" vertical="center"/>
    </xf>
    <xf numFmtId="0" fontId="120" fillId="105" borderId="89" xfId="0" applyFont="1" applyFill="1" applyBorder="1" applyAlignment="1">
      <alignment horizontal="left" vertical="top" wrapText="1"/>
    </xf>
    <xf numFmtId="0" fontId="1" fillId="10" borderId="0" xfId="0" applyFont="1" applyFill="1" applyAlignment="1">
      <alignment horizontal="right" wrapText="1"/>
    </xf>
    <xf numFmtId="165" fontId="1" fillId="7" borderId="0" xfId="0" applyNumberFormat="1" applyFont="1" applyFill="1" applyAlignment="1">
      <alignment horizontal="right" vertical="top"/>
    </xf>
    <xf numFmtId="0" fontId="1" fillId="10" borderId="17" xfId="0" applyFont="1" applyFill="1" applyBorder="1" applyAlignment="1">
      <alignment horizontal="right" vertical="top" wrapText="1"/>
    </xf>
    <xf numFmtId="165" fontId="1" fillId="7" borderId="17" xfId="0" applyNumberFormat="1" applyFont="1" applyFill="1" applyBorder="1" applyAlignment="1">
      <alignment horizontal="right" vertical="top"/>
    </xf>
    <xf numFmtId="0" fontId="1" fillId="0" borderId="17" xfId="0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wrapText="1"/>
    </xf>
    <xf numFmtId="0" fontId="1" fillId="0" borderId="17" xfId="0" applyFont="1" applyBorder="1" applyAlignment="1">
      <alignment horizontal="right" vertical="top"/>
    </xf>
    <xf numFmtId="0" fontId="29" fillId="0" borderId="0" xfId="0" applyFont="1" applyAlignment="1">
      <alignment horizontal="right" vertical="top" wrapText="1"/>
    </xf>
    <xf numFmtId="0" fontId="29" fillId="10" borderId="0" xfId="0" applyFont="1" applyFill="1" applyAlignment="1">
      <alignment horizontal="right" vertical="top" wrapText="1"/>
    </xf>
    <xf numFmtId="0" fontId="1" fillId="10" borderId="0" xfId="0" applyFont="1" applyFill="1" applyAlignment="1">
      <alignment horizontal="right" vertical="top"/>
    </xf>
    <xf numFmtId="0" fontId="29" fillId="0" borderId="0" xfId="0" applyFont="1" applyAlignment="1">
      <alignment horizontal="right" vertical="top"/>
    </xf>
    <xf numFmtId="0" fontId="29" fillId="10" borderId="0" xfId="0" applyFont="1" applyFill="1" applyAlignment="1">
      <alignment horizontal="right" vertical="top"/>
    </xf>
    <xf numFmtId="0" fontId="29" fillId="106" borderId="90" xfId="0" applyFont="1" applyFill="1" applyBorder="1" applyAlignment="1">
      <alignment horizontal="right" vertical="top"/>
    </xf>
    <xf numFmtId="0" fontId="1" fillId="33" borderId="0" xfId="0" applyFont="1" applyFill="1" applyAlignment="1">
      <alignment horizontal="left" vertical="top"/>
    </xf>
    <xf numFmtId="0" fontId="121" fillId="107" borderId="91" xfId="0" applyFont="1" applyFill="1" applyBorder="1" applyAlignment="1">
      <alignment horizontal="left" vertical="top"/>
    </xf>
    <xf numFmtId="0" fontId="1" fillId="10" borderId="5" xfId="0" applyFont="1" applyFill="1" applyBorder="1" applyAlignment="1">
      <alignment wrapText="1"/>
    </xf>
    <xf numFmtId="0" fontId="4" fillId="10" borderId="24" xfId="0" applyFont="1" applyFill="1" applyBorder="1" applyAlignment="1">
      <alignment wrapText="1"/>
    </xf>
    <xf numFmtId="0" fontId="1" fillId="10" borderId="8" xfId="0" applyFont="1" applyFill="1" applyBorder="1" applyAlignment="1">
      <alignment wrapText="1"/>
    </xf>
    <xf numFmtId="0" fontId="29" fillId="108" borderId="92" xfId="0" applyFont="1" applyFill="1" applyBorder="1" applyAlignment="1">
      <alignment horizontal="left" vertical="top"/>
    </xf>
    <xf numFmtId="0" fontId="29" fillId="109" borderId="93" xfId="0" applyFont="1" applyFill="1" applyBorder="1" applyAlignment="1">
      <alignment horizontal="left" vertical="top"/>
    </xf>
    <xf numFmtId="165" fontId="1" fillId="7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 wrapText="1"/>
    </xf>
    <xf numFmtId="49" fontId="1" fillId="10" borderId="0" xfId="0" applyNumberFormat="1" applyFont="1" applyFill="1" applyAlignment="1">
      <alignment horizontal="left" vertical="center"/>
    </xf>
    <xf numFmtId="164" fontId="1" fillId="10" borderId="0" xfId="0" applyNumberFormat="1" applyFont="1" applyFill="1" applyAlignment="1">
      <alignment horizontal="left" vertical="center"/>
    </xf>
    <xf numFmtId="0" fontId="30" fillId="32" borderId="0" xfId="0" applyFont="1" applyFill="1" applyAlignment="1">
      <alignment horizontal="left" vertical="center"/>
    </xf>
    <xf numFmtId="0" fontId="38" fillId="35" borderId="0" xfId="0" applyFont="1" applyFill="1" applyAlignment="1">
      <alignment horizontal="left" vertical="center"/>
    </xf>
    <xf numFmtId="0" fontId="1" fillId="28" borderId="0" xfId="0" applyFont="1" applyFill="1" applyAlignment="1">
      <alignment horizontal="left" vertical="center"/>
    </xf>
    <xf numFmtId="0" fontId="1" fillId="28" borderId="0" xfId="0" applyFont="1" applyFill="1" applyAlignment="1">
      <alignment horizontal="left" vertical="center" wrapText="1"/>
    </xf>
    <xf numFmtId="0" fontId="125" fillId="113" borderId="97" xfId="0" applyFont="1" applyFill="1" applyBorder="1" applyAlignment="1">
      <alignment horizontal="left" vertical="top"/>
    </xf>
    <xf numFmtId="0" fontId="29" fillId="10" borderId="0" xfId="0" applyFont="1" applyFill="1" applyAlignment="1">
      <alignment vertical="top"/>
    </xf>
    <xf numFmtId="0" fontId="29" fillId="0" borderId="0" xfId="0" applyFont="1" applyAlignment="1">
      <alignment vertical="top"/>
    </xf>
    <xf numFmtId="0" fontId="29" fillId="114" borderId="98" xfId="0" applyFont="1" applyFill="1" applyBorder="1" applyAlignment="1">
      <alignment vertical="top"/>
    </xf>
    <xf numFmtId="0" fontId="29" fillId="116" borderId="100" xfId="0" applyFont="1" applyFill="1" applyBorder="1" applyAlignment="1">
      <alignment vertical="top"/>
    </xf>
    <xf numFmtId="0" fontId="29" fillId="117" borderId="101" xfId="0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29" fillId="118" borderId="102" xfId="0" applyFont="1" applyFill="1" applyBorder="1" applyAlignment="1">
      <alignment horizontal="right" vertical="top"/>
    </xf>
    <xf numFmtId="0" fontId="29" fillId="119" borderId="103" xfId="0" applyFont="1" applyFill="1" applyBorder="1" applyAlignment="1">
      <alignment horizontal="right" vertical="top" wrapText="1"/>
    </xf>
    <xf numFmtId="0" fontId="29" fillId="120" borderId="104" xfId="0" applyFont="1" applyFill="1" applyBorder="1" applyAlignment="1">
      <alignment vertical="top"/>
    </xf>
    <xf numFmtId="0" fontId="6" fillId="28" borderId="1" xfId="0" applyFont="1" applyFill="1" applyBorder="1" applyAlignment="1">
      <alignment wrapText="1"/>
    </xf>
    <xf numFmtId="0" fontId="127" fillId="121" borderId="105" xfId="0" applyFont="1" applyFill="1" applyBorder="1" applyAlignment="1">
      <alignment vertical="top"/>
    </xf>
    <xf numFmtId="0" fontId="29" fillId="124" borderId="108" xfId="0" applyFont="1" applyFill="1" applyBorder="1" applyAlignment="1">
      <alignment vertical="top"/>
    </xf>
    <xf numFmtId="0" fontId="29" fillId="125" borderId="109" xfId="0" applyFont="1" applyFill="1" applyBorder="1" applyAlignment="1">
      <alignment vertical="top"/>
    </xf>
    <xf numFmtId="0" fontId="1" fillId="10" borderId="18" xfId="0" applyFont="1" applyFill="1" applyBorder="1" applyAlignment="1">
      <alignment horizontal="center" wrapText="1"/>
    </xf>
    <xf numFmtId="0" fontId="1" fillId="28" borderId="0" xfId="0" applyFont="1" applyFill="1" applyAlignment="1">
      <alignment horizontal="center"/>
    </xf>
    <xf numFmtId="0" fontId="29" fillId="126" borderId="110" xfId="0" applyFont="1" applyFill="1" applyBorder="1" applyAlignment="1">
      <alignment vertical="top"/>
    </xf>
    <xf numFmtId="0" fontId="1" fillId="33" borderId="0" xfId="0" applyFont="1" applyFill="1"/>
    <xf numFmtId="0" fontId="29" fillId="127" borderId="111" xfId="0" applyFont="1" applyFill="1" applyBorder="1" applyAlignment="1">
      <alignment vertical="top"/>
    </xf>
    <xf numFmtId="0" fontId="1" fillId="33" borderId="0" xfId="0" applyFont="1" applyFill="1" applyAlignment="1">
      <alignment horizontal="left" vertical="top" wrapText="1"/>
    </xf>
    <xf numFmtId="0" fontId="29" fillId="128" borderId="112" xfId="0" applyFont="1" applyFill="1" applyBorder="1" applyAlignment="1">
      <alignment vertical="top"/>
    </xf>
    <xf numFmtId="0" fontId="16" fillId="33" borderId="0" xfId="0" applyFont="1" applyFill="1" applyAlignment="1">
      <alignment horizontal="left" vertical="top" wrapText="1"/>
    </xf>
    <xf numFmtId="0" fontId="29" fillId="133" borderId="117" xfId="0" applyFont="1" applyFill="1" applyBorder="1" applyAlignment="1">
      <alignment vertical="top"/>
    </xf>
    <xf numFmtId="0" fontId="29" fillId="134" borderId="118" xfId="0" applyFont="1" applyFill="1" applyBorder="1" applyAlignment="1">
      <alignment vertical="top"/>
    </xf>
    <xf numFmtId="0" fontId="2" fillId="28" borderId="0" xfId="0" applyFont="1" applyFill="1" applyAlignment="1">
      <alignment horizontal="center" vertical="top"/>
    </xf>
    <xf numFmtId="0" fontId="11" fillId="28" borderId="0" xfId="0" applyFont="1" applyFill="1" applyAlignment="1">
      <alignment horizontal="left" vertical="top"/>
    </xf>
    <xf numFmtId="0" fontId="162" fillId="160" borderId="145" xfId="0" applyFont="1" applyFill="1" applyBorder="1" applyAlignment="1">
      <alignment wrapText="1"/>
    </xf>
    <xf numFmtId="0" fontId="163" fillId="161" borderId="146" xfId="0" applyFont="1" applyFill="1" applyBorder="1" applyAlignment="1">
      <alignment vertical="top" wrapText="1"/>
    </xf>
    <xf numFmtId="0" fontId="164" fillId="162" borderId="147" xfId="0" applyFont="1" applyFill="1" applyBorder="1" applyAlignment="1">
      <alignment vertical="top" wrapText="1"/>
    </xf>
    <xf numFmtId="0" fontId="165" fillId="163" borderId="148" xfId="0" applyFont="1" applyFill="1" applyBorder="1" applyAlignment="1">
      <alignment wrapText="1"/>
    </xf>
    <xf numFmtId="0" fontId="166" fillId="164" borderId="149" xfId="0" applyFont="1" applyFill="1" applyBorder="1" applyAlignment="1">
      <alignment wrapText="1"/>
    </xf>
    <xf numFmtId="0" fontId="167" fillId="165" borderId="150" xfId="0" applyFont="1" applyFill="1" applyBorder="1" applyAlignment="1">
      <alignment wrapText="1"/>
    </xf>
    <xf numFmtId="0" fontId="168" fillId="166" borderId="151" xfId="0" applyFont="1" applyFill="1" applyBorder="1" applyAlignment="1">
      <alignment wrapText="1"/>
    </xf>
    <xf numFmtId="0" fontId="169" fillId="167" borderId="152" xfId="0" applyFont="1" applyFill="1" applyBorder="1" applyAlignment="1">
      <alignment wrapText="1"/>
    </xf>
    <xf numFmtId="0" fontId="170" fillId="168" borderId="153" xfId="0" applyFont="1" applyFill="1" applyBorder="1" applyAlignment="1">
      <alignment wrapText="1"/>
    </xf>
    <xf numFmtId="0" fontId="171" fillId="169" borderId="154" xfId="0" applyFont="1" applyFill="1" applyBorder="1" applyAlignment="1">
      <alignment horizontal="left" vertical="top"/>
    </xf>
    <xf numFmtId="0" fontId="172" fillId="170" borderId="155" xfId="0" applyFont="1" applyFill="1" applyBorder="1" applyAlignment="1">
      <alignment horizontal="left" vertical="top"/>
    </xf>
    <xf numFmtId="0" fontId="173" fillId="171" borderId="156" xfId="0" applyFont="1" applyFill="1" applyBorder="1" applyAlignment="1">
      <alignment wrapText="1"/>
    </xf>
    <xf numFmtId="0" fontId="174" fillId="172" borderId="157" xfId="0" applyFont="1" applyFill="1" applyBorder="1" applyAlignment="1">
      <alignment wrapText="1"/>
    </xf>
    <xf numFmtId="0" fontId="175" fillId="173" borderId="158" xfId="0" applyFont="1" applyFill="1" applyBorder="1" applyAlignment="1">
      <alignment wrapText="1"/>
    </xf>
    <xf numFmtId="0" fontId="176" fillId="174" borderId="159" xfId="0" applyFont="1" applyFill="1" applyBorder="1" applyAlignment="1">
      <alignment wrapText="1"/>
    </xf>
    <xf numFmtId="0" fontId="177" fillId="175" borderId="160" xfId="0" applyFont="1" applyFill="1" applyBorder="1" applyAlignment="1">
      <alignment vertical="top" wrapText="1"/>
    </xf>
    <xf numFmtId="0" fontId="178" fillId="176" borderId="161" xfId="0" applyFont="1" applyFill="1" applyBorder="1" applyAlignment="1">
      <alignment vertical="top" wrapText="1"/>
    </xf>
    <xf numFmtId="0" fontId="185" fillId="183" borderId="168" xfId="0" applyFont="1" applyFill="1" applyBorder="1" applyAlignment="1">
      <alignment horizontal="left" wrapText="1"/>
    </xf>
    <xf numFmtId="0" fontId="186" fillId="184" borderId="169" xfId="0" applyFont="1" applyFill="1" applyBorder="1" applyAlignment="1">
      <alignment horizontal="left" vertical="top"/>
    </xf>
    <xf numFmtId="0" fontId="187" fillId="185" borderId="170" xfId="0" applyFont="1" applyFill="1" applyBorder="1" applyAlignment="1">
      <alignment horizontal="left" vertical="top"/>
    </xf>
    <xf numFmtId="0" fontId="188" fillId="186" borderId="171" xfId="0" applyFont="1" applyFill="1" applyBorder="1" applyAlignment="1">
      <alignment vertical="top"/>
    </xf>
    <xf numFmtId="0" fontId="189" fillId="187" borderId="172" xfId="0" applyFont="1" applyFill="1" applyBorder="1" applyAlignment="1">
      <alignment vertical="top"/>
    </xf>
    <xf numFmtId="0" fontId="190" fillId="188" borderId="173" xfId="0" applyFont="1" applyFill="1" applyBorder="1" applyAlignment="1">
      <alignment wrapText="1"/>
    </xf>
    <xf numFmtId="0" fontId="191" fillId="189" borderId="174" xfId="0" applyFont="1" applyFill="1" applyBorder="1" applyAlignment="1">
      <alignment wrapText="1"/>
    </xf>
    <xf numFmtId="0" fontId="192" fillId="190" borderId="175" xfId="0" applyFont="1" applyFill="1" applyBorder="1" applyAlignment="1">
      <alignment horizontal="left" vertical="top"/>
    </xf>
    <xf numFmtId="0" fontId="193" fillId="191" borderId="176" xfId="0" applyFont="1" applyFill="1" applyBorder="1" applyAlignment="1">
      <alignment horizontal="left" vertical="top"/>
    </xf>
    <xf numFmtId="0" fontId="196" fillId="194" borderId="179" xfId="0" applyFont="1" applyFill="1" applyBorder="1" applyAlignment="1">
      <alignment horizontal="left" vertical="top"/>
    </xf>
    <xf numFmtId="0" fontId="197" fillId="195" borderId="180" xfId="0" applyFont="1" applyFill="1" applyBorder="1" applyAlignment="1">
      <alignment horizontal="left" vertical="top"/>
    </xf>
    <xf numFmtId="0" fontId="204" fillId="202" borderId="187" xfId="0" applyFont="1" applyFill="1" applyBorder="1" applyAlignment="1">
      <alignment wrapText="1"/>
    </xf>
    <xf numFmtId="0" fontId="205" fillId="203" borderId="188" xfId="0" applyFont="1" applyFill="1" applyBorder="1" applyAlignment="1">
      <alignment wrapText="1"/>
    </xf>
    <xf numFmtId="0" fontId="206" fillId="204" borderId="189" xfId="0" applyFont="1" applyFill="1" applyBorder="1" applyAlignment="1">
      <alignment horizontal="left" vertical="top" wrapText="1"/>
    </xf>
    <xf numFmtId="0" fontId="207" fillId="205" borderId="190" xfId="0" applyFont="1" applyFill="1" applyBorder="1" applyAlignment="1">
      <alignment horizontal="left" vertical="top" wrapText="1"/>
    </xf>
    <xf numFmtId="0" fontId="208" fillId="206" borderId="191" xfId="0" applyFont="1" applyFill="1" applyBorder="1" applyAlignment="1">
      <alignment wrapText="1"/>
    </xf>
    <xf numFmtId="0" fontId="209" fillId="207" borderId="192" xfId="0" applyFont="1" applyFill="1" applyBorder="1" applyAlignment="1">
      <alignment wrapText="1"/>
    </xf>
    <xf numFmtId="0" fontId="210" fillId="208" borderId="193" xfId="0" applyFont="1" applyFill="1" applyBorder="1" applyAlignment="1">
      <alignment wrapText="1"/>
    </xf>
    <xf numFmtId="0" fontId="211" fillId="209" borderId="194" xfId="0" applyFont="1" applyFill="1" applyBorder="1" applyAlignment="1">
      <alignment wrapText="1"/>
    </xf>
    <xf numFmtId="0" fontId="212" fillId="210" borderId="195" xfId="0" applyFont="1" applyFill="1" applyBorder="1" applyAlignment="1">
      <alignment wrapText="1"/>
    </xf>
    <xf numFmtId="0" fontId="213" fillId="211" borderId="196" xfId="0" applyFont="1" applyFill="1" applyBorder="1" applyAlignment="1">
      <alignment wrapText="1"/>
    </xf>
    <xf numFmtId="0" fontId="214" fillId="212" borderId="197" xfId="0" applyFont="1" applyFill="1" applyBorder="1" applyAlignment="1">
      <alignment wrapText="1"/>
    </xf>
    <xf numFmtId="0" fontId="215" fillId="213" borderId="198" xfId="0" applyFont="1" applyFill="1" applyBorder="1" applyAlignment="1">
      <alignment wrapText="1"/>
    </xf>
    <xf numFmtId="0" fontId="216" fillId="214" borderId="199" xfId="0" applyFont="1" applyFill="1" applyBorder="1" applyAlignment="1">
      <alignment wrapText="1"/>
    </xf>
    <xf numFmtId="0" fontId="217" fillId="215" borderId="200" xfId="0" applyFont="1" applyFill="1" applyBorder="1" applyAlignment="1">
      <alignment wrapText="1"/>
    </xf>
    <xf numFmtId="0" fontId="218" fillId="216" borderId="201" xfId="0" applyFont="1" applyFill="1" applyBorder="1" applyAlignment="1">
      <alignment wrapText="1"/>
    </xf>
    <xf numFmtId="0" fontId="219" fillId="217" borderId="202" xfId="0" applyFont="1" applyFill="1" applyBorder="1" applyAlignment="1">
      <alignment wrapText="1"/>
    </xf>
    <xf numFmtId="0" fontId="220" fillId="218" borderId="203" xfId="0" applyFont="1" applyFill="1" applyBorder="1" applyAlignment="1">
      <alignment wrapText="1"/>
    </xf>
    <xf numFmtId="0" fontId="221" fillId="219" borderId="204" xfId="0" applyFont="1" applyFill="1" applyBorder="1" applyAlignment="1">
      <alignment wrapText="1"/>
    </xf>
    <xf numFmtId="0" fontId="222" fillId="220" borderId="205" xfId="0" applyFont="1" applyFill="1" applyBorder="1" applyAlignment="1">
      <alignment horizontal="left" vertical="top" wrapText="1"/>
    </xf>
    <xf numFmtId="0" fontId="223" fillId="221" borderId="206" xfId="0" applyFont="1" applyFill="1" applyBorder="1" applyAlignment="1">
      <alignment horizontal="left" vertical="top"/>
    </xf>
    <xf numFmtId="0" fontId="224" fillId="222" borderId="207" xfId="0" applyFont="1" applyFill="1" applyBorder="1" applyAlignment="1">
      <alignment wrapText="1"/>
    </xf>
    <xf numFmtId="0" fontId="225" fillId="223" borderId="208" xfId="0" applyFont="1" applyFill="1" applyBorder="1" applyAlignment="1">
      <alignment wrapText="1"/>
    </xf>
    <xf numFmtId="0" fontId="226" fillId="224" borderId="209" xfId="0" applyFont="1" applyFill="1" applyBorder="1" applyAlignment="1">
      <alignment wrapText="1"/>
    </xf>
    <xf numFmtId="0" fontId="227" fillId="225" borderId="210" xfId="0" applyFont="1" applyFill="1" applyBorder="1" applyAlignment="1">
      <alignment wrapText="1"/>
    </xf>
    <xf numFmtId="0" fontId="228" fillId="226" borderId="211" xfId="0" applyFont="1" applyFill="1" applyBorder="1" applyAlignment="1">
      <alignment wrapText="1"/>
    </xf>
    <xf numFmtId="0" fontId="229" fillId="227" borderId="212" xfId="0" applyFont="1" applyFill="1" applyBorder="1" applyAlignment="1">
      <alignment wrapText="1"/>
    </xf>
    <xf numFmtId="0" fontId="230" fillId="228" borderId="213" xfId="0" applyFont="1" applyFill="1" applyBorder="1" applyAlignment="1">
      <alignment wrapText="1"/>
    </xf>
    <xf numFmtId="0" fontId="231" fillId="229" borderId="214" xfId="0" applyFont="1" applyFill="1" applyBorder="1" applyAlignment="1">
      <alignment horizontal="left" vertical="top"/>
    </xf>
    <xf numFmtId="0" fontId="232" fillId="230" borderId="215" xfId="0" applyFont="1" applyFill="1" applyBorder="1" applyAlignment="1">
      <alignment horizontal="left" vertical="top"/>
    </xf>
    <xf numFmtId="0" fontId="233" fillId="231" borderId="216" xfId="0" applyFont="1" applyFill="1" applyBorder="1" applyAlignment="1">
      <alignment wrapText="1"/>
    </xf>
    <xf numFmtId="0" fontId="234" fillId="232" borderId="217" xfId="0" applyFont="1" applyFill="1" applyBorder="1" applyAlignment="1">
      <alignment wrapText="1"/>
    </xf>
    <xf numFmtId="0" fontId="235" fillId="233" borderId="218" xfId="0" applyFont="1" applyFill="1" applyBorder="1" applyAlignment="1">
      <alignment horizontal="left" vertical="top"/>
    </xf>
    <xf numFmtId="0" fontId="236" fillId="234" borderId="219" xfId="0" applyFont="1" applyFill="1" applyBorder="1" applyAlignment="1">
      <alignment horizontal="left" vertical="top"/>
    </xf>
    <xf numFmtId="0" fontId="237" fillId="235" borderId="220" xfId="0" applyFont="1" applyFill="1" applyBorder="1" applyAlignment="1">
      <alignment wrapText="1"/>
    </xf>
    <xf numFmtId="0" fontId="238" fillId="236" borderId="221" xfId="0" applyFont="1" applyFill="1" applyBorder="1" applyAlignment="1">
      <alignment wrapText="1"/>
    </xf>
    <xf numFmtId="0" fontId="239" fillId="237" borderId="222" xfId="0" applyFont="1" applyFill="1" applyBorder="1" applyAlignment="1">
      <alignment wrapText="1"/>
    </xf>
    <xf numFmtId="0" fontId="240" fillId="238" borderId="223" xfId="0" applyFont="1" applyFill="1" applyBorder="1" applyAlignment="1">
      <alignment wrapText="1"/>
    </xf>
    <xf numFmtId="0" fontId="241" fillId="239" borderId="224" xfId="0" applyFont="1" applyFill="1" applyBorder="1" applyAlignment="1">
      <alignment wrapText="1"/>
    </xf>
    <xf numFmtId="0" fontId="242" fillId="240" borderId="225" xfId="0" applyFont="1" applyFill="1" applyBorder="1" applyAlignment="1">
      <alignment wrapText="1"/>
    </xf>
    <xf numFmtId="0" fontId="243" fillId="241" borderId="226" xfId="0" applyFont="1" applyFill="1" applyBorder="1" applyAlignment="1">
      <alignment wrapText="1"/>
    </xf>
    <xf numFmtId="0" fontId="244" fillId="242" borderId="227" xfId="0" applyFont="1" applyFill="1" applyBorder="1" applyAlignment="1">
      <alignment wrapText="1"/>
    </xf>
    <xf numFmtId="0" fontId="245" fillId="243" borderId="228" xfId="0" applyFont="1" applyFill="1" applyBorder="1" applyAlignment="1">
      <alignment wrapText="1"/>
    </xf>
    <xf numFmtId="0" fontId="246" fillId="244" borderId="229" xfId="0" applyFont="1" applyFill="1" applyBorder="1" applyAlignment="1">
      <alignment wrapText="1"/>
    </xf>
    <xf numFmtId="0" fontId="247" fillId="245" borderId="230" xfId="0" applyFont="1" applyFill="1" applyBorder="1" applyAlignment="1">
      <alignment wrapText="1"/>
    </xf>
    <xf numFmtId="0" fontId="248" fillId="246" borderId="231" xfId="0" applyFont="1" applyFill="1" applyBorder="1" applyAlignment="1">
      <alignment wrapText="1"/>
    </xf>
    <xf numFmtId="0" fontId="249" fillId="247" borderId="232" xfId="0" applyFont="1" applyFill="1" applyBorder="1" applyAlignment="1">
      <alignment wrapText="1"/>
    </xf>
    <xf numFmtId="0" fontId="250" fillId="248" borderId="233" xfId="0" applyFont="1" applyFill="1" applyBorder="1" applyAlignment="1">
      <alignment wrapText="1"/>
    </xf>
    <xf numFmtId="0" fontId="251" fillId="249" borderId="234" xfId="0" applyFont="1" applyFill="1" applyBorder="1" applyAlignment="1">
      <alignment wrapText="1"/>
    </xf>
    <xf numFmtId="0" fontId="252" fillId="250" borderId="235" xfId="0" applyFont="1" applyFill="1" applyBorder="1" applyAlignment="1">
      <alignment wrapText="1"/>
    </xf>
    <xf numFmtId="0" fontId="253" fillId="251" borderId="236" xfId="0" applyFont="1" applyFill="1" applyBorder="1" applyAlignment="1">
      <alignment horizontal="left" vertical="top"/>
    </xf>
    <xf numFmtId="0" fontId="254" fillId="252" borderId="237" xfId="0" applyFont="1" applyFill="1" applyBorder="1" applyAlignment="1">
      <alignment horizontal="left" vertical="top"/>
    </xf>
    <xf numFmtId="0" fontId="255" fillId="253" borderId="238" xfId="0" applyFont="1" applyFill="1" applyBorder="1" applyAlignment="1">
      <alignment wrapText="1"/>
    </xf>
    <xf numFmtId="0" fontId="256" fillId="254" borderId="239" xfId="0" applyFont="1" applyFill="1" applyBorder="1" applyAlignment="1">
      <alignment wrapText="1"/>
    </xf>
    <xf numFmtId="0" fontId="257" fillId="255" borderId="240" xfId="0" applyFont="1" applyFill="1" applyBorder="1" applyAlignment="1">
      <alignment horizontal="left" vertical="top"/>
    </xf>
    <xf numFmtId="0" fontId="258" fillId="256" borderId="241" xfId="0" applyFont="1" applyFill="1" applyBorder="1" applyAlignment="1">
      <alignment horizontal="left" vertical="top"/>
    </xf>
    <xf numFmtId="0" fontId="259" fillId="257" borderId="242" xfId="0" applyFont="1" applyFill="1" applyBorder="1" applyAlignment="1">
      <alignment wrapText="1"/>
    </xf>
    <xf numFmtId="0" fontId="260" fillId="258" borderId="243" xfId="0" applyFont="1" applyFill="1" applyBorder="1" applyAlignment="1">
      <alignment wrapText="1"/>
    </xf>
    <xf numFmtId="0" fontId="261" fillId="259" borderId="244" xfId="0" applyFont="1" applyFill="1" applyBorder="1" applyAlignment="1">
      <alignment wrapText="1"/>
    </xf>
    <xf numFmtId="0" fontId="262" fillId="260" borderId="245" xfId="0" applyFont="1" applyFill="1" applyBorder="1" applyAlignment="1">
      <alignment wrapText="1"/>
    </xf>
    <xf numFmtId="0" fontId="263" fillId="261" borderId="246" xfId="0" applyFont="1" applyFill="1" applyBorder="1" applyAlignment="1">
      <alignment wrapText="1"/>
    </xf>
    <xf numFmtId="0" fontId="264" fillId="262" borderId="247" xfId="0" applyFont="1" applyFill="1" applyBorder="1" applyAlignment="1">
      <alignment wrapText="1"/>
    </xf>
    <xf numFmtId="0" fontId="265" fillId="263" borderId="248" xfId="0" applyFont="1" applyFill="1" applyBorder="1" applyAlignment="1">
      <alignment wrapText="1"/>
    </xf>
    <xf numFmtId="0" fontId="266" fillId="264" borderId="249" xfId="0" applyFont="1" applyFill="1" applyBorder="1" applyAlignment="1">
      <alignment wrapText="1"/>
    </xf>
    <xf numFmtId="0" fontId="267" fillId="265" borderId="250" xfId="0" applyFont="1" applyFill="1" applyBorder="1" applyAlignment="1">
      <alignment wrapText="1"/>
    </xf>
    <xf numFmtId="0" fontId="268" fillId="266" borderId="251" xfId="0" applyFont="1" applyFill="1" applyBorder="1" applyAlignment="1">
      <alignment wrapText="1"/>
    </xf>
    <xf numFmtId="0" fontId="269" fillId="267" borderId="252" xfId="0" applyFont="1" applyFill="1" applyBorder="1" applyAlignment="1">
      <alignment wrapText="1"/>
    </xf>
    <xf numFmtId="0" fontId="270" fillId="268" borderId="253" xfId="0" applyFont="1" applyFill="1" applyBorder="1" applyAlignment="1">
      <alignment wrapText="1"/>
    </xf>
    <xf numFmtId="0" fontId="271" fillId="269" borderId="254" xfId="0" applyFont="1" applyFill="1" applyBorder="1" applyAlignment="1">
      <alignment wrapText="1"/>
    </xf>
    <xf numFmtId="0" fontId="272" fillId="270" borderId="255" xfId="0" applyFont="1" applyFill="1" applyBorder="1" applyAlignment="1">
      <alignment wrapText="1"/>
    </xf>
    <xf numFmtId="0" fontId="273" fillId="271" borderId="256" xfId="0" applyFont="1" applyFill="1" applyBorder="1" applyAlignment="1">
      <alignment wrapText="1"/>
    </xf>
    <xf numFmtId="0" fontId="274" fillId="272" borderId="257" xfId="0" applyFont="1" applyFill="1" applyBorder="1" applyAlignment="1">
      <alignment wrapText="1"/>
    </xf>
    <xf numFmtId="0" fontId="275" fillId="273" borderId="258" xfId="0" applyFont="1" applyFill="1" applyBorder="1" applyAlignment="1">
      <alignment wrapText="1"/>
    </xf>
    <xf numFmtId="0" fontId="276" fillId="274" borderId="259" xfId="0" applyFont="1" applyFill="1" applyBorder="1" applyAlignment="1">
      <alignment wrapText="1"/>
    </xf>
    <xf numFmtId="0" fontId="277" fillId="275" borderId="260" xfId="0" applyFont="1" applyFill="1" applyBorder="1" applyAlignment="1">
      <alignment wrapText="1"/>
    </xf>
    <xf numFmtId="0" fontId="278" fillId="276" borderId="261" xfId="0" applyFont="1" applyFill="1" applyBorder="1" applyAlignment="1">
      <alignment wrapText="1"/>
    </xf>
    <xf numFmtId="0" fontId="279" fillId="277" borderId="262" xfId="0" applyFont="1" applyFill="1" applyBorder="1" applyAlignment="1">
      <alignment wrapText="1"/>
    </xf>
    <xf numFmtId="0" fontId="280" fillId="278" borderId="263" xfId="0" applyFont="1" applyFill="1" applyBorder="1" applyAlignment="1">
      <alignment wrapText="1"/>
    </xf>
    <xf numFmtId="0" fontId="281" fillId="279" borderId="264" xfId="0" applyFont="1" applyFill="1" applyBorder="1" applyAlignment="1">
      <alignment horizontal="left" vertical="top"/>
    </xf>
    <xf numFmtId="0" fontId="282" fillId="280" borderId="265" xfId="0" applyFont="1" applyFill="1" applyBorder="1" applyAlignment="1">
      <alignment horizontal="left" vertical="top"/>
    </xf>
    <xf numFmtId="0" fontId="283" fillId="281" borderId="266" xfId="0" applyFont="1" applyFill="1" applyBorder="1" applyAlignment="1">
      <alignment wrapText="1"/>
    </xf>
    <xf numFmtId="0" fontId="284" fillId="282" borderId="267" xfId="0" applyFont="1" applyFill="1" applyBorder="1" applyAlignment="1">
      <alignment wrapText="1"/>
    </xf>
    <xf numFmtId="0" fontId="285" fillId="283" borderId="268" xfId="0" applyFont="1" applyFill="1" applyBorder="1" applyAlignment="1">
      <alignment wrapText="1"/>
    </xf>
    <xf numFmtId="0" fontId="286" fillId="284" borderId="269" xfId="0" applyFont="1" applyFill="1" applyBorder="1" applyAlignment="1">
      <alignment wrapText="1"/>
    </xf>
    <xf numFmtId="0" fontId="287" fillId="285" borderId="270" xfId="0" applyFont="1" applyFill="1" applyBorder="1" applyAlignment="1">
      <alignment wrapText="1"/>
    </xf>
    <xf numFmtId="0" fontId="288" fillId="286" borderId="271" xfId="0" applyFont="1" applyFill="1" applyBorder="1" applyAlignment="1">
      <alignment wrapText="1"/>
    </xf>
    <xf numFmtId="0" fontId="289" fillId="287" borderId="272" xfId="0" applyFont="1" applyFill="1" applyBorder="1" applyAlignment="1">
      <alignment wrapText="1"/>
    </xf>
    <xf numFmtId="0" fontId="290" fillId="288" borderId="273" xfId="0" applyFont="1" applyFill="1" applyBorder="1" applyAlignment="1">
      <alignment wrapText="1"/>
    </xf>
    <xf numFmtId="0" fontId="291" fillId="289" borderId="274" xfId="0" applyFont="1" applyFill="1" applyBorder="1" applyAlignment="1">
      <alignment wrapText="1"/>
    </xf>
    <xf numFmtId="0" fontId="292" fillId="290" borderId="275" xfId="0" applyFont="1" applyFill="1" applyBorder="1" applyAlignment="1">
      <alignment wrapText="1"/>
    </xf>
    <xf numFmtId="0" fontId="293" fillId="291" borderId="276" xfId="0" applyFont="1" applyFill="1" applyBorder="1" applyAlignment="1">
      <alignment horizontal="left" vertical="top" wrapText="1"/>
    </xf>
    <xf numFmtId="0" fontId="294" fillId="292" borderId="277" xfId="0" applyFont="1" applyFill="1" applyBorder="1" applyAlignment="1">
      <alignment wrapText="1"/>
    </xf>
    <xf numFmtId="0" fontId="295" fillId="293" borderId="278" xfId="0" applyFont="1" applyFill="1" applyBorder="1" applyAlignment="1">
      <alignment wrapText="1"/>
    </xf>
    <xf numFmtId="0" fontId="296" fillId="294" borderId="279" xfId="0" applyFont="1" applyFill="1" applyBorder="1" applyAlignment="1">
      <alignment wrapText="1"/>
    </xf>
    <xf numFmtId="0" fontId="297" fillId="295" borderId="280" xfId="0" applyFont="1" applyFill="1" applyBorder="1" applyAlignment="1">
      <alignment wrapText="1"/>
    </xf>
    <xf numFmtId="0" fontId="298" fillId="296" borderId="281" xfId="0" applyFont="1" applyFill="1" applyBorder="1" applyAlignment="1">
      <alignment wrapText="1"/>
    </xf>
    <xf numFmtId="0" fontId="299" fillId="297" borderId="282" xfId="0" applyFont="1" applyFill="1" applyBorder="1" applyAlignment="1">
      <alignment wrapText="1"/>
    </xf>
    <xf numFmtId="0" fontId="300" fillId="298" borderId="283" xfId="0" applyFont="1" applyFill="1" applyBorder="1" applyAlignment="1">
      <alignment wrapText="1"/>
    </xf>
    <xf numFmtId="0" fontId="301" fillId="299" borderId="284" xfId="0" applyFont="1" applyFill="1" applyBorder="1" applyAlignment="1">
      <alignment wrapText="1"/>
    </xf>
    <xf numFmtId="0" fontId="304" fillId="302" borderId="287" xfId="0" applyFont="1" applyFill="1" applyBorder="1" applyAlignment="1">
      <alignment wrapText="1"/>
    </xf>
    <xf numFmtId="0" fontId="305" fillId="303" borderId="288" xfId="0" applyFont="1" applyFill="1" applyBorder="1" applyAlignment="1">
      <alignment vertical="top" wrapText="1"/>
    </xf>
    <xf numFmtId="0" fontId="306" fillId="304" borderId="289" xfId="0" applyFont="1" applyFill="1" applyBorder="1" applyAlignment="1">
      <alignment vertical="top" wrapText="1"/>
    </xf>
    <xf numFmtId="0" fontId="307" fillId="305" borderId="290" xfId="0" applyFont="1" applyFill="1" applyBorder="1" applyAlignment="1">
      <alignment wrapText="1"/>
    </xf>
    <xf numFmtId="0" fontId="308" fillId="306" borderId="291" xfId="0" applyFont="1" applyFill="1" applyBorder="1" applyAlignment="1">
      <alignment wrapText="1"/>
    </xf>
    <xf numFmtId="0" fontId="309" fillId="307" borderId="292" xfId="0" applyFont="1" applyFill="1" applyBorder="1" applyAlignment="1">
      <alignment wrapText="1"/>
    </xf>
    <xf numFmtId="0" fontId="310" fillId="308" borderId="293" xfId="0" applyFont="1" applyFill="1" applyBorder="1" applyAlignment="1">
      <alignment wrapText="1"/>
    </xf>
    <xf numFmtId="0" fontId="311" fillId="309" borderId="294" xfId="0" applyFont="1" applyFill="1" applyBorder="1" applyAlignment="1">
      <alignment wrapText="1"/>
    </xf>
    <xf numFmtId="0" fontId="312" fillId="310" borderId="295" xfId="0" applyFont="1" applyFill="1" applyBorder="1" applyAlignment="1">
      <alignment wrapText="1"/>
    </xf>
    <xf numFmtId="0" fontId="313" fillId="311" borderId="296" xfId="0" applyFont="1" applyFill="1" applyBorder="1" applyAlignment="1">
      <alignment horizontal="left" vertical="top"/>
    </xf>
    <xf numFmtId="0" fontId="314" fillId="312" borderId="297" xfId="0" applyFont="1" applyFill="1" applyBorder="1" applyAlignment="1">
      <alignment horizontal="left" vertical="top"/>
    </xf>
    <xf numFmtId="0" fontId="315" fillId="313" borderId="298" xfId="0" applyFont="1" applyFill="1" applyBorder="1" applyAlignment="1">
      <alignment wrapText="1"/>
    </xf>
    <xf numFmtId="0" fontId="316" fillId="314" borderId="299" xfId="0" applyFont="1" applyFill="1" applyBorder="1" applyAlignment="1">
      <alignment wrapText="1"/>
    </xf>
    <xf numFmtId="0" fontId="317" fillId="315" borderId="300" xfId="0" applyFont="1" applyFill="1" applyBorder="1" applyAlignment="1">
      <alignment wrapText="1"/>
    </xf>
    <xf numFmtId="0" fontId="318" fillId="316" borderId="301" xfId="0" applyFont="1" applyFill="1" applyBorder="1" applyAlignment="1">
      <alignment wrapText="1"/>
    </xf>
    <xf numFmtId="0" fontId="319" fillId="317" borderId="302" xfId="0" applyFont="1" applyFill="1" applyBorder="1" applyAlignment="1">
      <alignment vertical="top" wrapText="1"/>
    </xf>
    <xf numFmtId="0" fontId="320" fillId="318" borderId="303" xfId="0" applyFont="1" applyFill="1" applyBorder="1" applyAlignment="1">
      <alignment vertical="top" wrapText="1"/>
    </xf>
    <xf numFmtId="0" fontId="327" fillId="325" borderId="310" xfId="0" applyFont="1" applyFill="1" applyBorder="1" applyAlignment="1">
      <alignment horizontal="left" wrapText="1"/>
    </xf>
    <xf numFmtId="0" fontId="328" fillId="326" borderId="311" xfId="0" applyFont="1" applyFill="1" applyBorder="1" applyAlignment="1">
      <alignment horizontal="left" vertical="top"/>
    </xf>
    <xf numFmtId="0" fontId="329" fillId="327" borderId="312" xfId="0" applyFont="1" applyFill="1" applyBorder="1" applyAlignment="1">
      <alignment horizontal="left" vertical="top"/>
    </xf>
    <xf numFmtId="0" fontId="330" fillId="328" borderId="313" xfId="0" applyFont="1" applyFill="1" applyBorder="1" applyAlignment="1">
      <alignment vertical="top"/>
    </xf>
    <xf numFmtId="0" fontId="331" fillId="329" borderId="314" xfId="0" applyFont="1" applyFill="1" applyBorder="1" applyAlignment="1">
      <alignment vertical="top"/>
    </xf>
    <xf numFmtId="0" fontId="332" fillId="330" borderId="315" xfId="0" applyFont="1" applyFill="1" applyBorder="1" applyAlignment="1">
      <alignment wrapText="1"/>
    </xf>
    <xf numFmtId="0" fontId="333" fillId="331" borderId="316" xfId="0" applyFont="1" applyFill="1" applyBorder="1" applyAlignment="1">
      <alignment wrapText="1"/>
    </xf>
    <xf numFmtId="0" fontId="334" fillId="332" borderId="317" xfId="0" applyFont="1" applyFill="1" applyBorder="1" applyAlignment="1">
      <alignment horizontal="left" vertical="top"/>
    </xf>
    <xf numFmtId="0" fontId="335" fillId="333" borderId="318" xfId="0" applyFont="1" applyFill="1" applyBorder="1" applyAlignment="1">
      <alignment horizontal="left" vertical="top"/>
    </xf>
    <xf numFmtId="0" fontId="338" fillId="336" borderId="321" xfId="0" applyFont="1" applyFill="1" applyBorder="1" applyAlignment="1">
      <alignment horizontal="left" vertical="top"/>
    </xf>
    <xf numFmtId="0" fontId="339" fillId="337" borderId="322" xfId="0" applyFont="1" applyFill="1" applyBorder="1" applyAlignment="1">
      <alignment horizontal="left" vertical="top"/>
    </xf>
    <xf numFmtId="0" fontId="346" fillId="344" borderId="329" xfId="0" applyFont="1" applyFill="1" applyBorder="1" applyAlignment="1">
      <alignment wrapText="1"/>
    </xf>
    <xf numFmtId="0" fontId="347" fillId="345" borderId="330" xfId="0" applyFont="1" applyFill="1" applyBorder="1" applyAlignment="1">
      <alignment wrapText="1"/>
    </xf>
    <xf numFmtId="0" fontId="348" fillId="346" borderId="331" xfId="0" applyFont="1" applyFill="1" applyBorder="1" applyAlignment="1">
      <alignment horizontal="left" vertical="top" wrapText="1"/>
    </xf>
    <xf numFmtId="0" fontId="349" fillId="347" borderId="332" xfId="0" applyFont="1" applyFill="1" applyBorder="1" applyAlignment="1">
      <alignment horizontal="left" vertical="top" wrapText="1"/>
    </xf>
    <xf numFmtId="0" fontId="350" fillId="348" borderId="333" xfId="0" applyFont="1" applyFill="1" applyBorder="1" applyAlignment="1">
      <alignment wrapText="1"/>
    </xf>
    <xf numFmtId="0" fontId="351" fillId="349" borderId="334" xfId="0" applyFont="1" applyFill="1" applyBorder="1" applyAlignment="1">
      <alignment wrapText="1"/>
    </xf>
    <xf numFmtId="0" fontId="352" fillId="350" borderId="335" xfId="0" applyFont="1" applyFill="1" applyBorder="1" applyAlignment="1">
      <alignment wrapText="1"/>
    </xf>
    <xf numFmtId="0" fontId="353" fillId="351" borderId="336" xfId="0" applyFont="1" applyFill="1" applyBorder="1" applyAlignment="1">
      <alignment wrapText="1"/>
    </xf>
    <xf numFmtId="0" fontId="354" fillId="352" borderId="337" xfId="0" applyFont="1" applyFill="1" applyBorder="1" applyAlignment="1">
      <alignment wrapText="1"/>
    </xf>
    <xf numFmtId="0" fontId="355" fillId="353" borderId="338" xfId="0" applyFont="1" applyFill="1" applyBorder="1" applyAlignment="1">
      <alignment wrapText="1"/>
    </xf>
    <xf numFmtId="0" fontId="356" fillId="354" borderId="339" xfId="0" applyFont="1" applyFill="1" applyBorder="1" applyAlignment="1">
      <alignment wrapText="1"/>
    </xf>
    <xf numFmtId="0" fontId="357" fillId="355" borderId="340" xfId="0" applyFont="1" applyFill="1" applyBorder="1" applyAlignment="1">
      <alignment wrapText="1"/>
    </xf>
    <xf numFmtId="0" fontId="358" fillId="356" borderId="341" xfId="0" applyFont="1" applyFill="1" applyBorder="1" applyAlignment="1">
      <alignment wrapText="1"/>
    </xf>
    <xf numFmtId="0" fontId="359" fillId="357" borderId="342" xfId="0" applyFont="1" applyFill="1" applyBorder="1" applyAlignment="1">
      <alignment wrapText="1"/>
    </xf>
    <xf numFmtId="0" fontId="360" fillId="358" borderId="343" xfId="0" applyFont="1" applyFill="1" applyBorder="1" applyAlignment="1">
      <alignment wrapText="1"/>
    </xf>
    <xf numFmtId="0" fontId="361" fillId="359" borderId="344" xfId="0" applyFont="1" applyFill="1" applyBorder="1" applyAlignment="1">
      <alignment wrapText="1"/>
    </xf>
    <xf numFmtId="0" fontId="362" fillId="360" borderId="345" xfId="0" applyFont="1" applyFill="1" applyBorder="1" applyAlignment="1">
      <alignment wrapText="1"/>
    </xf>
    <xf numFmtId="0" fontId="363" fillId="361" borderId="346" xfId="0" applyFont="1" applyFill="1" applyBorder="1" applyAlignment="1">
      <alignment wrapText="1"/>
    </xf>
    <xf numFmtId="0" fontId="364" fillId="362" borderId="347" xfId="0" applyFont="1" applyFill="1" applyBorder="1" applyAlignment="1">
      <alignment horizontal="left" vertical="top" wrapText="1"/>
    </xf>
    <xf numFmtId="0" fontId="365" fillId="363" borderId="348" xfId="0" applyFont="1" applyFill="1" applyBorder="1" applyAlignment="1">
      <alignment horizontal="left" vertical="top" wrapText="1"/>
    </xf>
    <xf numFmtId="0" fontId="366" fillId="364" borderId="349" xfId="0" applyFont="1" applyFill="1" applyBorder="1" applyAlignment="1">
      <alignment horizontal="left" vertical="top"/>
    </xf>
    <xf numFmtId="0" fontId="367" fillId="366" borderId="351" xfId="0" applyFont="1" applyFill="1" applyBorder="1" applyAlignment="1">
      <alignment wrapText="1"/>
    </xf>
    <xf numFmtId="0" fontId="368" fillId="367" borderId="352" xfId="0" applyFont="1" applyFill="1" applyBorder="1" applyAlignment="1">
      <alignment wrapText="1"/>
    </xf>
    <xf numFmtId="0" fontId="369" fillId="368" borderId="353" xfId="0" applyFont="1" applyFill="1" applyBorder="1" applyAlignment="1">
      <alignment wrapText="1"/>
    </xf>
    <xf numFmtId="0" fontId="370" fillId="369" borderId="354" xfId="0" applyFont="1" applyFill="1" applyBorder="1" applyAlignment="1">
      <alignment wrapText="1"/>
    </xf>
    <xf numFmtId="0" fontId="371" fillId="370" borderId="355" xfId="0" applyFont="1" applyFill="1" applyBorder="1" applyAlignment="1">
      <alignment wrapText="1"/>
    </xf>
    <xf numFmtId="0" fontId="372" fillId="371" borderId="356" xfId="0" applyFont="1" applyFill="1" applyBorder="1" applyAlignment="1">
      <alignment wrapText="1"/>
    </xf>
    <xf numFmtId="0" fontId="373" fillId="372" borderId="357" xfId="0" applyFont="1" applyFill="1" applyBorder="1" applyAlignment="1">
      <alignment wrapText="1"/>
    </xf>
    <xf numFmtId="0" fontId="374" fillId="373" borderId="358" xfId="0" applyFont="1" applyFill="1" applyBorder="1" applyAlignment="1">
      <alignment horizontal="left" vertical="top"/>
    </xf>
    <xf numFmtId="0" fontId="375" fillId="374" borderId="359" xfId="0" applyFont="1" applyFill="1" applyBorder="1" applyAlignment="1">
      <alignment horizontal="left" vertical="top"/>
    </xf>
    <xf numFmtId="0" fontId="376" fillId="375" borderId="360" xfId="0" applyFont="1" applyFill="1" applyBorder="1" applyAlignment="1">
      <alignment wrapText="1"/>
    </xf>
    <xf numFmtId="0" fontId="377" fillId="376" borderId="361" xfId="0" applyFont="1" applyFill="1" applyBorder="1" applyAlignment="1">
      <alignment wrapText="1"/>
    </xf>
    <xf numFmtId="0" fontId="378" fillId="377" borderId="362" xfId="0" applyFont="1" applyFill="1" applyBorder="1" applyAlignment="1">
      <alignment wrapText="1"/>
    </xf>
    <xf numFmtId="0" fontId="379" fillId="378" borderId="363" xfId="0" applyFont="1" applyFill="1" applyBorder="1" applyAlignment="1">
      <alignment wrapText="1"/>
    </xf>
    <xf numFmtId="0" fontId="380" fillId="379" borderId="364" xfId="0" applyFont="1" applyFill="1" applyBorder="1" applyAlignment="1">
      <alignment wrapText="1"/>
    </xf>
    <xf numFmtId="0" fontId="381" fillId="380" borderId="365" xfId="0" applyFont="1" applyFill="1" applyBorder="1" applyAlignment="1">
      <alignment wrapText="1"/>
    </xf>
    <xf numFmtId="0" fontId="382" fillId="381" borderId="366" xfId="0" applyFont="1" applyFill="1" applyBorder="1" applyAlignment="1">
      <alignment wrapText="1"/>
    </xf>
    <xf numFmtId="0" fontId="383" fillId="382" borderId="367" xfId="0" applyFont="1" applyFill="1" applyBorder="1" applyAlignment="1">
      <alignment wrapText="1"/>
    </xf>
    <xf numFmtId="0" fontId="384" fillId="383" borderId="368" xfId="0" applyFont="1" applyFill="1" applyBorder="1" applyAlignment="1">
      <alignment wrapText="1"/>
    </xf>
    <xf numFmtId="0" fontId="385" fillId="384" borderId="369" xfId="0" applyFont="1" applyFill="1" applyBorder="1" applyAlignment="1">
      <alignment wrapText="1"/>
    </xf>
    <xf numFmtId="0" fontId="386" fillId="385" borderId="370" xfId="0" applyFont="1" applyFill="1" applyBorder="1" applyAlignment="1">
      <alignment wrapText="1"/>
    </xf>
    <xf numFmtId="0" fontId="387" fillId="386" borderId="371" xfId="0" applyFont="1" applyFill="1" applyBorder="1" applyAlignment="1">
      <alignment wrapText="1"/>
    </xf>
    <xf numFmtId="0" fontId="388" fillId="387" borderId="372" xfId="0" applyFont="1" applyFill="1" applyBorder="1" applyAlignment="1">
      <alignment wrapText="1"/>
    </xf>
    <xf numFmtId="0" fontId="389" fillId="388" borderId="373" xfId="0" applyFont="1" applyFill="1" applyBorder="1" applyAlignment="1">
      <alignment wrapText="1"/>
    </xf>
    <xf numFmtId="0" fontId="390" fillId="389" borderId="374" xfId="0" applyFont="1" applyFill="1" applyBorder="1" applyAlignment="1">
      <alignment wrapText="1"/>
    </xf>
    <xf numFmtId="0" fontId="391" fillId="390" borderId="375" xfId="0" applyFont="1" applyFill="1" applyBorder="1" applyAlignment="1">
      <alignment wrapText="1"/>
    </xf>
    <xf numFmtId="0" fontId="392" fillId="391" borderId="376" xfId="0" applyFont="1" applyFill="1" applyBorder="1" applyAlignment="1">
      <alignment wrapText="1"/>
    </xf>
    <xf numFmtId="0" fontId="393" fillId="392" borderId="377" xfId="0" applyFont="1" applyFill="1" applyBorder="1" applyAlignment="1">
      <alignment horizontal="left" vertical="top"/>
    </xf>
    <xf numFmtId="0" fontId="394" fillId="393" borderId="378" xfId="0" applyFont="1" applyFill="1" applyBorder="1" applyAlignment="1">
      <alignment horizontal="left" vertical="top"/>
    </xf>
    <xf numFmtId="0" fontId="395" fillId="394" borderId="379" xfId="0" applyFont="1" applyFill="1" applyBorder="1" applyAlignment="1">
      <alignment wrapText="1"/>
    </xf>
    <xf numFmtId="0" fontId="396" fillId="395" borderId="380" xfId="0" applyFont="1" applyFill="1" applyBorder="1" applyAlignment="1">
      <alignment wrapText="1"/>
    </xf>
    <xf numFmtId="0" fontId="397" fillId="396" borderId="381" xfId="0" applyFont="1" applyFill="1" applyBorder="1" applyAlignment="1">
      <alignment horizontal="left" vertical="top"/>
    </xf>
    <xf numFmtId="0" fontId="398" fillId="397" borderId="382" xfId="0" applyFont="1" applyFill="1" applyBorder="1" applyAlignment="1">
      <alignment horizontal="left" vertical="top"/>
    </xf>
    <xf numFmtId="0" fontId="399" fillId="398" borderId="383" xfId="0" applyFont="1" applyFill="1" applyBorder="1" applyAlignment="1">
      <alignment wrapText="1"/>
    </xf>
    <xf numFmtId="0" fontId="400" fillId="399" borderId="384" xfId="0" applyFont="1" applyFill="1" applyBorder="1" applyAlignment="1">
      <alignment wrapText="1"/>
    </xf>
    <xf numFmtId="0" fontId="401" fillId="400" borderId="385" xfId="0" applyFont="1" applyFill="1" applyBorder="1" applyAlignment="1">
      <alignment wrapText="1"/>
    </xf>
    <xf numFmtId="0" fontId="402" fillId="401" borderId="386" xfId="0" applyFont="1" applyFill="1" applyBorder="1" applyAlignment="1">
      <alignment wrapText="1"/>
    </xf>
    <xf numFmtId="0" fontId="403" fillId="402" borderId="387" xfId="0" applyFont="1" applyFill="1" applyBorder="1" applyAlignment="1">
      <alignment wrapText="1"/>
    </xf>
    <xf numFmtId="0" fontId="404" fillId="403" borderId="388" xfId="0" applyFont="1" applyFill="1" applyBorder="1" applyAlignment="1">
      <alignment wrapText="1"/>
    </xf>
    <xf numFmtId="0" fontId="405" fillId="404" borderId="389" xfId="0" applyFont="1" applyFill="1" applyBorder="1" applyAlignment="1">
      <alignment wrapText="1"/>
    </xf>
    <xf numFmtId="0" fontId="406" fillId="405" borderId="390" xfId="0" applyFont="1" applyFill="1" applyBorder="1" applyAlignment="1">
      <alignment wrapText="1"/>
    </xf>
    <xf numFmtId="0" fontId="407" fillId="406" borderId="391" xfId="0" applyFont="1" applyFill="1" applyBorder="1" applyAlignment="1">
      <alignment wrapText="1"/>
    </xf>
    <xf numFmtId="0" fontId="408" fillId="407" borderId="392" xfId="0" applyFont="1" applyFill="1" applyBorder="1" applyAlignment="1">
      <alignment wrapText="1"/>
    </xf>
    <xf numFmtId="0" fontId="409" fillId="408" borderId="393" xfId="0" applyFont="1" applyFill="1" applyBorder="1" applyAlignment="1">
      <alignment wrapText="1"/>
    </xf>
    <xf numFmtId="0" fontId="410" fillId="409" borderId="394" xfId="0" applyFont="1" applyFill="1" applyBorder="1" applyAlignment="1">
      <alignment wrapText="1"/>
    </xf>
    <xf numFmtId="0" fontId="411" fillId="410" borderId="395" xfId="0" applyFont="1" applyFill="1" applyBorder="1" applyAlignment="1">
      <alignment wrapText="1"/>
    </xf>
    <xf numFmtId="0" fontId="412" fillId="411" borderId="396" xfId="0" applyFont="1" applyFill="1" applyBorder="1" applyAlignment="1">
      <alignment wrapText="1"/>
    </xf>
    <xf numFmtId="0" fontId="413" fillId="412" borderId="397" xfId="0" applyFont="1" applyFill="1" applyBorder="1" applyAlignment="1">
      <alignment wrapText="1"/>
    </xf>
    <xf numFmtId="0" fontId="414" fillId="413" borderId="398" xfId="0" applyFont="1" applyFill="1" applyBorder="1" applyAlignment="1">
      <alignment wrapText="1"/>
    </xf>
    <xf numFmtId="0" fontId="415" fillId="414" borderId="399" xfId="0" applyFont="1" applyFill="1" applyBorder="1" applyAlignment="1">
      <alignment wrapText="1"/>
    </xf>
    <xf numFmtId="0" fontId="416" fillId="415" borderId="400" xfId="0" applyFont="1" applyFill="1" applyBorder="1" applyAlignment="1">
      <alignment wrapText="1"/>
    </xf>
    <xf numFmtId="0" fontId="417" fillId="416" borderId="401" xfId="0" applyFont="1" applyFill="1" applyBorder="1" applyAlignment="1">
      <alignment wrapText="1"/>
    </xf>
    <xf numFmtId="0" fontId="418" fillId="417" borderId="402" xfId="0" applyFont="1" applyFill="1" applyBorder="1" applyAlignment="1">
      <alignment wrapText="1"/>
    </xf>
    <xf numFmtId="0" fontId="419" fillId="418" borderId="403" xfId="0" applyFont="1" applyFill="1" applyBorder="1" applyAlignment="1">
      <alignment wrapText="1"/>
    </xf>
    <xf numFmtId="0" fontId="420" fillId="419" borderId="404" xfId="0" applyFont="1" applyFill="1" applyBorder="1" applyAlignment="1">
      <alignment wrapText="1"/>
    </xf>
    <xf numFmtId="0" fontId="421" fillId="420" borderId="405" xfId="0" applyFont="1" applyFill="1" applyBorder="1" applyAlignment="1">
      <alignment horizontal="left" vertical="top"/>
    </xf>
    <xf numFmtId="0" fontId="422" fillId="421" borderId="406" xfId="0" applyFont="1" applyFill="1" applyBorder="1" applyAlignment="1">
      <alignment horizontal="left" vertical="top"/>
    </xf>
    <xf numFmtId="0" fontId="423" fillId="422" borderId="407" xfId="0" applyFont="1" applyFill="1" applyBorder="1" applyAlignment="1">
      <alignment wrapText="1"/>
    </xf>
    <xf numFmtId="0" fontId="424" fillId="423" borderId="408" xfId="0" applyFont="1" applyFill="1" applyBorder="1" applyAlignment="1">
      <alignment wrapText="1"/>
    </xf>
    <xf numFmtId="0" fontId="425" fillId="424" borderId="409" xfId="0" applyFont="1" applyFill="1" applyBorder="1" applyAlignment="1">
      <alignment wrapText="1"/>
    </xf>
    <xf numFmtId="0" fontId="426" fillId="425" borderId="410" xfId="0" applyFont="1" applyFill="1" applyBorder="1" applyAlignment="1">
      <alignment wrapText="1"/>
    </xf>
    <xf numFmtId="0" fontId="427" fillId="426" borderId="411" xfId="0" applyFont="1" applyFill="1" applyBorder="1" applyAlignment="1">
      <alignment wrapText="1"/>
    </xf>
    <xf numFmtId="0" fontId="428" fillId="427" borderId="412" xfId="0" applyFont="1" applyFill="1" applyBorder="1" applyAlignment="1">
      <alignment wrapText="1"/>
    </xf>
    <xf numFmtId="0" fontId="429" fillId="428" borderId="413" xfId="0" applyFont="1" applyFill="1" applyBorder="1" applyAlignment="1">
      <alignment wrapText="1"/>
    </xf>
    <xf numFmtId="0" fontId="430" fillId="429" borderId="414" xfId="0" applyFont="1" applyFill="1" applyBorder="1" applyAlignment="1">
      <alignment wrapText="1"/>
    </xf>
    <xf numFmtId="0" fontId="431" fillId="430" borderId="415" xfId="0" applyFont="1" applyFill="1" applyBorder="1" applyAlignment="1">
      <alignment wrapText="1"/>
    </xf>
    <xf numFmtId="0" fontId="432" fillId="431" borderId="416" xfId="0" applyFont="1" applyFill="1" applyBorder="1" applyAlignment="1">
      <alignment wrapText="1"/>
    </xf>
    <xf numFmtId="0" fontId="433" fillId="432" borderId="417" xfId="0" applyFont="1" applyFill="1" applyBorder="1" applyAlignment="1">
      <alignment horizontal="left" vertical="top"/>
    </xf>
    <xf numFmtId="0" fontId="434" fillId="433" borderId="418" xfId="0" applyFont="1" applyFill="1" applyBorder="1" applyAlignment="1">
      <alignment wrapText="1"/>
    </xf>
    <xf numFmtId="0" fontId="435" fillId="434" borderId="419" xfId="0" applyFont="1" applyFill="1" applyBorder="1" applyAlignment="1">
      <alignment wrapText="1"/>
    </xf>
    <xf numFmtId="0" fontId="436" fillId="435" borderId="420" xfId="0" applyFont="1" applyFill="1" applyBorder="1" applyAlignment="1">
      <alignment wrapText="1"/>
    </xf>
    <xf numFmtId="0" fontId="437" fillId="436" borderId="421" xfId="0" applyFont="1" applyFill="1" applyBorder="1" applyAlignment="1">
      <alignment wrapText="1"/>
    </xf>
    <xf numFmtId="0" fontId="438" fillId="437" borderId="422" xfId="0" applyFont="1" applyFill="1" applyBorder="1" applyAlignment="1">
      <alignment wrapText="1"/>
    </xf>
    <xf numFmtId="0" fontId="439" fillId="438" borderId="423" xfId="0" applyFont="1" applyFill="1" applyBorder="1" applyAlignment="1">
      <alignment wrapText="1"/>
    </xf>
    <xf numFmtId="0" fontId="440" fillId="439" borderId="424" xfId="0" applyFont="1" applyFill="1" applyBorder="1" applyAlignment="1">
      <alignment wrapText="1"/>
    </xf>
    <xf numFmtId="0" fontId="441" fillId="440" borderId="425" xfId="0" applyFont="1" applyFill="1" applyBorder="1" applyAlignment="1">
      <alignment wrapText="1"/>
    </xf>
    <xf numFmtId="0" fontId="1" fillId="365" borderId="350" xfId="0" applyFont="1" applyFill="1" applyBorder="1" applyAlignment="1">
      <alignment horizontal="left" vertical="top" wrapText="1"/>
    </xf>
    <xf numFmtId="0" fontId="444" fillId="443" borderId="428" xfId="0" applyFont="1" applyFill="1" applyBorder="1" applyAlignment="1">
      <alignment wrapText="1"/>
    </xf>
    <xf numFmtId="0" fontId="445" fillId="444" borderId="429" xfId="0" applyFont="1" applyFill="1" applyBorder="1" applyAlignment="1">
      <alignment vertical="top" wrapText="1"/>
    </xf>
    <xf numFmtId="0" fontId="446" fillId="445" borderId="430" xfId="0" applyFont="1" applyFill="1" applyBorder="1" applyAlignment="1">
      <alignment vertical="top" wrapText="1"/>
    </xf>
    <xf numFmtId="0" fontId="447" fillId="446" borderId="431" xfId="0" applyFont="1" applyFill="1" applyBorder="1" applyAlignment="1">
      <alignment wrapText="1"/>
    </xf>
    <xf numFmtId="0" fontId="448" fillId="447" borderId="432" xfId="0" applyFont="1" applyFill="1" applyBorder="1" applyAlignment="1">
      <alignment wrapText="1"/>
    </xf>
    <xf numFmtId="0" fontId="449" fillId="448" borderId="433" xfId="0" applyFont="1" applyFill="1" applyBorder="1" applyAlignment="1">
      <alignment wrapText="1"/>
    </xf>
    <xf numFmtId="0" fontId="450" fillId="449" borderId="434" xfId="0" applyFont="1" applyFill="1" applyBorder="1" applyAlignment="1">
      <alignment wrapText="1"/>
    </xf>
    <xf numFmtId="0" fontId="451" fillId="450" borderId="435" xfId="0" applyFont="1" applyFill="1" applyBorder="1" applyAlignment="1">
      <alignment wrapText="1"/>
    </xf>
    <xf numFmtId="0" fontId="452" fillId="451" borderId="436" xfId="0" applyFont="1" applyFill="1" applyBorder="1" applyAlignment="1">
      <alignment wrapText="1"/>
    </xf>
    <xf numFmtId="0" fontId="453" fillId="452" borderId="437" xfId="0" applyFont="1" applyFill="1" applyBorder="1" applyAlignment="1">
      <alignment horizontal="left" vertical="top"/>
    </xf>
    <xf numFmtId="0" fontId="454" fillId="453" borderId="438" xfId="0" applyFont="1" applyFill="1" applyBorder="1" applyAlignment="1">
      <alignment horizontal="left" vertical="top"/>
    </xf>
    <xf numFmtId="0" fontId="455" fillId="454" borderId="439" xfId="0" applyFont="1" applyFill="1" applyBorder="1" applyAlignment="1">
      <alignment wrapText="1"/>
    </xf>
    <xf numFmtId="0" fontId="456" fillId="455" borderId="440" xfId="0" applyFont="1" applyFill="1" applyBorder="1" applyAlignment="1">
      <alignment wrapText="1"/>
    </xf>
    <xf numFmtId="0" fontId="457" fillId="456" borderId="441" xfId="0" applyFont="1" applyFill="1" applyBorder="1" applyAlignment="1">
      <alignment wrapText="1"/>
    </xf>
    <xf numFmtId="0" fontId="458" fillId="457" borderId="442" xfId="0" applyFont="1" applyFill="1" applyBorder="1" applyAlignment="1">
      <alignment wrapText="1"/>
    </xf>
    <xf numFmtId="0" fontId="459" fillId="458" borderId="443" xfId="0" applyFont="1" applyFill="1" applyBorder="1" applyAlignment="1">
      <alignment vertical="top" wrapText="1"/>
    </xf>
    <xf numFmtId="0" fontId="460" fillId="459" borderId="444" xfId="0" applyFont="1" applyFill="1" applyBorder="1" applyAlignment="1">
      <alignment vertical="top" wrapText="1"/>
    </xf>
    <xf numFmtId="0" fontId="467" fillId="466" borderId="451" xfId="0" applyFont="1" applyFill="1" applyBorder="1" applyAlignment="1">
      <alignment horizontal="left" wrapText="1"/>
    </xf>
    <xf numFmtId="0" fontId="468" fillId="467" borderId="452" xfId="0" applyFont="1" applyFill="1" applyBorder="1" applyAlignment="1">
      <alignment horizontal="left" vertical="top"/>
    </xf>
    <xf numFmtId="0" fontId="469" fillId="468" borderId="453" xfId="0" applyFont="1" applyFill="1" applyBorder="1" applyAlignment="1">
      <alignment horizontal="left" vertical="top"/>
    </xf>
    <xf numFmtId="0" fontId="470" fillId="469" borderId="454" xfId="0" applyFont="1" applyFill="1" applyBorder="1" applyAlignment="1">
      <alignment vertical="top"/>
    </xf>
    <xf numFmtId="0" fontId="471" fillId="470" borderId="455" xfId="0" applyFont="1" applyFill="1" applyBorder="1" applyAlignment="1">
      <alignment vertical="top"/>
    </xf>
    <xf numFmtId="0" fontId="474" fillId="473" borderId="458" xfId="0" applyFont="1" applyFill="1" applyBorder="1" applyAlignment="1">
      <alignment wrapText="1"/>
    </xf>
    <xf numFmtId="0" fontId="475" fillId="474" borderId="459" xfId="0" applyFont="1" applyFill="1" applyBorder="1" applyAlignment="1">
      <alignment vertical="top" wrapText="1"/>
    </xf>
    <xf numFmtId="0" fontId="476" fillId="475" borderId="460" xfId="0" applyFont="1" applyFill="1" applyBorder="1" applyAlignment="1">
      <alignment vertical="top" wrapText="1"/>
    </xf>
    <xf numFmtId="0" fontId="477" fillId="476" borderId="461" xfId="0" applyFont="1" applyFill="1" applyBorder="1" applyAlignment="1">
      <alignment wrapText="1"/>
    </xf>
    <xf numFmtId="0" fontId="478" fillId="477" borderId="462" xfId="0" applyFont="1" applyFill="1" applyBorder="1" applyAlignment="1">
      <alignment wrapText="1"/>
    </xf>
    <xf numFmtId="0" fontId="479" fillId="478" borderId="463" xfId="0" applyFont="1" applyFill="1" applyBorder="1" applyAlignment="1">
      <alignment wrapText="1"/>
    </xf>
    <xf numFmtId="0" fontId="480" fillId="479" borderId="464" xfId="0" applyFont="1" applyFill="1" applyBorder="1" applyAlignment="1">
      <alignment wrapText="1"/>
    </xf>
    <xf numFmtId="0" fontId="481" fillId="480" borderId="465" xfId="0" applyFont="1" applyFill="1" applyBorder="1" applyAlignment="1">
      <alignment wrapText="1"/>
    </xf>
    <xf numFmtId="0" fontId="482" fillId="481" borderId="466" xfId="0" applyFont="1" applyFill="1" applyBorder="1" applyAlignment="1">
      <alignment wrapText="1"/>
    </xf>
    <xf numFmtId="0" fontId="483" fillId="482" borderId="467" xfId="0" applyFont="1" applyFill="1" applyBorder="1" applyAlignment="1">
      <alignment horizontal="left" vertical="top"/>
    </xf>
    <xf numFmtId="0" fontId="484" fillId="483" borderId="468" xfId="0" applyFont="1" applyFill="1" applyBorder="1" applyAlignment="1">
      <alignment horizontal="left" vertical="top"/>
    </xf>
    <xf numFmtId="0" fontId="485" fillId="484" borderId="469" xfId="0" applyFont="1" applyFill="1" applyBorder="1" applyAlignment="1">
      <alignment wrapText="1"/>
    </xf>
    <xf numFmtId="0" fontId="486" fillId="485" borderId="470" xfId="0" applyFont="1" applyFill="1" applyBorder="1" applyAlignment="1">
      <alignment wrapText="1"/>
    </xf>
    <xf numFmtId="0" fontId="487" fillId="486" borderId="471" xfId="0" applyFont="1" applyFill="1" applyBorder="1" applyAlignment="1">
      <alignment wrapText="1"/>
    </xf>
    <xf numFmtId="0" fontId="488" fillId="487" borderId="472" xfId="0" applyFont="1" applyFill="1" applyBorder="1" applyAlignment="1">
      <alignment wrapText="1"/>
    </xf>
    <xf numFmtId="0" fontId="489" fillId="488" borderId="473" xfId="0" applyFont="1" applyFill="1" applyBorder="1" applyAlignment="1">
      <alignment vertical="top" wrapText="1"/>
    </xf>
    <xf numFmtId="0" fontId="490" fillId="489" borderId="474" xfId="0" applyFont="1" applyFill="1" applyBorder="1" applyAlignment="1">
      <alignment vertical="top" wrapText="1"/>
    </xf>
    <xf numFmtId="0" fontId="497" fillId="496" borderId="481" xfId="0" applyFont="1" applyFill="1" applyBorder="1" applyAlignment="1">
      <alignment horizontal="left" wrapText="1"/>
    </xf>
    <xf numFmtId="0" fontId="498" fillId="497" borderId="482" xfId="0" applyFont="1" applyFill="1" applyBorder="1" applyAlignment="1">
      <alignment horizontal="left" vertical="top"/>
    </xf>
    <xf numFmtId="0" fontId="499" fillId="498" borderId="483" xfId="0" applyFont="1" applyFill="1" applyBorder="1" applyAlignment="1">
      <alignment horizontal="left" vertical="top"/>
    </xf>
    <xf numFmtId="0" fontId="500" fillId="499" borderId="484" xfId="0" applyFont="1" applyFill="1" applyBorder="1" applyAlignment="1">
      <alignment vertical="top"/>
    </xf>
    <xf numFmtId="0" fontId="501" fillId="500" borderId="485" xfId="0" applyFont="1" applyFill="1" applyBorder="1" applyAlignment="1">
      <alignment vertical="top"/>
    </xf>
    <xf numFmtId="0" fontId="502" fillId="501" borderId="486" xfId="0" applyFont="1" applyFill="1" applyBorder="1" applyAlignment="1">
      <alignment wrapText="1"/>
    </xf>
    <xf numFmtId="0" fontId="503" fillId="502" borderId="487" xfId="0" applyFont="1" applyFill="1" applyBorder="1" applyAlignment="1">
      <alignment wrapText="1"/>
    </xf>
    <xf numFmtId="0" fontId="504" fillId="503" borderId="488" xfId="0" applyFont="1" applyFill="1" applyBorder="1" applyAlignment="1">
      <alignment horizontal="left" vertical="top"/>
    </xf>
    <xf numFmtId="0" fontId="505" fillId="504" borderId="489" xfId="0" applyFont="1" applyFill="1" applyBorder="1" applyAlignment="1">
      <alignment horizontal="left" vertical="top"/>
    </xf>
    <xf numFmtId="0" fontId="508" fillId="507" borderId="492" xfId="0" applyFont="1" applyFill="1" applyBorder="1" applyAlignment="1">
      <alignment horizontal="left" vertical="top"/>
    </xf>
    <xf numFmtId="0" fontId="509" fillId="508" borderId="493" xfId="0" applyFont="1" applyFill="1" applyBorder="1" applyAlignment="1">
      <alignment horizontal="left" vertical="top"/>
    </xf>
    <xf numFmtId="0" fontId="516" fillId="515" borderId="500" xfId="0" applyFont="1" applyFill="1" applyBorder="1" applyAlignment="1">
      <alignment wrapText="1"/>
    </xf>
    <xf numFmtId="0" fontId="517" fillId="516" borderId="501" xfId="0" applyFont="1" applyFill="1" applyBorder="1" applyAlignment="1">
      <alignment wrapText="1"/>
    </xf>
    <xf numFmtId="0" fontId="518" fillId="517" borderId="502" xfId="0" applyFont="1" applyFill="1" applyBorder="1" applyAlignment="1">
      <alignment horizontal="left" vertical="top" wrapText="1"/>
    </xf>
    <xf numFmtId="0" fontId="519" fillId="518" borderId="503" xfId="0" applyFont="1" applyFill="1" applyBorder="1" applyAlignment="1">
      <alignment horizontal="left" vertical="top" wrapText="1"/>
    </xf>
    <xf numFmtId="0" fontId="520" fillId="519" borderId="504" xfId="0" applyFont="1" applyFill="1" applyBorder="1" applyAlignment="1">
      <alignment wrapText="1"/>
    </xf>
    <xf numFmtId="0" fontId="521" fillId="520" borderId="505" xfId="0" applyFont="1" applyFill="1" applyBorder="1" applyAlignment="1">
      <alignment wrapText="1"/>
    </xf>
    <xf numFmtId="0" fontId="522" fillId="521" borderId="506" xfId="0" applyFont="1" applyFill="1" applyBorder="1" applyAlignment="1">
      <alignment wrapText="1"/>
    </xf>
    <xf numFmtId="0" fontId="523" fillId="522" borderId="507" xfId="0" applyFont="1" applyFill="1" applyBorder="1" applyAlignment="1">
      <alignment wrapText="1"/>
    </xf>
    <xf numFmtId="0" fontId="524" fillId="523" borderId="508" xfId="0" applyFont="1" applyFill="1" applyBorder="1" applyAlignment="1">
      <alignment wrapText="1"/>
    </xf>
    <xf numFmtId="0" fontId="525" fillId="524" borderId="509" xfId="0" applyFont="1" applyFill="1" applyBorder="1" applyAlignment="1">
      <alignment wrapText="1"/>
    </xf>
    <xf numFmtId="0" fontId="526" fillId="525" borderId="510" xfId="0" applyFont="1" applyFill="1" applyBorder="1" applyAlignment="1">
      <alignment wrapText="1"/>
    </xf>
    <xf numFmtId="0" fontId="527" fillId="526" borderId="511" xfId="0" applyFont="1" applyFill="1" applyBorder="1" applyAlignment="1">
      <alignment wrapText="1"/>
    </xf>
    <xf numFmtId="0" fontId="528" fillId="527" borderId="512" xfId="0" applyFont="1" applyFill="1" applyBorder="1" applyAlignment="1">
      <alignment wrapText="1"/>
    </xf>
    <xf numFmtId="0" fontId="529" fillId="528" borderId="513" xfId="0" applyFont="1" applyFill="1" applyBorder="1" applyAlignment="1">
      <alignment wrapText="1"/>
    </xf>
    <xf numFmtId="0" fontId="530" fillId="529" borderId="514" xfId="0" applyFont="1" applyFill="1" applyBorder="1" applyAlignment="1">
      <alignment wrapText="1"/>
    </xf>
    <xf numFmtId="0" fontId="531" fillId="530" borderId="515" xfId="0" applyFont="1" applyFill="1" applyBorder="1" applyAlignment="1">
      <alignment wrapText="1"/>
    </xf>
    <xf numFmtId="0" fontId="532" fillId="531" borderId="516" xfId="0" applyFont="1" applyFill="1" applyBorder="1" applyAlignment="1">
      <alignment wrapText="1"/>
    </xf>
    <xf numFmtId="0" fontId="533" fillId="532" borderId="517" xfId="0" applyFont="1" applyFill="1" applyBorder="1" applyAlignment="1">
      <alignment wrapText="1"/>
    </xf>
    <xf numFmtId="0" fontId="534" fillId="533" borderId="518" xfId="0" applyFont="1" applyFill="1" applyBorder="1" applyAlignment="1">
      <alignment horizontal="left" vertical="top" wrapText="1"/>
    </xf>
    <xf numFmtId="0" fontId="535" fillId="534" borderId="519" xfId="0" applyFont="1" applyFill="1" applyBorder="1" applyAlignment="1">
      <alignment horizontal="left" vertical="top" wrapText="1"/>
    </xf>
    <xf numFmtId="0" fontId="536" fillId="535" borderId="520" xfId="0" applyFont="1" applyFill="1" applyBorder="1" applyAlignment="1">
      <alignment wrapText="1"/>
    </xf>
    <xf numFmtId="0" fontId="537" fillId="536" borderId="521" xfId="0" applyFont="1" applyFill="1" applyBorder="1" applyAlignment="1">
      <alignment wrapText="1"/>
    </xf>
    <xf numFmtId="0" fontId="538" fillId="537" borderId="522" xfId="0" applyFont="1" applyFill="1" applyBorder="1" applyAlignment="1">
      <alignment wrapText="1"/>
    </xf>
    <xf numFmtId="0" fontId="539" fillId="538" borderId="523" xfId="0" applyFont="1" applyFill="1" applyBorder="1" applyAlignment="1">
      <alignment wrapText="1"/>
    </xf>
    <xf numFmtId="0" fontId="540" fillId="539" borderId="524" xfId="0" applyFont="1" applyFill="1" applyBorder="1" applyAlignment="1">
      <alignment wrapText="1"/>
    </xf>
    <xf numFmtId="0" fontId="541" fillId="540" borderId="525" xfId="0" applyFont="1" applyFill="1" applyBorder="1" applyAlignment="1">
      <alignment wrapText="1"/>
    </xf>
    <xf numFmtId="0" fontId="542" fillId="541" borderId="526" xfId="0" applyFont="1" applyFill="1" applyBorder="1" applyAlignment="1">
      <alignment wrapText="1"/>
    </xf>
    <xf numFmtId="0" fontId="543" fillId="542" borderId="527" xfId="0" applyFont="1" applyFill="1" applyBorder="1" applyAlignment="1">
      <alignment wrapText="1"/>
    </xf>
    <xf numFmtId="0" fontId="544" fillId="543" borderId="528" xfId="0" applyFont="1" applyFill="1" applyBorder="1" applyAlignment="1">
      <alignment horizontal="left" vertical="top"/>
    </xf>
    <xf numFmtId="0" fontId="545" fillId="544" borderId="529" xfId="0" applyFont="1" applyFill="1" applyBorder="1" applyAlignment="1">
      <alignment horizontal="left" vertical="top"/>
    </xf>
    <xf numFmtId="0" fontId="546" fillId="545" borderId="530" xfId="0" applyFont="1" applyFill="1" applyBorder="1" applyAlignment="1">
      <alignment wrapText="1"/>
    </xf>
    <xf numFmtId="0" fontId="547" fillId="546" borderId="531" xfId="0" applyFont="1" applyFill="1" applyBorder="1" applyAlignment="1">
      <alignment wrapText="1"/>
    </xf>
    <xf numFmtId="0" fontId="548" fillId="547" borderId="532" xfId="0" applyFont="1" applyFill="1" applyBorder="1" applyAlignment="1">
      <alignment wrapText="1"/>
    </xf>
    <xf numFmtId="0" fontId="549" fillId="548" borderId="533" xfId="0" applyFont="1" applyFill="1" applyBorder="1" applyAlignment="1">
      <alignment wrapText="1"/>
    </xf>
    <xf numFmtId="0" fontId="550" fillId="549" borderId="534" xfId="0" applyFont="1" applyFill="1" applyBorder="1" applyAlignment="1">
      <alignment wrapText="1"/>
    </xf>
    <xf numFmtId="0" fontId="551" fillId="550" borderId="535" xfId="0" applyFont="1" applyFill="1" applyBorder="1" applyAlignment="1">
      <alignment wrapText="1"/>
    </xf>
    <xf numFmtId="0" fontId="552" fillId="551" borderId="536" xfId="0" applyFont="1" applyFill="1" applyBorder="1" applyAlignment="1">
      <alignment wrapText="1"/>
    </xf>
    <xf numFmtId="0" fontId="553" fillId="552" borderId="537" xfId="0" applyFont="1" applyFill="1" applyBorder="1" applyAlignment="1">
      <alignment wrapText="1"/>
    </xf>
    <xf numFmtId="0" fontId="554" fillId="553" borderId="538" xfId="0" applyFont="1" applyFill="1" applyBorder="1" applyAlignment="1">
      <alignment wrapText="1"/>
    </xf>
    <xf numFmtId="0" fontId="555" fillId="554" borderId="539" xfId="0" applyFont="1" applyFill="1" applyBorder="1" applyAlignment="1">
      <alignment wrapText="1"/>
    </xf>
    <xf numFmtId="0" fontId="556" fillId="555" borderId="540" xfId="0" applyFont="1" applyFill="1" applyBorder="1" applyAlignment="1">
      <alignment wrapText="1"/>
    </xf>
    <xf numFmtId="0" fontId="557" fillId="556" borderId="541" xfId="0" applyFont="1" applyFill="1" applyBorder="1" applyAlignment="1">
      <alignment wrapText="1"/>
    </xf>
    <xf numFmtId="0" fontId="558" fillId="557" borderId="542" xfId="0" applyFont="1" applyFill="1" applyBorder="1" applyAlignment="1">
      <alignment wrapText="1"/>
    </xf>
    <xf numFmtId="0" fontId="559" fillId="558" borderId="543" xfId="0" applyFont="1" applyFill="1" applyBorder="1" applyAlignment="1">
      <alignment wrapText="1"/>
    </xf>
    <xf numFmtId="0" fontId="560" fillId="559" borderId="544" xfId="0" applyFont="1" applyFill="1" applyBorder="1" applyAlignment="1">
      <alignment wrapText="1"/>
    </xf>
    <xf numFmtId="0" fontId="561" fillId="560" borderId="545" xfId="0" applyFont="1" applyFill="1" applyBorder="1" applyAlignment="1">
      <alignment wrapText="1"/>
    </xf>
    <xf numFmtId="0" fontId="562" fillId="561" borderId="546" xfId="0" applyFont="1" applyFill="1" applyBorder="1" applyAlignment="1">
      <alignment wrapText="1"/>
    </xf>
    <xf numFmtId="0" fontId="563" fillId="562" borderId="547" xfId="0" applyFont="1" applyFill="1" applyBorder="1" applyAlignment="1">
      <alignment wrapText="1"/>
    </xf>
    <xf numFmtId="0" fontId="564" fillId="563" borderId="548" xfId="0" applyFont="1" applyFill="1" applyBorder="1" applyAlignment="1">
      <alignment horizontal="left" vertical="top"/>
    </xf>
    <xf numFmtId="0" fontId="565" fillId="564" borderId="549" xfId="0" applyFont="1" applyFill="1" applyBorder="1" applyAlignment="1">
      <alignment horizontal="left" vertical="top"/>
    </xf>
    <xf numFmtId="0" fontId="566" fillId="565" borderId="550" xfId="0" applyFont="1" applyFill="1" applyBorder="1" applyAlignment="1">
      <alignment wrapText="1"/>
    </xf>
    <xf numFmtId="0" fontId="567" fillId="566" borderId="551" xfId="0" applyFont="1" applyFill="1" applyBorder="1" applyAlignment="1">
      <alignment wrapText="1"/>
    </xf>
    <xf numFmtId="0" fontId="568" fillId="567" borderId="552" xfId="0" applyFont="1" applyFill="1" applyBorder="1" applyAlignment="1">
      <alignment wrapText="1"/>
    </xf>
    <xf numFmtId="0" fontId="569" fillId="568" borderId="553" xfId="0" applyFont="1" applyFill="1" applyBorder="1" applyAlignment="1">
      <alignment wrapText="1"/>
    </xf>
    <xf numFmtId="0" fontId="570" fillId="569" borderId="554" xfId="0" applyFont="1" applyFill="1" applyBorder="1" applyAlignment="1">
      <alignment wrapText="1"/>
    </xf>
    <xf numFmtId="0" fontId="571" fillId="570" borderId="555" xfId="0" applyFont="1" applyFill="1" applyBorder="1" applyAlignment="1">
      <alignment wrapText="1"/>
    </xf>
    <xf numFmtId="0" fontId="572" fillId="571" borderId="556" xfId="0" applyFont="1" applyFill="1" applyBorder="1" applyAlignment="1">
      <alignment wrapText="1"/>
    </xf>
    <xf numFmtId="0" fontId="573" fillId="572" borderId="557" xfId="0" applyFont="1" applyFill="1" applyBorder="1" applyAlignment="1">
      <alignment wrapText="1"/>
    </xf>
    <xf numFmtId="0" fontId="574" fillId="573" borderId="558" xfId="0" applyFont="1" applyFill="1" applyBorder="1" applyAlignment="1">
      <alignment wrapText="1"/>
    </xf>
    <xf numFmtId="0" fontId="575" fillId="574" borderId="559" xfId="0" applyFont="1" applyFill="1" applyBorder="1" applyAlignment="1">
      <alignment wrapText="1"/>
    </xf>
    <xf numFmtId="0" fontId="576" fillId="575" borderId="560" xfId="0" applyFont="1" applyFill="1" applyBorder="1" applyAlignment="1">
      <alignment wrapText="1"/>
    </xf>
    <xf numFmtId="0" fontId="577" fillId="576" borderId="561" xfId="0" applyFont="1" applyFill="1" applyBorder="1" applyAlignment="1">
      <alignment wrapText="1"/>
    </xf>
    <xf numFmtId="0" fontId="578" fillId="577" borderId="562" xfId="0" applyFont="1" applyFill="1" applyBorder="1" applyAlignment="1">
      <alignment wrapText="1"/>
    </xf>
    <xf numFmtId="0" fontId="579" fillId="578" borderId="563" xfId="0" applyFont="1" applyFill="1" applyBorder="1" applyAlignment="1">
      <alignment wrapText="1"/>
    </xf>
    <xf numFmtId="0" fontId="580" fillId="579" borderId="564" xfId="0" applyFont="1" applyFill="1" applyBorder="1" applyAlignment="1">
      <alignment wrapText="1"/>
    </xf>
    <xf numFmtId="0" fontId="581" fillId="580" borderId="565" xfId="0" applyFont="1" applyFill="1" applyBorder="1" applyAlignment="1">
      <alignment wrapText="1"/>
    </xf>
    <xf numFmtId="0" fontId="582" fillId="581" borderId="566" xfId="0" applyFont="1" applyFill="1" applyBorder="1" applyAlignment="1">
      <alignment wrapText="1"/>
    </xf>
    <xf numFmtId="0" fontId="583" fillId="582" borderId="567" xfId="0" applyFont="1" applyFill="1" applyBorder="1" applyAlignment="1">
      <alignment wrapText="1"/>
    </xf>
    <xf numFmtId="0" fontId="584" fillId="583" borderId="568" xfId="0" applyFont="1" applyFill="1" applyBorder="1" applyAlignment="1">
      <alignment wrapText="1"/>
    </xf>
    <xf numFmtId="0" fontId="585" fillId="584" borderId="569" xfId="0" applyFont="1" applyFill="1" applyBorder="1" applyAlignment="1">
      <alignment wrapText="1"/>
    </xf>
    <xf numFmtId="0" fontId="586" fillId="585" borderId="570" xfId="0" applyFont="1" applyFill="1" applyBorder="1" applyAlignment="1">
      <alignment wrapText="1"/>
    </xf>
    <xf numFmtId="0" fontId="587" fillId="586" borderId="571" xfId="0" applyFont="1" applyFill="1" applyBorder="1" applyAlignment="1">
      <alignment wrapText="1"/>
    </xf>
    <xf numFmtId="0" fontId="588" fillId="587" borderId="572" xfId="0" applyFont="1" applyFill="1" applyBorder="1" applyAlignment="1">
      <alignment wrapText="1"/>
    </xf>
    <xf numFmtId="0" fontId="589" fillId="588" borderId="573" xfId="0" applyFont="1" applyFill="1" applyBorder="1" applyAlignment="1">
      <alignment wrapText="1"/>
    </xf>
    <xf numFmtId="0" fontId="590" fillId="589" borderId="574" xfId="0" applyFont="1" applyFill="1" applyBorder="1" applyAlignment="1">
      <alignment horizontal="left" vertical="top"/>
    </xf>
    <xf numFmtId="0" fontId="591" fillId="590" borderId="575" xfId="0" applyFont="1" applyFill="1" applyBorder="1" applyAlignment="1">
      <alignment horizontal="left" vertical="top"/>
    </xf>
    <xf numFmtId="0" fontId="592" fillId="591" borderId="576" xfId="0" applyFont="1" applyFill="1" applyBorder="1" applyAlignment="1">
      <alignment wrapText="1"/>
    </xf>
    <xf numFmtId="0" fontId="593" fillId="592" borderId="577" xfId="0" applyFont="1" applyFill="1" applyBorder="1" applyAlignment="1">
      <alignment wrapText="1"/>
    </xf>
    <xf numFmtId="0" fontId="594" fillId="593" borderId="578" xfId="0" applyFont="1" applyFill="1" applyBorder="1" applyAlignment="1">
      <alignment wrapText="1"/>
    </xf>
    <xf numFmtId="0" fontId="595" fillId="594" borderId="579" xfId="0" applyFont="1" applyFill="1" applyBorder="1" applyAlignment="1">
      <alignment wrapText="1"/>
    </xf>
    <xf numFmtId="0" fontId="596" fillId="595" borderId="580" xfId="0" applyFont="1" applyFill="1" applyBorder="1" applyAlignment="1">
      <alignment wrapText="1"/>
    </xf>
    <xf numFmtId="0" fontId="597" fillId="596" borderId="581" xfId="0" applyFont="1" applyFill="1" applyBorder="1" applyAlignment="1">
      <alignment wrapText="1"/>
    </xf>
    <xf numFmtId="0" fontId="598" fillId="597" borderId="582" xfId="0" applyFont="1" applyFill="1" applyBorder="1" applyAlignment="1">
      <alignment wrapText="1"/>
    </xf>
    <xf numFmtId="0" fontId="599" fillId="598" borderId="583" xfId="0" applyFont="1" applyFill="1" applyBorder="1" applyAlignment="1">
      <alignment wrapText="1"/>
    </xf>
    <xf numFmtId="0" fontId="600" fillId="599" borderId="584" xfId="0" applyFont="1" applyFill="1" applyBorder="1" applyAlignment="1">
      <alignment wrapText="1"/>
    </xf>
    <xf numFmtId="0" fontId="601" fillId="600" borderId="585" xfId="0" applyFont="1" applyFill="1" applyBorder="1" applyAlignment="1">
      <alignment wrapText="1"/>
    </xf>
    <xf numFmtId="0" fontId="602" fillId="601" borderId="586" xfId="0" applyFont="1" applyFill="1" applyBorder="1" applyAlignment="1">
      <alignment wrapText="1"/>
    </xf>
    <xf numFmtId="0" fontId="603" fillId="602" borderId="587" xfId="0" applyFont="1" applyFill="1" applyBorder="1" applyAlignment="1">
      <alignment wrapText="1"/>
    </xf>
    <xf numFmtId="0" fontId="604" fillId="603" borderId="588" xfId="0" applyFont="1" applyFill="1" applyBorder="1" applyAlignment="1">
      <alignment wrapText="1"/>
    </xf>
    <xf numFmtId="0" fontId="605" fillId="604" borderId="589" xfId="0" applyFont="1" applyFill="1" applyBorder="1" applyAlignment="1">
      <alignment wrapText="1"/>
    </xf>
    <xf numFmtId="0" fontId="606" fillId="605" borderId="590" xfId="0" applyFont="1" applyFill="1" applyBorder="1" applyAlignment="1">
      <alignment wrapText="1"/>
    </xf>
    <xf numFmtId="0" fontId="607" fillId="606" borderId="591" xfId="0" applyFont="1" applyFill="1" applyBorder="1" applyAlignment="1">
      <alignment wrapText="1"/>
    </xf>
    <xf numFmtId="0" fontId="608" fillId="607" borderId="592" xfId="0" applyFont="1" applyFill="1" applyBorder="1" applyAlignment="1">
      <alignment wrapText="1"/>
    </xf>
    <xf numFmtId="0" fontId="609" fillId="608" borderId="593" xfId="0" applyFont="1" applyFill="1" applyBorder="1" applyAlignment="1">
      <alignment wrapText="1"/>
    </xf>
    <xf numFmtId="0" fontId="612" fillId="611" borderId="596" xfId="0" applyFont="1" applyFill="1" applyBorder="1" applyAlignment="1">
      <alignment wrapText="1"/>
    </xf>
    <xf numFmtId="0" fontId="613" fillId="612" borderId="597" xfId="0" applyFont="1" applyFill="1" applyBorder="1" applyAlignment="1">
      <alignment vertical="top" wrapText="1"/>
    </xf>
    <xf numFmtId="0" fontId="614" fillId="613" borderId="598" xfId="0" applyFont="1" applyFill="1" applyBorder="1" applyAlignment="1">
      <alignment vertical="top" wrapText="1"/>
    </xf>
    <xf numFmtId="0" fontId="615" fillId="614" borderId="599" xfId="0" applyFont="1" applyFill="1" applyBorder="1" applyAlignment="1">
      <alignment wrapText="1"/>
    </xf>
    <xf numFmtId="0" fontId="616" fillId="615" borderId="600" xfId="0" applyFont="1" applyFill="1" applyBorder="1" applyAlignment="1">
      <alignment wrapText="1"/>
    </xf>
    <xf numFmtId="0" fontId="617" fillId="616" borderId="601" xfId="0" applyFont="1" applyFill="1" applyBorder="1" applyAlignment="1">
      <alignment wrapText="1"/>
    </xf>
    <xf numFmtId="0" fontId="618" fillId="617" borderId="602" xfId="0" applyFont="1" applyFill="1" applyBorder="1" applyAlignment="1">
      <alignment wrapText="1"/>
    </xf>
    <xf numFmtId="0" fontId="3" fillId="2" borderId="0" xfId="0" applyFont="1" applyFill="1" applyAlignment="1">
      <alignment horizontal="center" vertical="top"/>
    </xf>
    <xf numFmtId="0" fontId="68" fillId="42" borderId="26" xfId="0" applyFont="1" applyFill="1" applyBorder="1" applyAlignment="1">
      <alignment vertical="top"/>
    </xf>
    <xf numFmtId="0" fontId="69" fillId="43" borderId="27" xfId="0" applyFont="1" applyFill="1" applyBorder="1" applyAlignment="1">
      <alignment vertical="top"/>
    </xf>
    <xf numFmtId="0" fontId="136" fillId="136" borderId="120" xfId="0" applyFont="1" applyFill="1" applyBorder="1" applyAlignment="1">
      <alignment vertical="top"/>
    </xf>
    <xf numFmtId="0" fontId="137" fillId="137" borderId="121" xfId="0" applyFont="1" applyFill="1" applyBorder="1" applyAlignment="1">
      <alignment vertical="top"/>
    </xf>
    <xf numFmtId="0" fontId="160" fillId="158" borderId="143" xfId="0" applyFont="1" applyFill="1" applyBorder="1" applyAlignment="1">
      <alignment vertical="top"/>
    </xf>
    <xf numFmtId="0" fontId="161" fillId="159" borderId="144" xfId="0" applyFont="1" applyFill="1" applyBorder="1" applyAlignment="1">
      <alignment vertical="top"/>
    </xf>
    <xf numFmtId="0" fontId="302" fillId="300" borderId="285" xfId="0" applyFont="1" applyFill="1" applyBorder="1" applyAlignment="1">
      <alignment vertical="top"/>
    </xf>
    <xf numFmtId="0" fontId="303" fillId="301" borderId="286" xfId="0" applyFont="1" applyFill="1" applyBorder="1" applyAlignment="1">
      <alignment vertical="top"/>
    </xf>
    <xf numFmtId="0" fontId="442" fillId="441" borderId="426" xfId="0" applyFont="1" applyFill="1" applyBorder="1" applyAlignment="1">
      <alignment vertical="top"/>
    </xf>
    <xf numFmtId="0" fontId="443" fillId="442" borderId="427" xfId="0" applyFont="1" applyFill="1" applyBorder="1" applyAlignment="1">
      <alignment vertical="top"/>
    </xf>
    <xf numFmtId="0" fontId="472" fillId="471" borderId="456" xfId="0" applyFont="1" applyFill="1" applyBorder="1" applyAlignment="1">
      <alignment vertical="top"/>
    </xf>
    <xf numFmtId="0" fontId="473" fillId="472" borderId="457" xfId="0" applyFont="1" applyFill="1" applyBorder="1" applyAlignment="1">
      <alignment vertical="top"/>
    </xf>
    <xf numFmtId="0" fontId="610" fillId="609" borderId="594" xfId="0" applyFont="1" applyFill="1" applyBorder="1" applyAlignment="1">
      <alignment vertical="top"/>
    </xf>
    <xf numFmtId="0" fontId="611" fillId="610" borderId="595" xfId="0" applyFont="1" applyFill="1" applyBorder="1" applyAlignment="1">
      <alignment vertical="top"/>
    </xf>
    <xf numFmtId="0" fontId="1" fillId="28" borderId="1" xfId="0" applyFont="1" applyFill="1" applyBorder="1" applyAlignment="1">
      <alignment vertical="top" wrapText="1"/>
    </xf>
    <xf numFmtId="0" fontId="1" fillId="7" borderId="603" xfId="0" applyFont="1" applyFill="1" applyBorder="1" applyAlignment="1">
      <alignment horizontal="center" vertical="top"/>
    </xf>
    <xf numFmtId="0" fontId="4" fillId="8" borderId="21" xfId="0" applyFont="1" applyFill="1" applyBorder="1" applyAlignment="1">
      <alignment horizontal="left" vertical="top" wrapText="1"/>
    </xf>
    <xf numFmtId="0" fontId="1" fillId="8" borderId="603" xfId="0" applyFont="1" applyFill="1" applyBorder="1" applyAlignment="1">
      <alignment horizontal="left" vertical="top" wrapText="1"/>
    </xf>
    <xf numFmtId="0" fontId="1" fillId="28" borderId="603" xfId="0" applyFont="1" applyFill="1" applyBorder="1" applyAlignment="1">
      <alignment horizontal="center" vertical="top"/>
    </xf>
    <xf numFmtId="0" fontId="1" fillId="28" borderId="603" xfId="0" applyFont="1" applyFill="1" applyBorder="1" applyAlignment="1">
      <alignment wrapText="1"/>
    </xf>
    <xf numFmtId="0" fontId="1" fillId="28" borderId="603" xfId="0" applyFont="1" applyFill="1" applyBorder="1"/>
    <xf numFmtId="0" fontId="1" fillId="28" borderId="603" xfId="0" applyFont="1" applyFill="1" applyBorder="1" applyAlignment="1">
      <alignment vertical="top"/>
    </xf>
    <xf numFmtId="0" fontId="1" fillId="28" borderId="603" xfId="0" applyFont="1" applyFill="1" applyBorder="1" applyAlignment="1">
      <alignment horizontal="left" vertical="top" wrapText="1"/>
    </xf>
    <xf numFmtId="0" fontId="1" fillId="28" borderId="603" xfId="0" applyFont="1" applyFill="1" applyBorder="1" applyAlignment="1">
      <alignment horizontal="left" vertical="top"/>
    </xf>
    <xf numFmtId="0" fontId="16" fillId="28" borderId="603" xfId="0" applyFont="1" applyFill="1" applyBorder="1" applyAlignment="1">
      <alignment horizontal="left" vertical="top" wrapText="1"/>
    </xf>
    <xf numFmtId="0" fontId="4" fillId="28" borderId="603" xfId="0" applyFont="1" applyFill="1" applyBorder="1" applyAlignment="1">
      <alignment horizontal="left" vertical="top" wrapText="1"/>
    </xf>
    <xf numFmtId="0" fontId="619" fillId="618" borderId="604" xfId="0" applyFont="1" applyFill="1" applyBorder="1" applyAlignment="1">
      <alignment horizontal="left" wrapText="1"/>
    </xf>
    <xf numFmtId="0" fontId="627" fillId="626" borderId="612" xfId="0" applyFont="1" applyFill="1" applyBorder="1" applyAlignment="1">
      <alignment horizontal="right" wrapText="1"/>
    </xf>
    <xf numFmtId="0" fontId="0" fillId="0" borderId="0" xfId="0" applyAlignment="1">
      <alignment horizontal="right"/>
    </xf>
    <xf numFmtId="0" fontId="58" fillId="0" borderId="0" xfId="0" applyFont="1" applyAlignment="1">
      <alignment horizontal="right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15" borderId="0" xfId="0" applyFill="1" applyAlignment="1">
      <alignment horizontal="right" vertical="top"/>
    </xf>
    <xf numFmtId="0" fontId="0" fillId="30" borderId="0" xfId="0" applyFill="1" applyAlignment="1">
      <alignment horizontal="right"/>
    </xf>
    <xf numFmtId="0" fontId="0" fillId="0" borderId="0" xfId="0" applyAlignment="1">
      <alignment horizontal="right" wrapText="1"/>
    </xf>
    <xf numFmtId="0" fontId="21" fillId="0" borderId="0" xfId="0" applyFont="1" applyAlignment="1">
      <alignment horizontal="right" wrapText="1"/>
    </xf>
    <xf numFmtId="0" fontId="21" fillId="0" borderId="0" xfId="0" applyFont="1" applyAlignment="1">
      <alignment horizontal="right"/>
    </xf>
    <xf numFmtId="0" fontId="622" fillId="621" borderId="607" xfId="0" applyFont="1" applyFill="1" applyBorder="1" applyAlignment="1">
      <alignment horizontal="right" wrapText="1"/>
    </xf>
    <xf numFmtId="0" fontId="623" fillId="622" borderId="608" xfId="0" applyFont="1" applyFill="1" applyBorder="1" applyAlignment="1">
      <alignment horizontal="right"/>
    </xf>
    <xf numFmtId="0" fontId="620" fillId="619" borderId="605" xfId="0" applyFont="1" applyFill="1" applyBorder="1" applyAlignment="1">
      <alignment horizontal="right" wrapText="1"/>
    </xf>
    <xf numFmtId="0" fontId="621" fillId="620" borderId="606" xfId="0" applyFont="1" applyFill="1" applyBorder="1" applyAlignment="1">
      <alignment horizontal="right"/>
    </xf>
    <xf numFmtId="0" fontId="626" fillId="625" borderId="611" xfId="0" applyFont="1" applyFill="1" applyBorder="1" applyAlignment="1">
      <alignment horizontal="right" wrapText="1"/>
    </xf>
    <xf numFmtId="0" fontId="624" fillId="623" borderId="609" xfId="0" applyFont="1" applyFill="1" applyBorder="1" applyAlignment="1">
      <alignment horizontal="right" wrapText="1"/>
    </xf>
    <xf numFmtId="0" fontId="625" fillId="624" borderId="610" xfId="0" applyFont="1" applyFill="1" applyBorder="1" applyAlignment="1">
      <alignment horizontal="right"/>
    </xf>
    <xf numFmtId="0" fontId="21" fillId="6" borderId="0" xfId="0" applyFont="1" applyFill="1" applyAlignment="1">
      <alignment horizontal="center" vertical="center"/>
    </xf>
    <xf numFmtId="0" fontId="67" fillId="6" borderId="0" xfId="0" applyFont="1" applyFill="1" applyAlignment="1">
      <alignment horizontal="left"/>
    </xf>
    <xf numFmtId="0" fontId="159" fillId="6" borderId="0" xfId="0" applyFont="1" applyFill="1" applyAlignment="1">
      <alignment horizontal="left" wrapText="1"/>
    </xf>
    <xf numFmtId="0" fontId="628" fillId="627" borderId="613" xfId="0" applyFont="1" applyFill="1" applyBorder="1" applyAlignment="1">
      <alignment vertical="top"/>
    </xf>
    <xf numFmtId="0" fontId="629" fillId="628" borderId="614" xfId="0" applyFont="1" applyFill="1" applyBorder="1" applyAlignment="1">
      <alignment vertical="top"/>
    </xf>
    <xf numFmtId="0" fontId="630" fillId="629" borderId="615" xfId="0" applyFont="1" applyFill="1" applyBorder="1" applyAlignment="1">
      <alignment wrapText="1"/>
    </xf>
    <xf numFmtId="0" fontId="631" fillId="630" borderId="616" xfId="0" applyFont="1" applyFill="1" applyBorder="1" applyAlignment="1">
      <alignment vertical="top" wrapText="1"/>
    </xf>
    <xf numFmtId="0" fontId="632" fillId="631" borderId="617" xfId="0" applyFont="1" applyFill="1" applyBorder="1" applyAlignment="1">
      <alignment vertical="top" wrapText="1"/>
    </xf>
    <xf numFmtId="0" fontId="633" fillId="632" borderId="618" xfId="0" applyFont="1" applyFill="1" applyBorder="1" applyAlignment="1">
      <alignment wrapText="1"/>
    </xf>
    <xf numFmtId="0" fontId="634" fillId="633" borderId="619" xfId="0" applyFont="1" applyFill="1" applyBorder="1" applyAlignment="1">
      <alignment wrapText="1"/>
    </xf>
    <xf numFmtId="0" fontId="635" fillId="634" borderId="620" xfId="0" applyFont="1" applyFill="1" applyBorder="1" applyAlignment="1">
      <alignment wrapText="1"/>
    </xf>
    <xf numFmtId="0" fontId="636" fillId="635" borderId="621" xfId="0" applyFont="1" applyFill="1" applyBorder="1" applyAlignment="1">
      <alignment wrapText="1"/>
    </xf>
    <xf numFmtId="0" fontId="637" fillId="636" borderId="622" xfId="0" applyFont="1" applyFill="1" applyBorder="1" applyAlignment="1">
      <alignment horizontal="left" vertical="top"/>
    </xf>
    <xf numFmtId="0" fontId="638" fillId="637" borderId="623" xfId="0" applyFont="1" applyFill="1" applyBorder="1" applyAlignment="1">
      <alignment horizontal="left" vertical="top"/>
    </xf>
    <xf numFmtId="0" fontId="639" fillId="638" borderId="624" xfId="0" applyFont="1" applyFill="1" applyBorder="1" applyAlignment="1">
      <alignment vertical="top"/>
    </xf>
    <xf numFmtId="0" fontId="640" fillId="639" borderId="625" xfId="0" applyFont="1" applyFill="1" applyBorder="1" applyAlignment="1">
      <alignment vertical="top"/>
    </xf>
    <xf numFmtId="0" fontId="641" fillId="640" borderId="626" xfId="0" applyFont="1" applyFill="1" applyBorder="1" applyAlignment="1">
      <alignment wrapText="1"/>
    </xf>
    <xf numFmtId="0" fontId="642" fillId="641" borderId="627" xfId="0" applyFont="1" applyFill="1" applyBorder="1" applyAlignment="1">
      <alignment wrapText="1"/>
    </xf>
    <xf numFmtId="0" fontId="643" fillId="642" borderId="628" xfId="0" applyFont="1" applyFill="1" applyBorder="1" applyAlignment="1">
      <alignment horizontal="left" vertical="top"/>
    </xf>
    <xf numFmtId="0" fontId="644" fillId="643" borderId="629" xfId="0" applyFont="1" applyFill="1" applyBorder="1" applyAlignment="1">
      <alignment horizontal="left" vertical="top"/>
    </xf>
    <xf numFmtId="0" fontId="645" fillId="644" borderId="630" xfId="0" applyFont="1" applyFill="1" applyBorder="1" applyAlignment="1">
      <alignment horizontal="left" vertical="top"/>
    </xf>
    <xf numFmtId="0" fontId="646" fillId="645" borderId="631" xfId="0" applyFont="1" applyFill="1" applyBorder="1" applyAlignment="1">
      <alignment horizontal="left" vertical="top"/>
    </xf>
    <xf numFmtId="0" fontId="647" fillId="646" borderId="632" xfId="0" applyFont="1" applyFill="1" applyBorder="1" applyAlignment="1">
      <alignment vertical="top"/>
    </xf>
    <xf numFmtId="0" fontId="648" fillId="647" borderId="633" xfId="0" applyFont="1" applyFill="1" applyBorder="1" applyAlignment="1">
      <alignment vertical="top"/>
    </xf>
    <xf numFmtId="0" fontId="649" fillId="648" borderId="634" xfId="0" applyFont="1" applyFill="1" applyBorder="1" applyAlignment="1">
      <alignment horizontal="left" vertical="top"/>
    </xf>
    <xf numFmtId="0" fontId="650" fillId="649" borderId="635" xfId="0" applyFont="1" applyFill="1" applyBorder="1" applyAlignment="1">
      <alignment horizontal="left" vertical="top"/>
    </xf>
    <xf numFmtId="0" fontId="651" fillId="650" borderId="636" xfId="0" applyFont="1" applyFill="1" applyBorder="1" applyAlignment="1">
      <alignment wrapText="1"/>
    </xf>
    <xf numFmtId="0" fontId="652" fillId="651" borderId="637" xfId="0" applyFont="1" applyFill="1" applyBorder="1" applyAlignment="1">
      <alignment vertical="top" wrapText="1"/>
    </xf>
    <xf numFmtId="0" fontId="653" fillId="652" borderId="638" xfId="0" applyFont="1" applyFill="1" applyBorder="1" applyAlignment="1">
      <alignment vertical="top" wrapText="1"/>
    </xf>
    <xf numFmtId="0" fontId="654" fillId="653" borderId="639" xfId="0" applyFont="1" applyFill="1" applyBorder="1" applyAlignment="1">
      <alignment wrapText="1"/>
    </xf>
    <xf numFmtId="0" fontId="655" fillId="654" borderId="640" xfId="0" applyFont="1" applyFill="1" applyBorder="1" applyAlignment="1">
      <alignment wrapText="1"/>
    </xf>
    <xf numFmtId="0" fontId="656" fillId="655" borderId="641" xfId="0" applyFont="1" applyFill="1" applyBorder="1" applyAlignment="1">
      <alignment wrapText="1"/>
    </xf>
    <xf numFmtId="0" fontId="657" fillId="656" borderId="642" xfId="0" applyFont="1" applyFill="1" applyBorder="1" applyAlignment="1">
      <alignment wrapText="1"/>
    </xf>
    <xf numFmtId="0" fontId="658" fillId="657" borderId="643" xfId="0" applyFont="1" applyFill="1" applyBorder="1" applyAlignment="1">
      <alignment wrapText="1"/>
    </xf>
    <xf numFmtId="0" fontId="659" fillId="658" borderId="644" xfId="0" applyFont="1" applyFill="1" applyBorder="1" applyAlignment="1">
      <alignment wrapText="1"/>
    </xf>
    <xf numFmtId="0" fontId="660" fillId="659" borderId="645" xfId="0" applyFont="1" applyFill="1" applyBorder="1" applyAlignment="1">
      <alignment horizontal="left" vertical="top"/>
    </xf>
    <xf numFmtId="0" fontId="661" fillId="660" borderId="646" xfId="0" applyFont="1" applyFill="1" applyBorder="1" applyAlignment="1">
      <alignment horizontal="left" vertical="top"/>
    </xf>
    <xf numFmtId="0" fontId="662" fillId="661" borderId="647" xfId="0" applyFont="1" applyFill="1" applyBorder="1" applyAlignment="1">
      <alignment wrapText="1"/>
    </xf>
    <xf numFmtId="0" fontId="663" fillId="662" borderId="648" xfId="0" applyFont="1" applyFill="1" applyBorder="1" applyAlignment="1">
      <alignment wrapText="1"/>
    </xf>
    <xf numFmtId="0" fontId="664" fillId="663" borderId="649" xfId="0" applyFont="1" applyFill="1" applyBorder="1" applyAlignment="1">
      <alignment wrapText="1"/>
    </xf>
    <xf numFmtId="0" fontId="665" fillId="664" borderId="650" xfId="0" applyFont="1" applyFill="1" applyBorder="1" applyAlignment="1">
      <alignment wrapText="1"/>
    </xf>
    <xf numFmtId="0" fontId="666" fillId="665" borderId="651" xfId="0" applyFont="1" applyFill="1" applyBorder="1" applyAlignment="1">
      <alignment vertical="top" wrapText="1"/>
    </xf>
    <xf numFmtId="0" fontId="667" fillId="666" borderId="652" xfId="0" applyFont="1" applyFill="1" applyBorder="1" applyAlignment="1">
      <alignment vertical="top" wrapText="1"/>
    </xf>
    <xf numFmtId="0" fontId="674" fillId="673" borderId="659" xfId="0" applyFont="1" applyFill="1" applyBorder="1" applyAlignment="1">
      <alignment horizontal="left" wrapText="1"/>
    </xf>
    <xf numFmtId="0" fontId="675" fillId="674" borderId="660" xfId="0" applyFont="1" applyFill="1" applyBorder="1" applyAlignment="1">
      <alignment horizontal="left" wrapText="1"/>
    </xf>
    <xf numFmtId="0" fontId="676" fillId="675" borderId="661" xfId="0" applyFont="1" applyFill="1" applyBorder="1" applyAlignment="1">
      <alignment horizontal="left" vertical="top"/>
    </xf>
    <xf numFmtId="0" fontId="677" fillId="676" borderId="662" xfId="0" applyFont="1" applyFill="1" applyBorder="1" applyAlignment="1">
      <alignment horizontal="left" vertical="top"/>
    </xf>
    <xf numFmtId="0" fontId="678" fillId="677" borderId="663" xfId="0" applyFont="1" applyFill="1" applyBorder="1" applyAlignment="1">
      <alignment vertical="top"/>
    </xf>
    <xf numFmtId="0" fontId="679" fillId="678" borderId="664" xfId="0" applyFont="1" applyFill="1" applyBorder="1" applyAlignment="1">
      <alignment vertical="top"/>
    </xf>
    <xf numFmtId="0" fontId="680" fillId="679" borderId="665" xfId="0" applyFont="1" applyFill="1" applyBorder="1" applyAlignment="1">
      <alignment wrapText="1"/>
    </xf>
    <xf numFmtId="0" fontId="681" fillId="680" borderId="666" xfId="0" applyFont="1" applyFill="1" applyBorder="1" applyAlignment="1">
      <alignment wrapText="1"/>
    </xf>
    <xf numFmtId="0" fontId="682" fillId="681" borderId="667" xfId="0" applyFont="1" applyFill="1" applyBorder="1" applyAlignment="1">
      <alignment horizontal="left" vertical="top"/>
    </xf>
    <xf numFmtId="0" fontId="683" fillId="682" borderId="668" xfId="0" applyFont="1" applyFill="1" applyBorder="1" applyAlignment="1">
      <alignment horizontal="left" vertical="top"/>
    </xf>
    <xf numFmtId="0" fontId="686" fillId="685" borderId="671" xfId="0" applyFont="1" applyFill="1" applyBorder="1" applyAlignment="1">
      <alignment horizontal="left" vertical="top"/>
    </xf>
    <xf numFmtId="0" fontId="687" fillId="686" borderId="672" xfId="0" applyFont="1" applyFill="1" applyBorder="1" applyAlignment="1">
      <alignment horizontal="left" vertical="top"/>
    </xf>
    <xf numFmtId="0" fontId="694" fillId="693" borderId="679" xfId="0" applyFont="1" applyFill="1" applyBorder="1" applyAlignment="1">
      <alignment wrapText="1"/>
    </xf>
    <xf numFmtId="0" fontId="695" fillId="694" borderId="680" xfId="0" applyFont="1" applyFill="1" applyBorder="1" applyAlignment="1">
      <alignment wrapText="1"/>
    </xf>
    <xf numFmtId="0" fontId="696" fillId="695" borderId="681" xfId="0" applyFont="1" applyFill="1" applyBorder="1" applyAlignment="1">
      <alignment horizontal="left" vertical="top" wrapText="1"/>
    </xf>
    <xf numFmtId="0" fontId="697" fillId="696" borderId="682" xfId="0" applyFont="1" applyFill="1" applyBorder="1" applyAlignment="1">
      <alignment horizontal="left" vertical="top" wrapText="1"/>
    </xf>
    <xf numFmtId="0" fontId="698" fillId="697" borderId="683" xfId="0" applyFont="1" applyFill="1" applyBorder="1" applyAlignment="1">
      <alignment horizontal="left" vertical="top"/>
    </xf>
    <xf numFmtId="0" fontId="699" fillId="698" borderId="684" xfId="0" applyFont="1" applyFill="1" applyBorder="1" applyAlignment="1">
      <alignment horizontal="left" vertical="top"/>
    </xf>
    <xf numFmtId="0" fontId="700" fillId="699" borderId="685" xfId="0" applyFont="1" applyFill="1" applyBorder="1" applyAlignment="1">
      <alignment wrapText="1"/>
    </xf>
    <xf numFmtId="0" fontId="701" fillId="700" borderId="686" xfId="0" applyFont="1" applyFill="1" applyBorder="1" applyAlignment="1">
      <alignment wrapText="1"/>
    </xf>
    <xf numFmtId="0" fontId="702" fillId="701" borderId="687" xfId="0" applyFont="1" applyFill="1" applyBorder="1" applyAlignment="1">
      <alignment wrapText="1"/>
    </xf>
    <xf numFmtId="0" fontId="703" fillId="702" borderId="688" xfId="0" applyFont="1" applyFill="1" applyBorder="1" applyAlignment="1">
      <alignment wrapText="1"/>
    </xf>
    <xf numFmtId="0" fontId="704" fillId="703" borderId="689" xfId="0" applyFont="1" applyFill="1" applyBorder="1" applyAlignment="1">
      <alignment wrapText="1"/>
    </xf>
    <xf numFmtId="0" fontId="705" fillId="704" borderId="690" xfId="0" applyFont="1" applyFill="1" applyBorder="1" applyAlignment="1">
      <alignment wrapText="1"/>
    </xf>
    <xf numFmtId="0" fontId="706" fillId="705" borderId="691" xfId="0" applyFont="1" applyFill="1" applyBorder="1" applyAlignment="1">
      <alignment wrapText="1"/>
    </xf>
    <xf numFmtId="0" fontId="707" fillId="706" borderId="692" xfId="0" applyFont="1" applyFill="1" applyBorder="1" applyAlignment="1">
      <alignment wrapText="1"/>
    </xf>
    <xf numFmtId="0" fontId="708" fillId="707" borderId="693" xfId="0" applyFont="1" applyFill="1" applyBorder="1" applyAlignment="1">
      <alignment wrapText="1"/>
    </xf>
    <xf numFmtId="0" fontId="709" fillId="708" borderId="694" xfId="0" applyFont="1" applyFill="1" applyBorder="1" applyAlignment="1">
      <alignment wrapText="1"/>
    </xf>
    <xf numFmtId="0" fontId="710" fillId="709" borderId="695" xfId="0" applyFont="1" applyFill="1" applyBorder="1" applyAlignment="1">
      <alignment wrapText="1"/>
    </xf>
    <xf numFmtId="0" fontId="711" fillId="710" borderId="696" xfId="0" applyFont="1" applyFill="1" applyBorder="1" applyAlignment="1">
      <alignment wrapText="1"/>
    </xf>
    <xf numFmtId="0" fontId="712" fillId="711" borderId="697" xfId="0" applyFont="1" applyFill="1" applyBorder="1" applyAlignment="1">
      <alignment wrapText="1"/>
    </xf>
    <xf numFmtId="0" fontId="713" fillId="712" borderId="698" xfId="0" applyFont="1" applyFill="1" applyBorder="1" applyAlignment="1">
      <alignment wrapText="1"/>
    </xf>
    <xf numFmtId="0" fontId="714" fillId="713" borderId="699" xfId="0" applyFont="1" applyFill="1" applyBorder="1" applyAlignment="1">
      <alignment horizontal="left" vertical="top" wrapText="1"/>
    </xf>
    <xf numFmtId="0" fontId="715" fillId="714" borderId="700" xfId="0" applyFont="1" applyFill="1" applyBorder="1" applyAlignment="1">
      <alignment horizontal="left" vertical="top" wrapText="1"/>
    </xf>
    <xf numFmtId="0" fontId="716" fillId="715" borderId="701" xfId="0" applyFont="1" applyFill="1" applyBorder="1" applyAlignment="1">
      <alignment wrapText="1"/>
    </xf>
    <xf numFmtId="0" fontId="717" fillId="716" borderId="702" xfId="0" applyFont="1" applyFill="1" applyBorder="1" applyAlignment="1">
      <alignment wrapText="1"/>
    </xf>
    <xf numFmtId="0" fontId="718" fillId="717" borderId="703" xfId="0" applyFont="1" applyFill="1" applyBorder="1" applyAlignment="1">
      <alignment wrapText="1"/>
    </xf>
    <xf numFmtId="0" fontId="719" fillId="718" borderId="704" xfId="0" applyFont="1" applyFill="1" applyBorder="1" applyAlignment="1">
      <alignment wrapText="1"/>
    </xf>
    <xf numFmtId="0" fontId="720" fillId="719" borderId="705" xfId="0" applyFont="1" applyFill="1" applyBorder="1" applyAlignment="1">
      <alignment wrapText="1"/>
    </xf>
    <xf numFmtId="0" fontId="721" fillId="720" borderId="706" xfId="0" applyFont="1" applyFill="1" applyBorder="1" applyAlignment="1">
      <alignment wrapText="1"/>
    </xf>
    <xf numFmtId="0" fontId="722" fillId="721" borderId="707" xfId="0" applyFont="1" applyFill="1" applyBorder="1" applyAlignment="1">
      <alignment wrapText="1"/>
    </xf>
    <xf numFmtId="0" fontId="723" fillId="722" borderId="708" xfId="0" applyFont="1" applyFill="1" applyBorder="1" applyAlignment="1">
      <alignment wrapText="1"/>
    </xf>
    <xf numFmtId="0" fontId="724" fillId="723" borderId="709" xfId="0" applyFont="1" applyFill="1" applyBorder="1" applyAlignment="1">
      <alignment horizontal="left" vertical="top"/>
    </xf>
    <xf numFmtId="0" fontId="725" fillId="724" borderId="710" xfId="0" applyFont="1" applyFill="1" applyBorder="1" applyAlignment="1">
      <alignment horizontal="left" vertical="top"/>
    </xf>
    <xf numFmtId="0" fontId="726" fillId="725" borderId="711" xfId="0" applyFont="1" applyFill="1" applyBorder="1" applyAlignment="1">
      <alignment wrapText="1"/>
    </xf>
    <xf numFmtId="0" fontId="727" fillId="726" borderId="712" xfId="0" applyFont="1" applyFill="1" applyBorder="1" applyAlignment="1">
      <alignment wrapText="1"/>
    </xf>
    <xf numFmtId="0" fontId="728" fillId="727" borderId="713" xfId="0" applyFont="1" applyFill="1" applyBorder="1" applyAlignment="1">
      <alignment wrapText="1"/>
    </xf>
    <xf numFmtId="0" fontId="729" fillId="728" borderId="714" xfId="0" applyFont="1" applyFill="1" applyBorder="1" applyAlignment="1">
      <alignment wrapText="1"/>
    </xf>
    <xf numFmtId="0" fontId="730" fillId="729" borderId="715" xfId="0" applyFont="1" applyFill="1" applyBorder="1" applyAlignment="1">
      <alignment wrapText="1"/>
    </xf>
    <xf numFmtId="0" fontId="731" fillId="730" borderId="716" xfId="0" applyFont="1" applyFill="1" applyBorder="1" applyAlignment="1">
      <alignment wrapText="1"/>
    </xf>
    <xf numFmtId="0" fontId="732" fillId="731" borderId="717" xfId="0" applyFont="1" applyFill="1" applyBorder="1" applyAlignment="1">
      <alignment wrapText="1"/>
    </xf>
    <xf numFmtId="0" fontId="733" fillId="732" borderId="718" xfId="0" applyFont="1" applyFill="1" applyBorder="1" applyAlignment="1">
      <alignment wrapText="1"/>
    </xf>
    <xf numFmtId="0" fontId="734" fillId="733" borderId="719" xfId="0" applyFont="1" applyFill="1" applyBorder="1" applyAlignment="1">
      <alignment wrapText="1"/>
    </xf>
    <xf numFmtId="0" fontId="735" fillId="734" borderId="720" xfId="0" applyFont="1" applyFill="1" applyBorder="1" applyAlignment="1">
      <alignment wrapText="1"/>
    </xf>
    <xf numFmtId="0" fontId="736" fillId="735" borderId="721" xfId="0" applyFont="1" applyFill="1" applyBorder="1" applyAlignment="1">
      <alignment wrapText="1"/>
    </xf>
    <xf numFmtId="0" fontId="737" fillId="736" borderId="722" xfId="0" applyFont="1" applyFill="1" applyBorder="1" applyAlignment="1">
      <alignment wrapText="1"/>
    </xf>
    <xf numFmtId="0" fontId="738" fillId="737" borderId="723" xfId="0" applyFont="1" applyFill="1" applyBorder="1" applyAlignment="1">
      <alignment wrapText="1"/>
    </xf>
    <xf numFmtId="0" fontId="739" fillId="738" borderId="724" xfId="0" applyFont="1" applyFill="1" applyBorder="1" applyAlignment="1">
      <alignment wrapText="1"/>
    </xf>
    <xf numFmtId="0" fontId="740" fillId="739" borderId="725" xfId="0" applyFont="1" applyFill="1" applyBorder="1" applyAlignment="1">
      <alignment wrapText="1"/>
    </xf>
    <xf numFmtId="0" fontId="741" fillId="740" borderId="726" xfId="0" applyFont="1" applyFill="1" applyBorder="1" applyAlignment="1">
      <alignment wrapText="1"/>
    </xf>
    <xf numFmtId="0" fontId="742" fillId="741" borderId="727" xfId="0" applyFont="1" applyFill="1" applyBorder="1" applyAlignment="1">
      <alignment wrapText="1"/>
    </xf>
    <xf numFmtId="0" fontId="743" fillId="742" borderId="728" xfId="0" applyFont="1" applyFill="1" applyBorder="1" applyAlignment="1">
      <alignment wrapText="1"/>
    </xf>
    <xf numFmtId="0" fontId="744" fillId="743" borderId="729" xfId="0" applyFont="1" applyFill="1" applyBorder="1" applyAlignment="1">
      <alignment horizontal="left" vertical="top"/>
    </xf>
    <xf numFmtId="0" fontId="745" fillId="744" borderId="730" xfId="0" applyFont="1" applyFill="1" applyBorder="1" applyAlignment="1">
      <alignment horizontal="left" vertical="top"/>
    </xf>
    <xf numFmtId="0" fontId="746" fillId="745" borderId="731" xfId="0" applyFont="1" applyFill="1" applyBorder="1" applyAlignment="1">
      <alignment wrapText="1"/>
    </xf>
    <xf numFmtId="0" fontId="747" fillId="746" borderId="732" xfId="0" applyFont="1" applyFill="1" applyBorder="1" applyAlignment="1">
      <alignment wrapText="1"/>
    </xf>
    <xf numFmtId="0" fontId="748" fillId="747" borderId="733" xfId="0" applyFont="1" applyFill="1" applyBorder="1" applyAlignment="1">
      <alignment wrapText="1"/>
    </xf>
    <xf numFmtId="0" fontId="749" fillId="748" borderId="734" xfId="0" applyFont="1" applyFill="1" applyBorder="1" applyAlignment="1">
      <alignment wrapText="1"/>
    </xf>
    <xf numFmtId="0" fontId="750" fillId="749" borderId="735" xfId="0" applyFont="1" applyFill="1" applyBorder="1" applyAlignment="1">
      <alignment wrapText="1"/>
    </xf>
    <xf numFmtId="0" fontId="751" fillId="750" borderId="736" xfId="0" applyFont="1" applyFill="1" applyBorder="1" applyAlignment="1">
      <alignment wrapText="1"/>
    </xf>
    <xf numFmtId="0" fontId="752" fillId="751" borderId="737" xfId="0" applyFont="1" applyFill="1" applyBorder="1" applyAlignment="1">
      <alignment wrapText="1"/>
    </xf>
    <xf numFmtId="0" fontId="753" fillId="752" borderId="738" xfId="0" applyFont="1" applyFill="1" applyBorder="1" applyAlignment="1">
      <alignment wrapText="1"/>
    </xf>
    <xf numFmtId="0" fontId="754" fillId="753" borderId="739" xfId="0" applyFont="1" applyFill="1" applyBorder="1" applyAlignment="1">
      <alignment wrapText="1"/>
    </xf>
    <xf numFmtId="0" fontId="755" fillId="754" borderId="740" xfId="0" applyFont="1" applyFill="1" applyBorder="1" applyAlignment="1">
      <alignment wrapText="1"/>
    </xf>
    <xf numFmtId="0" fontId="756" fillId="755" borderId="741" xfId="0" applyFont="1" applyFill="1" applyBorder="1" applyAlignment="1">
      <alignment wrapText="1"/>
    </xf>
    <xf numFmtId="0" fontId="757" fillId="756" borderId="742" xfId="0" applyFont="1" applyFill="1" applyBorder="1" applyAlignment="1">
      <alignment wrapText="1"/>
    </xf>
    <xf numFmtId="0" fontId="758" fillId="757" borderId="743" xfId="0" applyFont="1" applyFill="1" applyBorder="1" applyAlignment="1">
      <alignment wrapText="1"/>
    </xf>
    <xf numFmtId="0" fontId="759" fillId="758" borderId="744" xfId="0" applyFont="1" applyFill="1" applyBorder="1" applyAlignment="1">
      <alignment wrapText="1"/>
    </xf>
    <xf numFmtId="0" fontId="760" fillId="759" borderId="745" xfId="0" applyFont="1" applyFill="1" applyBorder="1" applyAlignment="1">
      <alignment wrapText="1"/>
    </xf>
    <xf numFmtId="0" fontId="761" fillId="760" borderId="746" xfId="0" applyFont="1" applyFill="1" applyBorder="1" applyAlignment="1">
      <alignment wrapText="1"/>
    </xf>
    <xf numFmtId="0" fontId="762" fillId="761" borderId="747" xfId="0" applyFont="1" applyFill="1" applyBorder="1" applyAlignment="1">
      <alignment wrapText="1"/>
    </xf>
    <xf numFmtId="0" fontId="763" fillId="762" borderId="748" xfId="0" applyFont="1" applyFill="1" applyBorder="1" applyAlignment="1">
      <alignment wrapText="1"/>
    </xf>
    <xf numFmtId="0" fontId="764" fillId="763" borderId="749" xfId="0" applyFont="1" applyFill="1" applyBorder="1" applyAlignment="1">
      <alignment wrapText="1"/>
    </xf>
    <xf numFmtId="0" fontId="765" fillId="764" borderId="750" xfId="0" applyFont="1" applyFill="1" applyBorder="1" applyAlignment="1">
      <alignment wrapText="1"/>
    </xf>
    <xf numFmtId="0" fontId="766" fillId="765" borderId="751" xfId="0" applyFont="1" applyFill="1" applyBorder="1" applyAlignment="1">
      <alignment wrapText="1"/>
    </xf>
    <xf numFmtId="0" fontId="767" fillId="766" borderId="752" xfId="0" applyFont="1" applyFill="1" applyBorder="1" applyAlignment="1">
      <alignment wrapText="1"/>
    </xf>
    <xf numFmtId="0" fontId="768" fillId="767" borderId="753" xfId="0" applyFont="1" applyFill="1" applyBorder="1" applyAlignment="1">
      <alignment wrapText="1"/>
    </xf>
    <xf numFmtId="0" fontId="769" fillId="768" borderId="754" xfId="0" applyFont="1" applyFill="1" applyBorder="1" applyAlignment="1">
      <alignment wrapText="1"/>
    </xf>
    <xf numFmtId="0" fontId="770" fillId="769" borderId="755" xfId="0" applyFont="1" applyFill="1" applyBorder="1" applyAlignment="1">
      <alignment horizontal="left" vertical="top"/>
    </xf>
    <xf numFmtId="0" fontId="771" fillId="770" borderId="756" xfId="0" applyFont="1" applyFill="1" applyBorder="1" applyAlignment="1">
      <alignment horizontal="left" vertical="top"/>
    </xf>
    <xf numFmtId="0" fontId="772" fillId="771" borderId="757" xfId="0" applyFont="1" applyFill="1" applyBorder="1"/>
    <xf numFmtId="0" fontId="773" fillId="772" borderId="758" xfId="0" applyFont="1" applyFill="1" applyBorder="1"/>
    <xf numFmtId="0" fontId="774" fillId="773" borderId="759" xfId="0" applyFont="1" applyFill="1" applyBorder="1" applyAlignment="1">
      <alignment wrapText="1"/>
    </xf>
    <xf numFmtId="0" fontId="775" fillId="774" borderId="760" xfId="0" applyFont="1" applyFill="1" applyBorder="1" applyAlignment="1">
      <alignment wrapText="1"/>
    </xf>
    <xf numFmtId="0" fontId="776" fillId="775" borderId="761" xfId="0" applyFont="1" applyFill="1" applyBorder="1" applyAlignment="1">
      <alignment wrapText="1"/>
    </xf>
    <xf numFmtId="0" fontId="777" fillId="776" borderId="762" xfId="0" applyFont="1" applyFill="1" applyBorder="1" applyAlignment="1">
      <alignment wrapText="1"/>
    </xf>
    <xf numFmtId="0" fontId="778" fillId="777" borderId="763" xfId="0" applyFont="1" applyFill="1" applyBorder="1" applyAlignment="1">
      <alignment wrapText="1"/>
    </xf>
    <xf numFmtId="0" fontId="779" fillId="778" borderId="764" xfId="0" applyFont="1" applyFill="1" applyBorder="1" applyAlignment="1">
      <alignment wrapText="1"/>
    </xf>
    <xf numFmtId="0" fontId="780" fillId="779" borderId="765" xfId="0" applyFont="1" applyFill="1" applyBorder="1" applyAlignment="1">
      <alignment wrapText="1"/>
    </xf>
    <xf numFmtId="0" fontId="781" fillId="780" borderId="766" xfId="0" applyFont="1" applyFill="1" applyBorder="1" applyAlignment="1">
      <alignment wrapText="1"/>
    </xf>
    <xf numFmtId="0" fontId="782" fillId="781" borderId="767" xfId="0" applyFont="1" applyFill="1" applyBorder="1" applyAlignment="1">
      <alignment wrapText="1"/>
    </xf>
    <xf numFmtId="0" fontId="783" fillId="782" borderId="768" xfId="0" applyFont="1" applyFill="1" applyBorder="1" applyAlignment="1">
      <alignment wrapText="1"/>
    </xf>
    <xf numFmtId="0" fontId="784" fillId="783" borderId="769" xfId="0" applyFont="1" applyFill="1" applyBorder="1" applyAlignment="1">
      <alignment horizontal="left" vertical="top"/>
    </xf>
    <xf numFmtId="0" fontId="785" fillId="784" borderId="770" xfId="0" applyFont="1" applyFill="1" applyBorder="1" applyAlignment="1">
      <alignment horizontal="left" vertical="top"/>
    </xf>
    <xf numFmtId="0" fontId="786" fillId="785" borderId="771" xfId="0" applyFont="1" applyFill="1" applyBorder="1" applyAlignment="1">
      <alignment wrapText="1"/>
    </xf>
    <xf numFmtId="0" fontId="787" fillId="786" borderId="772" xfId="0" applyFont="1" applyFill="1" applyBorder="1" applyAlignment="1">
      <alignment wrapText="1"/>
    </xf>
    <xf numFmtId="0" fontId="788" fillId="787" borderId="773" xfId="0" applyFont="1" applyFill="1" applyBorder="1" applyAlignment="1">
      <alignment wrapText="1"/>
    </xf>
    <xf numFmtId="0" fontId="789" fillId="788" borderId="774" xfId="0" applyFont="1" applyFill="1" applyBorder="1" applyAlignment="1">
      <alignment wrapText="1"/>
    </xf>
    <xf numFmtId="0" fontId="790" fillId="789" borderId="775" xfId="0" applyFont="1" applyFill="1" applyBorder="1" applyAlignment="1">
      <alignment wrapText="1"/>
    </xf>
    <xf numFmtId="0" fontId="791" fillId="790" borderId="776" xfId="0" applyFont="1" applyFill="1" applyBorder="1" applyAlignment="1">
      <alignment wrapText="1"/>
    </xf>
    <xf numFmtId="0" fontId="792" fillId="0" borderId="0" xfId="0" applyFont="1"/>
    <xf numFmtId="0" fontId="793" fillId="791" borderId="777" xfId="0" applyFont="1" applyFill="1" applyBorder="1" applyAlignment="1">
      <alignment vertical="top"/>
    </xf>
    <xf numFmtId="0" fontId="794" fillId="792" borderId="778" xfId="0" applyFont="1" applyFill="1" applyBorder="1" applyAlignment="1">
      <alignment vertical="top"/>
    </xf>
    <xf numFmtId="0" fontId="90" fillId="64" borderId="48" xfId="0" applyFont="1" applyFill="1" applyBorder="1" applyAlignment="1">
      <alignment horizontal="left" wrapText="1"/>
    </xf>
    <xf numFmtId="0" fontId="152" fillId="153" borderId="137" xfId="0" applyFont="1" applyFill="1" applyBorder="1" applyAlignment="1">
      <alignment horizontal="left" wrapText="1"/>
    </xf>
    <xf numFmtId="0" fontId="179" fillId="177" borderId="162" xfId="0" applyFont="1" applyFill="1" applyBorder="1" applyAlignment="1">
      <alignment horizontal="left" wrapText="1"/>
    </xf>
    <xf numFmtId="0" fontId="180" fillId="178" borderId="163" xfId="0" applyFont="1" applyFill="1" applyBorder="1" applyAlignment="1">
      <alignment horizontal="left" wrapText="1"/>
    </xf>
    <xf numFmtId="0" fontId="321" fillId="319" borderId="304" xfId="0" applyFont="1" applyFill="1" applyBorder="1" applyAlignment="1">
      <alignment horizontal="left" wrapText="1"/>
    </xf>
    <xf numFmtId="0" fontId="322" fillId="320" borderId="305" xfId="0" applyFont="1" applyFill="1" applyBorder="1" applyAlignment="1">
      <alignment horizontal="left" wrapText="1"/>
    </xf>
    <xf numFmtId="0" fontId="461" fillId="460" borderId="445" xfId="0" applyFont="1" applyFill="1" applyBorder="1" applyAlignment="1">
      <alignment horizontal="left" wrapText="1"/>
    </xf>
    <xf numFmtId="0" fontId="462" fillId="461" borderId="446" xfId="0" applyFont="1" applyFill="1" applyBorder="1" applyAlignment="1">
      <alignment horizontal="left" wrapText="1"/>
    </xf>
    <xf numFmtId="0" fontId="491" fillId="490" borderId="475" xfId="0" applyFont="1" applyFill="1" applyBorder="1" applyAlignment="1">
      <alignment horizontal="left" wrapText="1"/>
    </xf>
    <xf numFmtId="0" fontId="492" fillId="491" borderId="476" xfId="0" applyFont="1" applyFill="1" applyBorder="1" applyAlignment="1">
      <alignment horizontal="left" wrapText="1"/>
    </xf>
    <xf numFmtId="0" fontId="668" fillId="667" borderId="653" xfId="0" applyFont="1" applyFill="1" applyBorder="1" applyAlignment="1">
      <alignment horizontal="left" wrapText="1"/>
    </xf>
    <xf numFmtId="0" fontId="669" fillId="668" borderId="654" xfId="0" applyFont="1" applyFill="1" applyBorder="1" applyAlignment="1">
      <alignment horizontal="left" wrapText="1"/>
    </xf>
    <xf numFmtId="0" fontId="181" fillId="179" borderId="164" xfId="0" applyFont="1" applyFill="1" applyBorder="1" applyAlignment="1">
      <alignment horizontal="left" wrapText="1"/>
    </xf>
    <xf numFmtId="0" fontId="182" fillId="180" borderId="165" xfId="0" applyFont="1" applyFill="1" applyBorder="1" applyAlignment="1">
      <alignment horizontal="left" wrapText="1"/>
    </xf>
    <xf numFmtId="0" fontId="323" fillId="321" borderId="306" xfId="0" applyFont="1" applyFill="1" applyBorder="1" applyAlignment="1">
      <alignment horizontal="left" wrapText="1"/>
    </xf>
    <xf numFmtId="0" fontId="324" fillId="322" borderId="307" xfId="0" applyFont="1" applyFill="1" applyBorder="1" applyAlignment="1">
      <alignment horizontal="left" wrapText="1"/>
    </xf>
    <xf numFmtId="0" fontId="463" fillId="462" borderId="447" xfId="0" applyFont="1" applyFill="1" applyBorder="1" applyAlignment="1">
      <alignment horizontal="left" wrapText="1"/>
    </xf>
    <xf numFmtId="0" fontId="464" fillId="463" borderId="448" xfId="0" applyFont="1" applyFill="1" applyBorder="1" applyAlignment="1">
      <alignment horizontal="left" wrapText="1"/>
    </xf>
    <xf numFmtId="0" fontId="493" fillId="492" borderId="477" xfId="0" applyFont="1" applyFill="1" applyBorder="1" applyAlignment="1">
      <alignment horizontal="left" wrapText="1"/>
    </xf>
    <xf numFmtId="0" fontId="494" fillId="493" borderId="478" xfId="0" applyFont="1" applyFill="1" applyBorder="1" applyAlignment="1">
      <alignment horizontal="left" wrapText="1"/>
    </xf>
    <xf numFmtId="0" fontId="670" fillId="669" borderId="655" xfId="0" applyFont="1" applyFill="1" applyBorder="1" applyAlignment="1">
      <alignment horizontal="left" wrapText="1"/>
    </xf>
    <xf numFmtId="0" fontId="671" fillId="670" borderId="656" xfId="0" applyFont="1" applyFill="1" applyBorder="1" applyAlignment="1">
      <alignment horizontal="left" wrapText="1"/>
    </xf>
    <xf numFmtId="0" fontId="91" fillId="65" borderId="49" xfId="0" applyFont="1" applyFill="1" applyBorder="1" applyAlignment="1">
      <alignment horizontal="left" wrapText="1"/>
    </xf>
    <xf numFmtId="0" fontId="153" fillId="154" borderId="138" xfId="0" applyFont="1" applyFill="1" applyBorder="1" applyAlignment="1">
      <alignment horizontal="left" wrapText="1"/>
    </xf>
    <xf numFmtId="0" fontId="183" fillId="181" borderId="166" xfId="0" applyFont="1" applyFill="1" applyBorder="1" applyAlignment="1">
      <alignment horizontal="left" wrapText="1"/>
    </xf>
    <xf numFmtId="0" fontId="184" fillId="182" borderId="167" xfId="0" applyFont="1" applyFill="1" applyBorder="1" applyAlignment="1">
      <alignment horizontal="left" wrapText="1"/>
    </xf>
    <xf numFmtId="0" fontId="325" fillId="323" borderId="308" xfId="0" applyFont="1" applyFill="1" applyBorder="1" applyAlignment="1">
      <alignment horizontal="left" wrapText="1"/>
    </xf>
    <xf numFmtId="0" fontId="326" fillId="324" borderId="309" xfId="0" applyFont="1" applyFill="1" applyBorder="1" applyAlignment="1">
      <alignment horizontal="left" wrapText="1"/>
    </xf>
    <xf numFmtId="0" fontId="465" fillId="464" borderId="449" xfId="0" applyFont="1" applyFill="1" applyBorder="1" applyAlignment="1">
      <alignment horizontal="left" wrapText="1"/>
    </xf>
    <xf numFmtId="0" fontId="466" fillId="465" borderId="450" xfId="0" applyFont="1" applyFill="1" applyBorder="1" applyAlignment="1">
      <alignment horizontal="left" wrapText="1"/>
    </xf>
    <xf numFmtId="0" fontId="495" fillId="494" borderId="479" xfId="0" applyFont="1" applyFill="1" applyBorder="1" applyAlignment="1">
      <alignment horizontal="left" wrapText="1"/>
    </xf>
    <xf numFmtId="0" fontId="496" fillId="495" borderId="480" xfId="0" applyFont="1" applyFill="1" applyBorder="1" applyAlignment="1">
      <alignment horizontal="left" wrapText="1"/>
    </xf>
    <xf numFmtId="0" fontId="672" fillId="671" borderId="657" xfId="0" applyFont="1" applyFill="1" applyBorder="1" applyAlignment="1">
      <alignment horizontal="left" wrapText="1"/>
    </xf>
    <xf numFmtId="0" fontId="673" fillId="672" borderId="658" xfId="0" applyFont="1" applyFill="1" applyBorder="1" applyAlignment="1">
      <alignment horizontal="left" wrapText="1"/>
    </xf>
    <xf numFmtId="0" fontId="98" fillId="72" borderId="56" xfId="0" applyFont="1" applyFill="1" applyBorder="1" applyAlignment="1">
      <alignment horizontal="left" wrapText="1"/>
    </xf>
    <xf numFmtId="0" fontId="194" fillId="192" borderId="177" xfId="0" applyFont="1" applyFill="1" applyBorder="1" applyAlignment="1">
      <alignment horizontal="left" wrapText="1"/>
    </xf>
    <xf numFmtId="0" fontId="195" fillId="193" borderId="178" xfId="0" applyFont="1" applyFill="1" applyBorder="1" applyAlignment="1">
      <alignment horizontal="left" wrapText="1"/>
    </xf>
    <xf numFmtId="0" fontId="336" fillId="334" borderId="319" xfId="0" applyFont="1" applyFill="1" applyBorder="1" applyAlignment="1">
      <alignment horizontal="left" wrapText="1"/>
    </xf>
    <xf numFmtId="0" fontId="337" fillId="335" borderId="320" xfId="0" applyFont="1" applyFill="1" applyBorder="1" applyAlignment="1">
      <alignment horizontal="left" wrapText="1"/>
    </xf>
    <xf numFmtId="0" fontId="506" fillId="505" borderId="490" xfId="0" applyFont="1" applyFill="1" applyBorder="1" applyAlignment="1">
      <alignment horizontal="left" wrapText="1"/>
    </xf>
    <xf numFmtId="0" fontId="507" fillId="506" borderId="491" xfId="0" applyFont="1" applyFill="1" applyBorder="1" applyAlignment="1">
      <alignment horizontal="left" wrapText="1"/>
    </xf>
    <xf numFmtId="0" fontId="684" fillId="683" borderId="669" xfId="0" applyFont="1" applyFill="1" applyBorder="1" applyAlignment="1">
      <alignment horizontal="left" wrapText="1"/>
    </xf>
    <xf numFmtId="0" fontId="685" fillId="684" borderId="670" xfId="0" applyFont="1" applyFill="1" applyBorder="1" applyAlignment="1">
      <alignment horizontal="left" wrapText="1"/>
    </xf>
    <xf numFmtId="0" fontId="100" fillId="74" borderId="58" xfId="0" applyFont="1" applyFill="1" applyBorder="1" applyAlignment="1">
      <alignment horizontal="left" wrapText="1"/>
    </xf>
    <xf numFmtId="0" fontId="101" fillId="75" borderId="59" xfId="0" applyFont="1" applyFill="1" applyBorder="1" applyAlignment="1">
      <alignment horizontal="left" wrapText="1"/>
    </xf>
    <xf numFmtId="0" fontId="198" fillId="196" borderId="181" xfId="0" applyFont="1" applyFill="1" applyBorder="1" applyAlignment="1">
      <alignment horizontal="left" wrapText="1"/>
    </xf>
    <xf numFmtId="0" fontId="199" fillId="197" borderId="182" xfId="0" applyFont="1" applyFill="1" applyBorder="1" applyAlignment="1">
      <alignment horizontal="left" wrapText="1"/>
    </xf>
    <xf numFmtId="0" fontId="340" fillId="338" borderId="323" xfId="0" applyFont="1" applyFill="1" applyBorder="1" applyAlignment="1">
      <alignment horizontal="left" wrapText="1"/>
    </xf>
    <xf numFmtId="0" fontId="341" fillId="339" borderId="324" xfId="0" applyFont="1" applyFill="1" applyBorder="1" applyAlignment="1">
      <alignment horizontal="left" wrapText="1"/>
    </xf>
    <xf numFmtId="0" fontId="510" fillId="509" borderId="494" xfId="0" applyFont="1" applyFill="1" applyBorder="1" applyAlignment="1">
      <alignment horizontal="left" wrapText="1"/>
    </xf>
    <xf numFmtId="0" fontId="511" fillId="510" borderId="495" xfId="0" applyFont="1" applyFill="1" applyBorder="1" applyAlignment="1">
      <alignment horizontal="left" wrapText="1"/>
    </xf>
    <xf numFmtId="0" fontId="688" fillId="687" borderId="673" xfId="0" applyFont="1" applyFill="1" applyBorder="1" applyAlignment="1">
      <alignment horizontal="left" wrapText="1"/>
    </xf>
    <xf numFmtId="0" fontId="689" fillId="688" borderId="674" xfId="0" applyFont="1" applyFill="1" applyBorder="1" applyAlignment="1">
      <alignment horizontal="left" wrapText="1"/>
    </xf>
    <xf numFmtId="0" fontId="102" fillId="76" borderId="60" xfId="0" applyFont="1" applyFill="1" applyBorder="1" applyAlignment="1">
      <alignment horizontal="left" wrapText="1"/>
    </xf>
    <xf numFmtId="0" fontId="200" fillId="198" borderId="183" xfId="0" applyFont="1" applyFill="1" applyBorder="1" applyAlignment="1">
      <alignment horizontal="left" wrapText="1"/>
    </xf>
    <xf numFmtId="0" fontId="201" fillId="199" borderId="184" xfId="0" applyFont="1" applyFill="1" applyBorder="1" applyAlignment="1">
      <alignment horizontal="left" wrapText="1"/>
    </xf>
    <xf numFmtId="0" fontId="342" fillId="340" borderId="325" xfId="0" applyFont="1" applyFill="1" applyBorder="1" applyAlignment="1">
      <alignment horizontal="left" wrapText="1"/>
    </xf>
    <xf numFmtId="0" fontId="343" fillId="341" borderId="326" xfId="0" applyFont="1" applyFill="1" applyBorder="1" applyAlignment="1">
      <alignment horizontal="left" wrapText="1"/>
    </xf>
    <xf numFmtId="0" fontId="512" fillId="511" borderId="496" xfId="0" applyFont="1" applyFill="1" applyBorder="1" applyAlignment="1">
      <alignment horizontal="left" wrapText="1"/>
    </xf>
    <xf numFmtId="0" fontId="513" fillId="512" borderId="497" xfId="0" applyFont="1" applyFill="1" applyBorder="1" applyAlignment="1">
      <alignment horizontal="left" wrapText="1"/>
    </xf>
    <xf numFmtId="0" fontId="690" fillId="689" borderId="675" xfId="0" applyFont="1" applyFill="1" applyBorder="1" applyAlignment="1">
      <alignment horizontal="left" wrapText="1"/>
    </xf>
    <xf numFmtId="0" fontId="691" fillId="690" borderId="676" xfId="0" applyFont="1" applyFill="1" applyBorder="1" applyAlignment="1">
      <alignment horizontal="left" wrapText="1"/>
    </xf>
    <xf numFmtId="0" fontId="29" fillId="77" borderId="61" xfId="0" applyFont="1" applyFill="1" applyBorder="1" applyAlignment="1">
      <alignment horizontal="left"/>
    </xf>
    <xf numFmtId="0" fontId="202" fillId="200" borderId="185" xfId="0" applyFont="1" applyFill="1" applyBorder="1" applyAlignment="1">
      <alignment horizontal="left" wrapText="1"/>
    </xf>
    <xf numFmtId="0" fontId="203" fillId="201" borderId="186" xfId="0" applyFont="1" applyFill="1" applyBorder="1" applyAlignment="1">
      <alignment horizontal="left" wrapText="1"/>
    </xf>
    <xf numFmtId="0" fontId="344" fillId="342" borderId="327" xfId="0" applyFont="1" applyFill="1" applyBorder="1" applyAlignment="1">
      <alignment horizontal="left" wrapText="1"/>
    </xf>
    <xf numFmtId="0" fontId="345" fillId="343" borderId="328" xfId="0" applyFont="1" applyFill="1" applyBorder="1" applyAlignment="1">
      <alignment horizontal="left" wrapText="1"/>
    </xf>
    <xf numFmtId="0" fontId="514" fillId="513" borderId="498" xfId="0" applyFont="1" applyFill="1" applyBorder="1" applyAlignment="1">
      <alignment horizontal="left" wrapText="1"/>
    </xf>
    <xf numFmtId="0" fontId="515" fillId="514" borderId="499" xfId="0" applyFont="1" applyFill="1" applyBorder="1" applyAlignment="1">
      <alignment horizontal="left" wrapText="1"/>
    </xf>
    <xf numFmtId="0" fontId="692" fillId="691" borderId="677" xfId="0" applyFont="1" applyFill="1" applyBorder="1" applyAlignment="1">
      <alignment horizontal="left" wrapText="1"/>
    </xf>
    <xf numFmtId="0" fontId="693" fillId="692" borderId="678" xfId="0" applyFont="1" applyFill="1" applyBorder="1" applyAlignment="1">
      <alignment horizontal="left" wrapText="1"/>
    </xf>
    <xf numFmtId="0" fontId="795" fillId="793" borderId="779" xfId="0" applyFont="1" applyFill="1" applyBorder="1" applyAlignment="1">
      <alignment wrapText="1"/>
    </xf>
    <xf numFmtId="0" fontId="796" fillId="794" borderId="780" xfId="0" applyFont="1" applyFill="1" applyBorder="1" applyAlignment="1">
      <alignment wrapText="1"/>
    </xf>
    <xf numFmtId="0" fontId="797" fillId="795" borderId="781" xfId="0" applyFont="1" applyFill="1" applyBorder="1" applyAlignment="1">
      <alignment wrapText="1"/>
    </xf>
    <xf numFmtId="0" fontId="798" fillId="796" borderId="782" xfId="0" applyFont="1" applyFill="1" applyBorder="1" applyAlignment="1">
      <alignment wrapText="1"/>
    </xf>
    <xf numFmtId="0" fontId="799" fillId="797" borderId="783" xfId="0" applyFont="1" applyFill="1" applyBorder="1" applyAlignment="1">
      <alignment wrapText="1"/>
    </xf>
    <xf numFmtId="0" fontId="800" fillId="798" borderId="784" xfId="0" applyFont="1" applyFill="1" applyBorder="1" applyAlignment="1">
      <alignment wrapText="1"/>
    </xf>
    <xf numFmtId="0" fontId="801" fillId="799" borderId="785" xfId="0" applyFont="1" applyFill="1" applyBorder="1" applyAlignment="1">
      <alignment wrapText="1"/>
    </xf>
    <xf numFmtId="0" fontId="802" fillId="800" borderId="786" xfId="0" applyFont="1" applyFill="1" applyBorder="1" applyAlignment="1">
      <alignment wrapText="1"/>
    </xf>
    <xf numFmtId="0" fontId="803" fillId="801" borderId="787" xfId="0" applyFont="1" applyFill="1" applyBorder="1" applyAlignment="1">
      <alignment horizontal="left" vertical="top"/>
    </xf>
    <xf numFmtId="0" fontId="804" fillId="802" borderId="788" xfId="0" applyFont="1" applyFill="1" applyBorder="1" applyAlignment="1">
      <alignment horizontal="left" vertical="top"/>
    </xf>
    <xf numFmtId="0" fontId="805" fillId="803" borderId="789" xfId="0" applyFont="1" applyFill="1" applyBorder="1" applyAlignment="1">
      <alignment vertical="top"/>
    </xf>
    <xf numFmtId="0" fontId="806" fillId="804" borderId="790" xfId="0" applyFont="1" applyFill="1" applyBorder="1" applyAlignment="1">
      <alignment vertical="top"/>
    </xf>
    <xf numFmtId="0" fontId="807" fillId="805" borderId="791" xfId="0" applyFont="1" applyFill="1" applyBorder="1" applyAlignment="1">
      <alignment wrapText="1"/>
    </xf>
    <xf numFmtId="0" fontId="808" fillId="806" borderId="792" xfId="0" applyFont="1" applyFill="1" applyBorder="1" applyAlignment="1">
      <alignment wrapText="1"/>
    </xf>
    <xf numFmtId="0" fontId="809" fillId="807" borderId="793" xfId="0" applyFont="1" applyFill="1" applyBorder="1" applyAlignment="1">
      <alignment horizontal="left" vertical="top"/>
    </xf>
    <xf numFmtId="0" fontId="810" fillId="808" borderId="794" xfId="0" applyFont="1" applyFill="1" applyBorder="1" applyAlignment="1">
      <alignment horizontal="left" vertical="top"/>
    </xf>
    <xf numFmtId="0" fontId="811" fillId="809" borderId="795" xfId="0" applyFont="1" applyFill="1" applyBorder="1" applyAlignment="1">
      <alignment wrapText="1"/>
    </xf>
    <xf numFmtId="0" fontId="812" fillId="810" borderId="796" xfId="0" applyFont="1" applyFill="1" applyBorder="1" applyAlignment="1">
      <alignment wrapText="1"/>
    </xf>
    <xf numFmtId="0" fontId="813" fillId="811" borderId="797" xfId="0" applyFont="1" applyFill="1" applyBorder="1"/>
    <xf numFmtId="0" fontId="814" fillId="812" borderId="798" xfId="0" applyFont="1" applyFill="1" applyBorder="1"/>
    <xf numFmtId="0" fontId="815" fillId="813" borderId="799" xfId="0" applyFont="1" applyFill="1" applyBorder="1" applyAlignment="1">
      <alignment horizontal="left" vertical="top" wrapText="1"/>
    </xf>
    <xf numFmtId="0" fontId="816" fillId="814" borderId="800" xfId="0" applyFont="1" applyFill="1" applyBorder="1" applyAlignment="1">
      <alignment horizontal="left" vertical="top" wrapText="1"/>
    </xf>
    <xf numFmtId="0" fontId="817" fillId="815" borderId="801" xfId="0" applyFont="1" applyFill="1" applyBorder="1" applyAlignment="1">
      <alignment horizontal="left" vertical="top"/>
    </xf>
    <xf numFmtId="0" fontId="818" fillId="816" borderId="802" xfId="0" applyFont="1" applyFill="1" applyBorder="1" applyAlignment="1">
      <alignment horizontal="left" vertical="top"/>
    </xf>
    <xf numFmtId="0" fontId="819" fillId="817" borderId="803" xfId="0" applyFont="1" applyFill="1" applyBorder="1" applyAlignment="1">
      <alignment vertical="top"/>
    </xf>
    <xf numFmtId="0" fontId="820" fillId="818" borderId="804" xfId="0" applyFont="1" applyFill="1" applyBorder="1" applyAlignment="1">
      <alignment vertical="top"/>
    </xf>
    <xf numFmtId="0" fontId="821" fillId="819" borderId="805" xfId="0" applyFont="1" applyFill="1" applyBorder="1" applyAlignment="1">
      <alignment wrapText="1"/>
    </xf>
    <xf numFmtId="0" fontId="822" fillId="820" borderId="806" xfId="0" applyFont="1" applyFill="1" applyBorder="1" applyAlignment="1">
      <alignment vertical="top" wrapText="1"/>
    </xf>
    <xf numFmtId="0" fontId="823" fillId="821" borderId="807" xfId="0" applyFont="1" applyFill="1" applyBorder="1" applyAlignment="1">
      <alignment vertical="top" wrapText="1"/>
    </xf>
    <xf numFmtId="0" fontId="824" fillId="822" borderId="808" xfId="0" applyFont="1" applyFill="1" applyBorder="1" applyAlignment="1">
      <alignment wrapText="1"/>
    </xf>
    <xf numFmtId="0" fontId="826" fillId="824" borderId="810" xfId="0" applyFont="1" applyFill="1" applyBorder="1" applyAlignment="1">
      <alignment wrapText="1"/>
    </xf>
    <xf numFmtId="0" fontId="827" fillId="825" borderId="811" xfId="0" applyFont="1" applyFill="1" applyBorder="1" applyAlignment="1">
      <alignment vertical="top"/>
    </xf>
    <xf numFmtId="0" fontId="828" fillId="826" borderId="812" xfId="0" applyFont="1" applyFill="1" applyBorder="1" applyAlignment="1">
      <alignment vertical="top"/>
    </xf>
    <xf numFmtId="0" fontId="829" fillId="827" borderId="813" xfId="0" applyFont="1" applyFill="1" applyBorder="1" applyAlignment="1">
      <alignment vertical="top"/>
    </xf>
    <xf numFmtId="0" fontId="830" fillId="828" borderId="814" xfId="0" applyFont="1" applyFill="1" applyBorder="1" applyAlignment="1">
      <alignment vertical="top"/>
    </xf>
    <xf numFmtId="0" fontId="831" fillId="829" borderId="815" xfId="0" applyFont="1" applyFill="1" applyBorder="1" applyAlignment="1">
      <alignment wrapText="1"/>
    </xf>
    <xf numFmtId="0" fontId="832" fillId="830" borderId="816" xfId="0" applyFont="1" applyFill="1" applyBorder="1" applyAlignment="1">
      <alignment vertical="top" wrapText="1"/>
    </xf>
    <xf numFmtId="0" fontId="833" fillId="831" borderId="817" xfId="0" applyFont="1" applyFill="1" applyBorder="1" applyAlignment="1">
      <alignment vertical="top" wrapText="1"/>
    </xf>
    <xf numFmtId="0" fontId="834" fillId="832" borderId="818" xfId="0" applyFont="1" applyFill="1" applyBorder="1" applyAlignment="1">
      <alignment wrapText="1"/>
    </xf>
    <xf numFmtId="0" fontId="836" fillId="834" borderId="820" xfId="0" applyFont="1" applyFill="1" applyBorder="1" applyAlignment="1">
      <alignment horizontal="left" vertical="top"/>
    </xf>
    <xf numFmtId="0" fontId="837" fillId="835" borderId="821" xfId="0" applyFont="1" applyFill="1" applyBorder="1" applyAlignment="1">
      <alignment wrapText="1"/>
    </xf>
    <xf numFmtId="0" fontId="838" fillId="836" borderId="822" xfId="0" applyFont="1" applyFill="1" applyBorder="1" applyAlignment="1">
      <alignment horizontal="left" vertical="top"/>
    </xf>
    <xf numFmtId="0" fontId="839" fillId="837" borderId="823" xfId="0" applyFont="1" applyFill="1" applyBorder="1" applyAlignment="1">
      <alignment wrapText="1"/>
    </xf>
    <xf numFmtId="0" fontId="840" fillId="838" borderId="824" xfId="0" applyFont="1" applyFill="1" applyBorder="1" applyAlignment="1">
      <alignment wrapText="1"/>
    </xf>
    <xf numFmtId="0" fontId="841" fillId="839" borderId="825" xfId="0" applyFont="1" applyFill="1" applyBorder="1" applyAlignment="1">
      <alignment horizontal="left" vertical="top"/>
    </xf>
    <xf numFmtId="0" fontId="842" fillId="840" borderId="826" xfId="0" applyFont="1" applyFill="1" applyBorder="1" applyAlignment="1">
      <alignment horizontal="left" vertical="top"/>
    </xf>
    <xf numFmtId="0" fontId="843" fillId="841" borderId="827" xfId="0" applyFont="1" applyFill="1" applyBorder="1" applyAlignment="1">
      <alignment wrapText="1"/>
    </xf>
    <xf numFmtId="0" fontId="844" fillId="842" borderId="828" xfId="0" applyFont="1" applyFill="1" applyBorder="1" applyAlignment="1">
      <alignment wrapText="1"/>
    </xf>
    <xf numFmtId="0" fontId="845" fillId="843" borderId="829" xfId="0" applyFont="1" applyFill="1" applyBorder="1" applyAlignment="1">
      <alignment wrapText="1"/>
    </xf>
    <xf numFmtId="0" fontId="846" fillId="844" borderId="830" xfId="0" applyFont="1" applyFill="1" applyBorder="1" applyAlignment="1">
      <alignment wrapText="1"/>
    </xf>
    <xf numFmtId="0" fontId="847" fillId="845" borderId="831" xfId="0" applyFont="1" applyFill="1" applyBorder="1" applyAlignment="1">
      <alignment vertical="top" wrapText="1"/>
    </xf>
    <xf numFmtId="0" fontId="848" fillId="846" borderId="832" xfId="0" applyFont="1" applyFill="1" applyBorder="1" applyAlignment="1">
      <alignment vertical="top" wrapText="1"/>
    </xf>
    <xf numFmtId="0" fontId="849" fillId="847" borderId="833" xfId="0" applyFont="1" applyFill="1" applyBorder="1" applyAlignment="1">
      <alignment horizontal="left" wrapText="1"/>
    </xf>
    <xf numFmtId="0" fontId="850" fillId="848" borderId="834" xfId="0" applyFont="1" applyFill="1" applyBorder="1" applyAlignment="1">
      <alignment horizontal="left" wrapText="1"/>
    </xf>
    <xf numFmtId="0" fontId="851" fillId="849" borderId="835" xfId="0" applyFont="1" applyFill="1" applyBorder="1" applyAlignment="1">
      <alignment horizontal="left" wrapText="1"/>
    </xf>
    <xf numFmtId="0" fontId="852" fillId="850" borderId="836" xfId="0" applyFont="1" applyFill="1" applyBorder="1" applyAlignment="1">
      <alignment horizontal="left" wrapText="1"/>
    </xf>
    <xf numFmtId="0" fontId="853" fillId="851" borderId="837" xfId="0" applyFont="1" applyFill="1" applyBorder="1" applyAlignment="1">
      <alignment horizontal="left" wrapText="1"/>
    </xf>
    <xf numFmtId="0" fontId="854" fillId="852" borderId="838" xfId="0" applyFont="1" applyFill="1" applyBorder="1" applyAlignment="1">
      <alignment horizontal="left" wrapText="1"/>
    </xf>
    <xf numFmtId="0" fontId="855" fillId="853" borderId="839" xfId="0" applyFont="1" applyFill="1" applyBorder="1" applyAlignment="1">
      <alignment horizontal="left" wrapText="1"/>
    </xf>
    <xf numFmtId="0" fontId="856" fillId="854" borderId="840" xfId="0" applyFont="1" applyFill="1" applyBorder="1" applyAlignment="1">
      <alignment horizontal="left" wrapText="1"/>
    </xf>
    <xf numFmtId="0" fontId="857" fillId="855" borderId="841" xfId="0" applyFont="1" applyFill="1" applyBorder="1" applyAlignment="1">
      <alignment wrapText="1"/>
    </xf>
    <xf numFmtId="0" fontId="858" fillId="856" borderId="842" xfId="0" applyFont="1" applyFill="1" applyBorder="1" applyAlignment="1">
      <alignment wrapText="1"/>
    </xf>
    <xf numFmtId="0" fontId="859" fillId="857" borderId="843" xfId="0" applyFont="1" applyFill="1" applyBorder="1" applyAlignment="1">
      <alignment horizontal="left" vertical="top"/>
    </xf>
    <xf numFmtId="0" fontId="860" fillId="858" borderId="844" xfId="0" applyFont="1" applyFill="1" applyBorder="1" applyAlignment="1">
      <alignment horizontal="left" vertical="top"/>
    </xf>
    <xf numFmtId="0" fontId="861" fillId="859" borderId="845" xfId="0" applyFont="1" applyFill="1" applyBorder="1" applyAlignment="1">
      <alignment wrapText="1"/>
    </xf>
    <xf numFmtId="0" fontId="862" fillId="860" borderId="846" xfId="0" applyFont="1" applyFill="1" applyBorder="1" applyAlignment="1">
      <alignment wrapText="1"/>
    </xf>
    <xf numFmtId="0" fontId="863" fillId="861" borderId="847" xfId="0" applyFont="1" applyFill="1" applyBorder="1" applyAlignment="1">
      <alignment horizontal="left" vertical="top"/>
    </xf>
    <xf numFmtId="0" fontId="864" fillId="862" borderId="848" xfId="0" applyFont="1" applyFill="1" applyBorder="1" applyAlignment="1">
      <alignment horizontal="left" vertical="top"/>
    </xf>
    <xf numFmtId="0" fontId="865" fillId="863" borderId="849" xfId="0" applyFont="1" applyFill="1" applyBorder="1" applyAlignment="1">
      <alignment horizontal="left" vertical="top"/>
    </xf>
    <xf numFmtId="0" fontId="866" fillId="864" borderId="850" xfId="0" applyFont="1" applyFill="1" applyBorder="1" applyAlignment="1">
      <alignment horizontal="left" vertical="top"/>
    </xf>
    <xf numFmtId="0" fontId="867" fillId="865" borderId="851" xfId="0" applyFont="1" applyFill="1" applyBorder="1" applyAlignment="1">
      <alignment horizontal="left" wrapText="1"/>
    </xf>
    <xf numFmtId="0" fontId="868" fillId="866" borderId="852" xfId="0" applyFont="1" applyFill="1" applyBorder="1" applyAlignment="1">
      <alignment horizontal="left" wrapText="1"/>
    </xf>
    <xf numFmtId="0" fontId="869" fillId="867" borderId="853" xfId="0" applyFont="1" applyFill="1" applyBorder="1" applyAlignment="1">
      <alignment horizontal="left" vertical="top"/>
    </xf>
    <xf numFmtId="0" fontId="870" fillId="868" borderId="854" xfId="0" applyFont="1" applyFill="1" applyBorder="1" applyAlignment="1">
      <alignment horizontal="left" vertical="top"/>
    </xf>
    <xf numFmtId="0" fontId="871" fillId="869" borderId="855" xfId="0" applyFont="1" applyFill="1" applyBorder="1" applyAlignment="1">
      <alignment horizontal="left" wrapText="1"/>
    </xf>
    <xf numFmtId="0" fontId="872" fillId="870" borderId="856" xfId="0" applyFont="1" applyFill="1" applyBorder="1" applyAlignment="1">
      <alignment horizontal="left" wrapText="1"/>
    </xf>
    <xf numFmtId="0" fontId="873" fillId="871" borderId="857" xfId="0" applyFont="1" applyFill="1" applyBorder="1" applyAlignment="1">
      <alignment horizontal="left" wrapText="1"/>
    </xf>
    <xf numFmtId="0" fontId="874" fillId="872" borderId="858" xfId="0" applyFont="1" applyFill="1" applyBorder="1" applyAlignment="1">
      <alignment horizontal="left" wrapText="1"/>
    </xf>
    <xf numFmtId="0" fontId="875" fillId="873" borderId="859" xfId="0" applyFont="1" applyFill="1" applyBorder="1" applyAlignment="1">
      <alignment horizontal="left" wrapText="1"/>
    </xf>
    <xf numFmtId="0" fontId="876" fillId="874" borderId="860" xfId="0" applyFont="1" applyFill="1" applyBorder="1" applyAlignment="1">
      <alignment horizontal="left" wrapText="1"/>
    </xf>
    <xf numFmtId="0" fontId="877" fillId="875" borderId="861" xfId="0" applyFont="1" applyFill="1" applyBorder="1" applyAlignment="1">
      <alignment wrapText="1"/>
    </xf>
    <xf numFmtId="0" fontId="878" fillId="876" borderId="862" xfId="0" applyFont="1" applyFill="1" applyBorder="1" applyAlignment="1">
      <alignment wrapText="1"/>
    </xf>
    <xf numFmtId="0" fontId="879" fillId="877" borderId="863" xfId="0" applyFont="1" applyFill="1" applyBorder="1" applyAlignment="1">
      <alignment horizontal="left" vertical="top" wrapText="1"/>
    </xf>
    <xf numFmtId="0" fontId="880" fillId="878" borderId="864" xfId="0" applyFont="1" applyFill="1" applyBorder="1" applyAlignment="1">
      <alignment horizontal="left" vertical="top" wrapText="1"/>
    </xf>
    <xf numFmtId="0" fontId="881" fillId="879" borderId="865" xfId="0" applyFont="1" applyFill="1" applyBorder="1" applyAlignment="1">
      <alignment horizontal="left" vertical="top"/>
    </xf>
    <xf numFmtId="0" fontId="882" fillId="880" borderId="866" xfId="0" applyFont="1" applyFill="1" applyBorder="1" applyAlignment="1">
      <alignment horizontal="left" vertical="top"/>
    </xf>
    <xf numFmtId="0" fontId="883" fillId="881" borderId="867" xfId="0" applyFont="1" applyFill="1" applyBorder="1" applyAlignment="1">
      <alignment wrapText="1"/>
    </xf>
    <xf numFmtId="0" fontId="884" fillId="882" borderId="868" xfId="0" applyFont="1" applyFill="1" applyBorder="1" applyAlignment="1">
      <alignment wrapText="1"/>
    </xf>
    <xf numFmtId="0" fontId="885" fillId="883" borderId="869" xfId="0" applyFont="1" applyFill="1" applyBorder="1" applyAlignment="1">
      <alignment wrapText="1"/>
    </xf>
    <xf numFmtId="0" fontId="886" fillId="884" borderId="870" xfId="0" applyFont="1" applyFill="1" applyBorder="1" applyAlignment="1">
      <alignment wrapText="1"/>
    </xf>
    <xf numFmtId="0" fontId="887" fillId="885" borderId="871" xfId="0" applyFont="1" applyFill="1" applyBorder="1" applyAlignment="1">
      <alignment wrapText="1"/>
    </xf>
    <xf numFmtId="0" fontId="888" fillId="886" borderId="872" xfId="0" applyFont="1" applyFill="1" applyBorder="1" applyAlignment="1">
      <alignment wrapText="1"/>
    </xf>
    <xf numFmtId="0" fontId="889" fillId="887" borderId="873" xfId="0" applyFont="1" applyFill="1" applyBorder="1" applyAlignment="1">
      <alignment wrapText="1"/>
    </xf>
    <xf numFmtId="0" fontId="890" fillId="888" borderId="874" xfId="0" applyFont="1" applyFill="1" applyBorder="1" applyAlignment="1">
      <alignment wrapText="1"/>
    </xf>
    <xf numFmtId="0" fontId="891" fillId="889" borderId="875" xfId="0" applyFont="1" applyFill="1" applyBorder="1" applyAlignment="1">
      <alignment wrapText="1"/>
    </xf>
    <xf numFmtId="0" fontId="892" fillId="890" borderId="876" xfId="0" applyFont="1" applyFill="1" applyBorder="1" applyAlignment="1">
      <alignment wrapText="1"/>
    </xf>
    <xf numFmtId="0" fontId="893" fillId="891" borderId="877" xfId="0" applyFont="1" applyFill="1" applyBorder="1" applyAlignment="1">
      <alignment wrapText="1"/>
    </xf>
    <xf numFmtId="0" fontId="894" fillId="892" borderId="878" xfId="0" applyFont="1" applyFill="1" applyBorder="1" applyAlignment="1">
      <alignment wrapText="1"/>
    </xf>
    <xf numFmtId="0" fontId="895" fillId="893" borderId="879" xfId="0" applyFont="1" applyFill="1" applyBorder="1" applyAlignment="1">
      <alignment horizontal="left" vertical="top"/>
    </xf>
    <xf numFmtId="0" fontId="896" fillId="894" borderId="880" xfId="0" applyFont="1" applyFill="1" applyBorder="1" applyAlignment="1">
      <alignment horizontal="left" vertical="top"/>
    </xf>
    <xf numFmtId="0" fontId="897" fillId="895" borderId="881" xfId="0" applyFont="1" applyFill="1" applyBorder="1" applyAlignment="1">
      <alignment wrapText="1"/>
    </xf>
    <xf numFmtId="0" fontId="898" fillId="896" borderId="882" xfId="0" applyFont="1" applyFill="1" applyBorder="1" applyAlignment="1">
      <alignment wrapText="1"/>
    </xf>
    <xf numFmtId="0" fontId="899" fillId="897" borderId="883" xfId="0" applyFont="1" applyFill="1" applyBorder="1" applyAlignment="1">
      <alignment horizontal="left" vertical="top" wrapText="1"/>
    </xf>
    <xf numFmtId="0" fontId="900" fillId="898" borderId="884" xfId="0" applyFont="1" applyFill="1" applyBorder="1" applyAlignment="1">
      <alignment horizontal="left" vertical="top" wrapText="1"/>
    </xf>
    <xf numFmtId="0" fontId="901" fillId="899" borderId="885" xfId="0" applyFont="1" applyFill="1" applyBorder="1" applyAlignment="1">
      <alignment wrapText="1"/>
    </xf>
    <xf numFmtId="0" fontId="902" fillId="900" borderId="886" xfId="0" applyFont="1" applyFill="1" applyBorder="1" applyAlignment="1">
      <alignment wrapText="1"/>
    </xf>
    <xf numFmtId="0" fontId="903" fillId="901" borderId="887" xfId="0" applyFont="1" applyFill="1" applyBorder="1" applyAlignment="1">
      <alignment wrapText="1"/>
    </xf>
    <xf numFmtId="0" fontId="904" fillId="902" borderId="888" xfId="0" applyFont="1" applyFill="1" applyBorder="1" applyAlignment="1">
      <alignment wrapText="1"/>
    </xf>
    <xf numFmtId="0" fontId="905" fillId="903" borderId="889" xfId="0" applyFont="1" applyFill="1" applyBorder="1" applyAlignment="1">
      <alignment wrapText="1"/>
    </xf>
    <xf numFmtId="0" fontId="906" fillId="904" borderId="890" xfId="0" applyFont="1" applyFill="1" applyBorder="1" applyAlignment="1">
      <alignment wrapText="1"/>
    </xf>
    <xf numFmtId="0" fontId="907" fillId="905" borderId="891" xfId="0" applyFont="1" applyFill="1" applyBorder="1" applyAlignment="1">
      <alignment wrapText="1"/>
    </xf>
    <xf numFmtId="0" fontId="908" fillId="906" borderId="892" xfId="0" applyFont="1" applyFill="1" applyBorder="1" applyAlignment="1">
      <alignment wrapText="1"/>
    </xf>
    <xf numFmtId="0" fontId="909" fillId="907" borderId="893" xfId="0" applyFont="1" applyFill="1" applyBorder="1" applyAlignment="1">
      <alignment wrapText="1"/>
    </xf>
    <xf numFmtId="0" fontId="910" fillId="908" borderId="894" xfId="0" applyFont="1" applyFill="1" applyBorder="1" applyAlignment="1">
      <alignment wrapText="1"/>
    </xf>
    <xf numFmtId="0" fontId="911" fillId="909" borderId="895" xfId="0" applyFont="1" applyFill="1" applyBorder="1" applyAlignment="1">
      <alignment horizontal="left" vertical="top"/>
    </xf>
    <xf numFmtId="0" fontId="912" fillId="910" borderId="896" xfId="0" applyFont="1" applyFill="1" applyBorder="1" applyAlignment="1">
      <alignment horizontal="left" vertical="top"/>
    </xf>
    <xf numFmtId="0" fontId="913" fillId="911" borderId="897" xfId="0" applyFont="1" applyFill="1" applyBorder="1" applyAlignment="1">
      <alignment wrapText="1"/>
    </xf>
    <xf numFmtId="0" fontId="914" fillId="912" borderId="898" xfId="0" applyFont="1" applyFill="1" applyBorder="1" applyAlignment="1">
      <alignment wrapText="1"/>
    </xf>
    <xf numFmtId="0" fontId="915" fillId="913" borderId="899" xfId="0" applyFont="1" applyFill="1" applyBorder="1" applyAlignment="1">
      <alignment wrapText="1"/>
    </xf>
    <xf numFmtId="0" fontId="916" fillId="914" borderId="900" xfId="0" applyFont="1" applyFill="1" applyBorder="1" applyAlignment="1">
      <alignment wrapText="1"/>
    </xf>
    <xf numFmtId="0" fontId="917" fillId="915" borderId="901" xfId="0" applyFont="1" applyFill="1" applyBorder="1" applyAlignment="1">
      <alignment wrapText="1"/>
    </xf>
    <xf numFmtId="0" fontId="918" fillId="916" borderId="902" xfId="0" applyFont="1" applyFill="1" applyBorder="1" applyAlignment="1">
      <alignment wrapText="1"/>
    </xf>
    <xf numFmtId="0" fontId="919" fillId="917" borderId="903" xfId="0" applyFont="1" applyFill="1" applyBorder="1" applyAlignment="1">
      <alignment wrapText="1"/>
    </xf>
    <xf numFmtId="0" fontId="920" fillId="918" borderId="904" xfId="0" applyFont="1" applyFill="1" applyBorder="1" applyAlignment="1">
      <alignment wrapText="1"/>
    </xf>
    <xf numFmtId="0" fontId="921" fillId="919" borderId="905" xfId="0" applyFont="1" applyFill="1" applyBorder="1" applyAlignment="1">
      <alignment wrapText="1"/>
    </xf>
    <xf numFmtId="0" fontId="922" fillId="920" borderId="906" xfId="0" applyFont="1" applyFill="1" applyBorder="1" applyAlignment="1">
      <alignment wrapText="1"/>
    </xf>
    <xf numFmtId="0" fontId="923" fillId="921" borderId="907" xfId="0" applyFont="1" applyFill="1" applyBorder="1" applyAlignment="1">
      <alignment wrapText="1"/>
    </xf>
    <xf numFmtId="0" fontId="924" fillId="922" borderId="908" xfId="0" applyFont="1" applyFill="1" applyBorder="1" applyAlignment="1">
      <alignment wrapText="1"/>
    </xf>
    <xf numFmtId="0" fontId="925" fillId="923" borderId="909" xfId="0" applyFont="1" applyFill="1" applyBorder="1" applyAlignment="1">
      <alignment wrapText="1"/>
    </xf>
    <xf numFmtId="0" fontId="926" fillId="924" borderId="910" xfId="0" applyFont="1" applyFill="1" applyBorder="1" applyAlignment="1">
      <alignment wrapText="1"/>
    </xf>
    <xf numFmtId="0" fontId="927" fillId="925" borderId="911" xfId="0" applyFont="1" applyFill="1" applyBorder="1" applyAlignment="1">
      <alignment wrapText="1"/>
    </xf>
    <xf numFmtId="0" fontId="928" fillId="926" borderId="912" xfId="0" applyFont="1" applyFill="1" applyBorder="1" applyAlignment="1">
      <alignment wrapText="1"/>
    </xf>
    <xf numFmtId="0" fontId="929" fillId="927" borderId="913" xfId="0" applyFont="1" applyFill="1" applyBorder="1" applyAlignment="1">
      <alignment horizontal="left" vertical="top"/>
    </xf>
    <xf numFmtId="0" fontId="930" fillId="928" borderId="914" xfId="0" applyFont="1" applyFill="1" applyBorder="1" applyAlignment="1">
      <alignment horizontal="left" vertical="top"/>
    </xf>
    <xf numFmtId="0" fontId="931" fillId="929" borderId="915" xfId="0" applyFont="1" applyFill="1" applyBorder="1" applyAlignment="1">
      <alignment wrapText="1"/>
    </xf>
    <xf numFmtId="0" fontId="932" fillId="930" borderId="916" xfId="0" applyFont="1" applyFill="1" applyBorder="1" applyAlignment="1">
      <alignment wrapText="1"/>
    </xf>
    <xf numFmtId="0" fontId="933" fillId="931" borderId="917" xfId="0" applyFont="1" applyFill="1" applyBorder="1" applyAlignment="1">
      <alignment wrapText="1"/>
    </xf>
    <xf numFmtId="0" fontId="934" fillId="932" borderId="918" xfId="0" applyFont="1" applyFill="1" applyBorder="1" applyAlignment="1">
      <alignment wrapText="1"/>
    </xf>
    <xf numFmtId="0" fontId="935" fillId="933" borderId="919" xfId="0" applyFont="1" applyFill="1" applyBorder="1" applyAlignment="1">
      <alignment wrapText="1"/>
    </xf>
    <xf numFmtId="0" fontId="936" fillId="934" borderId="920" xfId="0" applyFont="1" applyFill="1" applyBorder="1" applyAlignment="1">
      <alignment wrapText="1"/>
    </xf>
    <xf numFmtId="0" fontId="937" fillId="935" borderId="921" xfId="0" applyFont="1" applyFill="1" applyBorder="1" applyAlignment="1">
      <alignment wrapText="1"/>
    </xf>
    <xf numFmtId="0" fontId="938" fillId="936" borderId="922" xfId="0" applyFont="1" applyFill="1" applyBorder="1" applyAlignment="1">
      <alignment wrapText="1"/>
    </xf>
    <xf numFmtId="0" fontId="939" fillId="937" borderId="923" xfId="0" applyFont="1" applyFill="1" applyBorder="1" applyAlignment="1">
      <alignment wrapText="1"/>
    </xf>
    <xf numFmtId="0" fontId="940" fillId="938" borderId="924" xfId="0" applyFont="1" applyFill="1" applyBorder="1" applyAlignment="1">
      <alignment wrapText="1"/>
    </xf>
    <xf numFmtId="0" fontId="941" fillId="939" borderId="925" xfId="0" applyFont="1" applyFill="1" applyBorder="1" applyAlignment="1">
      <alignment wrapText="1"/>
    </xf>
    <xf numFmtId="0" fontId="942" fillId="940" borderId="926" xfId="0" applyFont="1" applyFill="1" applyBorder="1" applyAlignment="1">
      <alignment wrapText="1"/>
    </xf>
    <xf numFmtId="0" fontId="943" fillId="941" borderId="927" xfId="0" applyFont="1" applyFill="1" applyBorder="1" applyAlignment="1">
      <alignment wrapText="1"/>
    </xf>
    <xf numFmtId="0" fontId="944" fillId="942" borderId="928" xfId="0" applyFont="1" applyFill="1" applyBorder="1" applyAlignment="1">
      <alignment wrapText="1"/>
    </xf>
    <xf numFmtId="0" fontId="945" fillId="943" borderId="929" xfId="0" applyFont="1" applyFill="1" applyBorder="1" applyAlignment="1">
      <alignment wrapText="1"/>
    </xf>
    <xf numFmtId="0" fontId="946" fillId="944" borderId="930" xfId="0" applyFont="1" applyFill="1" applyBorder="1" applyAlignment="1">
      <alignment wrapText="1"/>
    </xf>
    <xf numFmtId="0" fontId="947" fillId="945" borderId="931" xfId="0" applyFont="1" applyFill="1" applyBorder="1" applyAlignment="1">
      <alignment wrapText="1"/>
    </xf>
    <xf numFmtId="0" fontId="948" fillId="946" borderId="932" xfId="0" applyFont="1" applyFill="1" applyBorder="1" applyAlignment="1">
      <alignment wrapText="1"/>
    </xf>
    <xf numFmtId="0" fontId="949" fillId="947" borderId="933" xfId="0" applyFont="1" applyFill="1" applyBorder="1" applyAlignment="1">
      <alignment wrapText="1"/>
    </xf>
    <xf numFmtId="0" fontId="950" fillId="948" borderId="934" xfId="0" applyFont="1" applyFill="1" applyBorder="1" applyAlignment="1">
      <alignment wrapText="1"/>
    </xf>
    <xf numFmtId="0" fontId="951" fillId="949" borderId="935" xfId="0" applyFont="1" applyFill="1" applyBorder="1" applyAlignment="1">
      <alignment wrapText="1"/>
    </xf>
    <xf numFmtId="0" fontId="952" fillId="950" borderId="936" xfId="0" applyFont="1" applyFill="1" applyBorder="1" applyAlignment="1">
      <alignment wrapText="1"/>
    </xf>
    <xf numFmtId="0" fontId="953" fillId="951" borderId="937" xfId="0" applyFont="1" applyFill="1" applyBorder="1" applyAlignment="1">
      <alignment wrapText="1"/>
    </xf>
    <xf numFmtId="0" fontId="954" fillId="952" borderId="938" xfId="0" applyFont="1" applyFill="1" applyBorder="1" applyAlignment="1">
      <alignment wrapText="1"/>
    </xf>
    <xf numFmtId="0" fontId="955" fillId="953" borderId="939" xfId="0" applyFont="1" applyFill="1" applyBorder="1" applyAlignment="1">
      <alignment horizontal="left" vertical="top"/>
    </xf>
    <xf numFmtId="0" fontId="956" fillId="954" borderId="940" xfId="0" applyFont="1" applyFill="1" applyBorder="1" applyAlignment="1">
      <alignment horizontal="left" vertical="top"/>
    </xf>
    <xf numFmtId="0" fontId="957" fillId="955" borderId="941" xfId="0" applyFont="1" applyFill="1" applyBorder="1" applyAlignment="1">
      <alignment wrapText="1"/>
    </xf>
    <xf numFmtId="0" fontId="958" fillId="956" borderId="942" xfId="0" applyFont="1" applyFill="1" applyBorder="1" applyAlignment="1">
      <alignment wrapText="1"/>
    </xf>
    <xf numFmtId="0" fontId="959" fillId="957" borderId="943" xfId="0" applyFont="1" applyFill="1" applyBorder="1" applyAlignment="1">
      <alignment wrapText="1"/>
    </xf>
    <xf numFmtId="0" fontId="960" fillId="958" borderId="944" xfId="0" applyFont="1" applyFill="1" applyBorder="1" applyAlignment="1">
      <alignment wrapText="1"/>
    </xf>
    <xf numFmtId="0" fontId="961" fillId="959" borderId="945" xfId="0" applyFont="1" applyFill="1" applyBorder="1" applyAlignment="1">
      <alignment wrapText="1"/>
    </xf>
    <xf numFmtId="0" fontId="962" fillId="960" borderId="946" xfId="0" applyFont="1" applyFill="1" applyBorder="1" applyAlignment="1">
      <alignment wrapText="1"/>
    </xf>
    <xf numFmtId="0" fontId="963" fillId="961" borderId="947" xfId="0" applyFont="1" applyFill="1" applyBorder="1" applyAlignment="1">
      <alignment wrapText="1"/>
    </xf>
    <xf numFmtId="0" fontId="964" fillId="962" borderId="948" xfId="0" applyFont="1" applyFill="1" applyBorder="1" applyAlignment="1">
      <alignment wrapText="1"/>
    </xf>
    <xf numFmtId="0" fontId="965" fillId="963" borderId="949" xfId="0" applyFont="1" applyFill="1" applyBorder="1" applyAlignment="1">
      <alignment wrapText="1"/>
    </xf>
    <xf numFmtId="0" fontId="966" fillId="964" borderId="950" xfId="0" applyFont="1" applyFill="1" applyBorder="1" applyAlignment="1">
      <alignment wrapText="1"/>
    </xf>
    <xf numFmtId="0" fontId="967" fillId="965" borderId="951" xfId="0" applyFont="1" applyFill="1" applyBorder="1" applyAlignment="1">
      <alignment horizontal="left" vertical="top" wrapText="1"/>
    </xf>
    <xf numFmtId="0" fontId="968" fillId="966" borderId="952" xfId="0" applyFont="1" applyFill="1" applyBorder="1" applyAlignment="1">
      <alignment horizontal="left" vertical="top"/>
    </xf>
    <xf numFmtId="0" fontId="969" fillId="967" borderId="953" xfId="0" applyFont="1" applyFill="1" applyBorder="1" applyAlignment="1">
      <alignment horizontal="left" vertical="top"/>
    </xf>
    <xf numFmtId="0" fontId="970" fillId="968" borderId="954" xfId="0" applyFont="1" applyFill="1" applyBorder="1" applyAlignment="1">
      <alignment wrapText="1"/>
    </xf>
    <xf numFmtId="0" fontId="971" fillId="969" borderId="955" xfId="0" applyFont="1" applyFill="1" applyBorder="1" applyAlignment="1">
      <alignment wrapText="1"/>
    </xf>
    <xf numFmtId="0" fontId="972" fillId="970" borderId="956" xfId="0" applyFont="1" applyFill="1" applyBorder="1" applyAlignment="1">
      <alignment wrapText="1"/>
    </xf>
    <xf numFmtId="0" fontId="973" fillId="971" borderId="957" xfId="0" applyFont="1" applyFill="1" applyBorder="1" applyAlignment="1">
      <alignment wrapText="1"/>
    </xf>
    <xf numFmtId="0" fontId="974" fillId="972" borderId="958" xfId="0" applyFont="1" applyFill="1" applyBorder="1" applyAlignment="1">
      <alignment wrapText="1"/>
    </xf>
    <xf numFmtId="0" fontId="975" fillId="973" borderId="959" xfId="0" applyFont="1" applyFill="1" applyBorder="1" applyAlignment="1">
      <alignment wrapText="1"/>
    </xf>
    <xf numFmtId="0" fontId="976" fillId="974" borderId="960" xfId="0" applyFont="1" applyFill="1" applyBorder="1" applyAlignment="1">
      <alignment horizontal="left" vertical="top"/>
    </xf>
    <xf numFmtId="0" fontId="977" fillId="975" borderId="961" xfId="0" applyFont="1" applyFill="1" applyBorder="1" applyAlignment="1">
      <alignment horizontal="left" vertical="top"/>
    </xf>
    <xf numFmtId="0" fontId="978" fillId="976" borderId="962" xfId="0" applyFont="1" applyFill="1" applyBorder="1" applyAlignment="1">
      <alignment vertical="top"/>
    </xf>
    <xf numFmtId="0" fontId="979" fillId="977" borderId="963" xfId="0" applyFont="1" applyFill="1" applyBorder="1" applyAlignment="1">
      <alignment vertical="top"/>
    </xf>
    <xf numFmtId="0" fontId="980" fillId="978" borderId="964" xfId="0" applyFont="1" applyFill="1" applyBorder="1" applyAlignment="1">
      <alignment wrapText="1"/>
    </xf>
    <xf numFmtId="0" fontId="981" fillId="979" borderId="965" xfId="0" applyFont="1" applyFill="1" applyBorder="1" applyAlignment="1">
      <alignment vertical="top" wrapText="1"/>
    </xf>
    <xf numFmtId="0" fontId="982" fillId="980" borderId="966" xfId="0" applyFont="1" applyFill="1" applyBorder="1" applyAlignment="1">
      <alignment vertical="top" wrapText="1"/>
    </xf>
    <xf numFmtId="0" fontId="983" fillId="981" borderId="967" xfId="0" applyFont="1" applyFill="1" applyBorder="1" applyAlignment="1">
      <alignment wrapText="1"/>
    </xf>
    <xf numFmtId="0" fontId="985" fillId="983" borderId="969" xfId="0" applyFont="1" applyFill="1" applyBorder="1" applyAlignment="1">
      <alignment wrapText="1"/>
    </xf>
    <xf numFmtId="0" fontId="986" fillId="984" borderId="970" xfId="0" applyFont="1" applyFill="1" applyBorder="1" applyAlignment="1">
      <alignment wrapText="1"/>
    </xf>
    <xf numFmtId="0" fontId="987" fillId="985" borderId="971" xfId="0" applyFont="1" applyFill="1" applyBorder="1" applyAlignment="1">
      <alignment wrapText="1"/>
    </xf>
    <xf numFmtId="0" fontId="988" fillId="986" borderId="972" xfId="0" applyFont="1" applyFill="1" applyBorder="1" applyAlignment="1">
      <alignment horizontal="left" vertical="top"/>
    </xf>
    <xf numFmtId="0" fontId="989" fillId="987" borderId="973" xfId="0" applyFont="1" applyFill="1" applyBorder="1" applyAlignment="1">
      <alignment horizontal="left" vertical="top"/>
    </xf>
    <xf numFmtId="0" fontId="990" fillId="988" borderId="974" xfId="0" applyFont="1" applyFill="1" applyBorder="1" applyAlignment="1">
      <alignment wrapText="1"/>
    </xf>
    <xf numFmtId="0" fontId="991" fillId="989" borderId="975" xfId="0" applyFont="1" applyFill="1" applyBorder="1" applyAlignment="1">
      <alignment wrapText="1"/>
    </xf>
    <xf numFmtId="0" fontId="992" fillId="990" borderId="976" xfId="0" applyFont="1" applyFill="1" applyBorder="1" applyAlignment="1">
      <alignment wrapText="1"/>
    </xf>
    <xf numFmtId="0" fontId="993" fillId="991" borderId="977" xfId="0" applyFont="1" applyFill="1" applyBorder="1" applyAlignment="1">
      <alignment wrapText="1"/>
    </xf>
    <xf numFmtId="0" fontId="994" fillId="992" borderId="978" xfId="0" applyFont="1" applyFill="1" applyBorder="1" applyAlignment="1">
      <alignment vertical="top" wrapText="1"/>
    </xf>
    <xf numFmtId="0" fontId="995" fillId="993" borderId="979" xfId="0" applyFont="1" applyFill="1" applyBorder="1" applyAlignment="1">
      <alignment vertical="top" wrapText="1"/>
    </xf>
    <xf numFmtId="0" fontId="996" fillId="994" borderId="980" xfId="0" applyFont="1" applyFill="1" applyBorder="1" applyAlignment="1">
      <alignment horizontal="left" wrapText="1"/>
    </xf>
    <xf numFmtId="0" fontId="997" fillId="995" borderId="981" xfId="0" applyFont="1" applyFill="1" applyBorder="1" applyAlignment="1">
      <alignment horizontal="left" wrapText="1"/>
    </xf>
    <xf numFmtId="0" fontId="998" fillId="996" borderId="982" xfId="0" applyFont="1" applyFill="1" applyBorder="1" applyAlignment="1">
      <alignment horizontal="left" wrapText="1"/>
    </xf>
    <xf numFmtId="0" fontId="999" fillId="997" borderId="983" xfId="0" applyFont="1" applyFill="1" applyBorder="1" applyAlignment="1">
      <alignment horizontal="left" wrapText="1"/>
    </xf>
    <xf numFmtId="0" fontId="1000" fillId="998" borderId="984" xfId="0" applyFont="1" applyFill="1" applyBorder="1" applyAlignment="1">
      <alignment horizontal="left" wrapText="1"/>
    </xf>
    <xf numFmtId="0" fontId="1001" fillId="999" borderId="985" xfId="0" applyFont="1" applyFill="1" applyBorder="1" applyAlignment="1">
      <alignment horizontal="left" wrapText="1"/>
    </xf>
    <xf numFmtId="0" fontId="1002" fillId="1000" borderId="986" xfId="0" applyFont="1" applyFill="1" applyBorder="1" applyAlignment="1">
      <alignment horizontal="left" wrapText="1"/>
    </xf>
    <xf numFmtId="0" fontId="1003" fillId="1001" borderId="987" xfId="0" applyFont="1" applyFill="1" applyBorder="1" applyAlignment="1">
      <alignment horizontal="left" wrapText="1"/>
    </xf>
    <xf numFmtId="0" fontId="1004" fillId="1002" borderId="988" xfId="0" applyFont="1" applyFill="1" applyBorder="1" applyAlignment="1">
      <alignment wrapText="1"/>
    </xf>
    <xf numFmtId="0" fontId="1005" fillId="1003" borderId="989" xfId="0" applyFont="1" applyFill="1" applyBorder="1" applyAlignment="1">
      <alignment wrapText="1"/>
    </xf>
    <xf numFmtId="0" fontId="1006" fillId="1004" borderId="990" xfId="0" applyFont="1" applyFill="1" applyBorder="1" applyAlignment="1">
      <alignment horizontal="left" vertical="top"/>
    </xf>
    <xf numFmtId="0" fontId="1007" fillId="1005" borderId="991" xfId="0" applyFont="1" applyFill="1" applyBorder="1" applyAlignment="1">
      <alignment horizontal="left" vertical="top"/>
    </xf>
    <xf numFmtId="0" fontId="1008" fillId="1006" borderId="992" xfId="0" applyFont="1" applyFill="1" applyBorder="1" applyAlignment="1">
      <alignment wrapText="1"/>
    </xf>
    <xf numFmtId="0" fontId="1009" fillId="1007" borderId="993" xfId="0" applyFont="1" applyFill="1" applyBorder="1" applyAlignment="1">
      <alignment wrapText="1"/>
    </xf>
    <xf numFmtId="0" fontId="1010" fillId="1008" borderId="994" xfId="0" applyFont="1" applyFill="1" applyBorder="1" applyAlignment="1">
      <alignment horizontal="left" vertical="top"/>
    </xf>
    <xf numFmtId="0" fontId="1011" fillId="1009" borderId="995" xfId="0" applyFont="1" applyFill="1" applyBorder="1" applyAlignment="1">
      <alignment horizontal="left" vertical="top"/>
    </xf>
    <xf numFmtId="0" fontId="1012" fillId="1010" borderId="996" xfId="0" applyFont="1" applyFill="1" applyBorder="1" applyAlignment="1">
      <alignment horizontal="left" wrapText="1"/>
    </xf>
    <xf numFmtId="0" fontId="1013" fillId="1011" borderId="997" xfId="0" applyFont="1" applyFill="1" applyBorder="1" applyAlignment="1">
      <alignment horizontal="left" wrapText="1"/>
    </xf>
    <xf numFmtId="0" fontId="1014" fillId="1012" borderId="998" xfId="0" applyFont="1" applyFill="1" applyBorder="1" applyAlignment="1">
      <alignment horizontal="left" vertical="top"/>
    </xf>
    <xf numFmtId="0" fontId="1015" fillId="1013" borderId="999" xfId="0" applyFont="1" applyFill="1" applyBorder="1" applyAlignment="1">
      <alignment horizontal="left" vertical="top"/>
    </xf>
    <xf numFmtId="0" fontId="1016" fillId="1014" borderId="1000" xfId="0" applyFont="1" applyFill="1" applyBorder="1" applyAlignment="1">
      <alignment horizontal="left" wrapText="1"/>
    </xf>
    <xf numFmtId="0" fontId="1017" fillId="1015" borderId="1001" xfId="0" applyFont="1" applyFill="1" applyBorder="1" applyAlignment="1">
      <alignment horizontal="left" wrapText="1"/>
    </xf>
    <xf numFmtId="0" fontId="1018" fillId="1016" borderId="1002" xfId="0" applyFont="1" applyFill="1" applyBorder="1" applyAlignment="1">
      <alignment horizontal="left" wrapText="1"/>
    </xf>
    <xf numFmtId="0" fontId="1019" fillId="1017" borderId="1003" xfId="0" applyFont="1" applyFill="1" applyBorder="1" applyAlignment="1">
      <alignment horizontal="left" wrapText="1"/>
    </xf>
    <xf numFmtId="0" fontId="1020" fillId="1018" borderId="1004" xfId="0" applyFont="1" applyFill="1" applyBorder="1" applyAlignment="1">
      <alignment horizontal="left" wrapText="1"/>
    </xf>
    <xf numFmtId="0" fontId="1021" fillId="1019" borderId="1005" xfId="0" applyFont="1" applyFill="1" applyBorder="1" applyAlignment="1">
      <alignment horizontal="left" wrapText="1"/>
    </xf>
    <xf numFmtId="0" fontId="1022" fillId="1020" borderId="1006" xfId="0" applyFont="1" applyFill="1" applyBorder="1" applyAlignment="1">
      <alignment wrapText="1"/>
    </xf>
    <xf numFmtId="0" fontId="1023" fillId="1021" borderId="1007" xfId="0" applyFont="1" applyFill="1" applyBorder="1" applyAlignment="1">
      <alignment wrapText="1"/>
    </xf>
    <xf numFmtId="0" fontId="1024" fillId="1022" borderId="1008" xfId="0" applyFont="1" applyFill="1" applyBorder="1" applyAlignment="1">
      <alignment horizontal="left" vertical="top" wrapText="1"/>
    </xf>
    <xf numFmtId="0" fontId="1025" fillId="1023" borderId="1009" xfId="0" applyFont="1" applyFill="1" applyBorder="1" applyAlignment="1">
      <alignment horizontal="left" vertical="top" wrapText="1"/>
    </xf>
    <xf numFmtId="0" fontId="1026" fillId="1024" borderId="1010" xfId="0" applyFont="1" applyFill="1" applyBorder="1" applyAlignment="1">
      <alignment horizontal="left" vertical="top"/>
    </xf>
    <xf numFmtId="0" fontId="1027" fillId="1025" borderId="1011" xfId="0" applyFont="1" applyFill="1" applyBorder="1" applyAlignment="1">
      <alignment horizontal="left" vertical="top"/>
    </xf>
    <xf numFmtId="0" fontId="1028" fillId="1026" borderId="1012" xfId="0" applyFont="1" applyFill="1" applyBorder="1" applyAlignment="1">
      <alignment wrapText="1"/>
    </xf>
    <xf numFmtId="0" fontId="1029" fillId="1027" borderId="1013" xfId="0" applyFont="1" applyFill="1" applyBorder="1" applyAlignment="1">
      <alignment wrapText="1"/>
    </xf>
    <xf numFmtId="0" fontId="1030" fillId="1028" borderId="1014" xfId="0" applyFont="1" applyFill="1" applyBorder="1" applyAlignment="1">
      <alignment wrapText="1"/>
    </xf>
    <xf numFmtId="0" fontId="1031" fillId="1029" borderId="1015" xfId="0" applyFont="1" applyFill="1" applyBorder="1" applyAlignment="1">
      <alignment wrapText="1"/>
    </xf>
    <xf numFmtId="0" fontId="1032" fillId="1030" borderId="1016" xfId="0" applyFont="1" applyFill="1" applyBorder="1" applyAlignment="1">
      <alignment wrapText="1"/>
    </xf>
    <xf numFmtId="0" fontId="1033" fillId="1031" borderId="1017" xfId="0" applyFont="1" applyFill="1" applyBorder="1" applyAlignment="1">
      <alignment wrapText="1"/>
    </xf>
    <xf numFmtId="0" fontId="1034" fillId="1032" borderId="1018" xfId="0" applyFont="1" applyFill="1" applyBorder="1" applyAlignment="1">
      <alignment wrapText="1"/>
    </xf>
    <xf numFmtId="0" fontId="1035" fillId="1033" borderId="1019" xfId="0" applyFont="1" applyFill="1" applyBorder="1" applyAlignment="1">
      <alignment wrapText="1"/>
    </xf>
    <xf numFmtId="0" fontId="1036" fillId="1034" borderId="1020" xfId="0" applyFont="1" applyFill="1" applyBorder="1" applyAlignment="1">
      <alignment wrapText="1"/>
    </xf>
    <xf numFmtId="0" fontId="1037" fillId="1035" borderId="1021" xfId="0" applyFont="1" applyFill="1" applyBorder="1" applyAlignment="1">
      <alignment wrapText="1"/>
    </xf>
    <xf numFmtId="0" fontId="1038" fillId="1036" borderId="1022" xfId="0" applyFont="1" applyFill="1" applyBorder="1" applyAlignment="1">
      <alignment wrapText="1"/>
    </xf>
    <xf numFmtId="0" fontId="1039" fillId="1037" borderId="1023" xfId="0" applyFont="1" applyFill="1" applyBorder="1" applyAlignment="1">
      <alignment wrapText="1"/>
    </xf>
    <xf numFmtId="0" fontId="1040" fillId="1038" borderId="1024" xfId="0" applyFont="1" applyFill="1" applyBorder="1" applyAlignment="1">
      <alignment wrapText="1"/>
    </xf>
    <xf numFmtId="0" fontId="1041" fillId="1039" borderId="1025" xfId="0" applyFont="1" applyFill="1" applyBorder="1" applyAlignment="1">
      <alignment wrapText="1"/>
    </xf>
    <xf numFmtId="0" fontId="1042" fillId="1040" borderId="1026" xfId="0" applyFont="1" applyFill="1" applyBorder="1" applyAlignment="1">
      <alignment horizontal="left" vertical="top" wrapText="1"/>
    </xf>
    <xf numFmtId="0" fontId="1043" fillId="1041" borderId="1027" xfId="0" applyFont="1" applyFill="1" applyBorder="1" applyAlignment="1">
      <alignment horizontal="left" vertical="top" wrapText="1"/>
    </xf>
    <xf numFmtId="0" fontId="1044" fillId="1042" borderId="1028" xfId="0" applyFont="1" applyFill="1" applyBorder="1" applyAlignment="1">
      <alignment wrapText="1"/>
    </xf>
    <xf numFmtId="0" fontId="1045" fillId="1043" borderId="1029" xfId="0" applyFont="1" applyFill="1" applyBorder="1" applyAlignment="1">
      <alignment wrapText="1"/>
    </xf>
    <xf numFmtId="0" fontId="1046" fillId="1044" borderId="1030" xfId="0" applyFont="1" applyFill="1" applyBorder="1" applyAlignment="1">
      <alignment wrapText="1"/>
    </xf>
    <xf numFmtId="0" fontId="1047" fillId="1045" borderId="1031" xfId="0" applyFont="1" applyFill="1" applyBorder="1" applyAlignment="1">
      <alignment wrapText="1"/>
    </xf>
    <xf numFmtId="0" fontId="1048" fillId="1046" borderId="1032" xfId="0" applyFont="1" applyFill="1" applyBorder="1" applyAlignment="1">
      <alignment wrapText="1"/>
    </xf>
    <xf numFmtId="0" fontId="1049" fillId="1047" borderId="1033" xfId="0" applyFont="1" applyFill="1" applyBorder="1" applyAlignment="1">
      <alignment wrapText="1"/>
    </xf>
    <xf numFmtId="0" fontId="1050" fillId="1048" borderId="1034" xfId="0" applyFont="1" applyFill="1" applyBorder="1" applyAlignment="1">
      <alignment wrapText="1"/>
    </xf>
    <xf numFmtId="0" fontId="1051" fillId="1049" borderId="1035" xfId="0" applyFont="1" applyFill="1" applyBorder="1" applyAlignment="1">
      <alignment wrapText="1"/>
    </xf>
    <xf numFmtId="0" fontId="1052" fillId="1050" borderId="1036" xfId="0" applyFont="1" applyFill="1" applyBorder="1" applyAlignment="1">
      <alignment wrapText="1"/>
    </xf>
    <xf numFmtId="0" fontId="1053" fillId="1051" borderId="1037" xfId="0" applyFont="1" applyFill="1" applyBorder="1" applyAlignment="1">
      <alignment wrapText="1"/>
    </xf>
    <xf numFmtId="0" fontId="1054" fillId="1052" borderId="1038" xfId="0" applyFont="1" applyFill="1" applyBorder="1" applyAlignment="1">
      <alignment wrapText="1"/>
    </xf>
    <xf numFmtId="0" fontId="1055" fillId="1053" borderId="1039" xfId="0" applyFont="1" applyFill="1" applyBorder="1" applyAlignment="1">
      <alignment wrapText="1"/>
    </xf>
    <xf numFmtId="0" fontId="1056" fillId="1054" borderId="1040" xfId="0" applyFont="1" applyFill="1" applyBorder="1" applyAlignment="1">
      <alignment wrapText="1"/>
    </xf>
    <xf numFmtId="0" fontId="1057" fillId="1055" borderId="1041" xfId="0" applyFont="1" applyFill="1" applyBorder="1" applyAlignment="1">
      <alignment wrapText="1"/>
    </xf>
    <xf numFmtId="0" fontId="1058" fillId="1056" borderId="1042" xfId="0" applyFont="1" applyFill="1" applyBorder="1" applyAlignment="1">
      <alignment wrapText="1"/>
    </xf>
    <xf numFmtId="0" fontId="1059" fillId="1057" borderId="1043" xfId="0" applyFont="1" applyFill="1" applyBorder="1" applyAlignment="1">
      <alignment wrapText="1"/>
    </xf>
    <xf numFmtId="0" fontId="1060" fillId="1058" borderId="1044" xfId="0" applyFont="1" applyFill="1" applyBorder="1" applyAlignment="1">
      <alignment wrapText="1"/>
    </xf>
    <xf numFmtId="0" fontId="1061" fillId="1059" borderId="1045" xfId="0" applyFont="1" applyFill="1" applyBorder="1" applyAlignment="1">
      <alignment wrapText="1"/>
    </xf>
    <xf numFmtId="0" fontId="1062" fillId="1060" borderId="1046" xfId="0" applyFont="1" applyFill="1" applyBorder="1" applyAlignment="1">
      <alignment wrapText="1"/>
    </xf>
    <xf numFmtId="0" fontId="1063" fillId="1061" borderId="1047" xfId="0" applyFont="1" applyFill="1" applyBorder="1" applyAlignment="1">
      <alignment wrapText="1"/>
    </xf>
    <xf numFmtId="0" fontId="1064" fillId="1062" borderId="1048" xfId="0" applyFont="1" applyFill="1" applyBorder="1" applyAlignment="1">
      <alignment wrapText="1"/>
    </xf>
    <xf numFmtId="0" fontId="1065" fillId="1063" borderId="1049" xfId="0" applyFont="1" applyFill="1" applyBorder="1" applyAlignment="1">
      <alignment wrapText="1"/>
    </xf>
    <xf numFmtId="0" fontId="1066" fillId="1064" borderId="1050" xfId="0" applyFont="1" applyFill="1" applyBorder="1" applyAlignment="1">
      <alignment wrapText="1"/>
    </xf>
    <xf numFmtId="0" fontId="1067" fillId="1065" borderId="1051" xfId="0" applyFont="1" applyFill="1" applyBorder="1" applyAlignment="1">
      <alignment wrapText="1"/>
    </xf>
    <xf numFmtId="0" fontId="1068" fillId="1066" borderId="1052" xfId="0" applyFont="1" applyFill="1" applyBorder="1" applyAlignment="1">
      <alignment wrapText="1"/>
    </xf>
    <xf numFmtId="0" fontId="1069" fillId="1067" borderId="1053" xfId="0" applyFont="1" applyFill="1" applyBorder="1" applyAlignment="1">
      <alignment wrapText="1"/>
    </xf>
    <xf numFmtId="0" fontId="1070" fillId="1068" borderId="1054" xfId="0" applyFont="1" applyFill="1" applyBorder="1" applyAlignment="1">
      <alignment horizontal="left" vertical="top"/>
    </xf>
    <xf numFmtId="0" fontId="1071" fillId="1069" borderId="1055" xfId="0" applyFont="1" applyFill="1" applyBorder="1" applyAlignment="1">
      <alignment horizontal="left" vertical="top"/>
    </xf>
    <xf numFmtId="0" fontId="1072" fillId="1070" borderId="1056" xfId="0" applyFont="1" applyFill="1" applyBorder="1" applyAlignment="1">
      <alignment wrapText="1"/>
    </xf>
    <xf numFmtId="0" fontId="1073" fillId="1071" borderId="1057" xfId="0" applyFont="1" applyFill="1" applyBorder="1" applyAlignment="1">
      <alignment wrapText="1"/>
    </xf>
    <xf numFmtId="0" fontId="1074" fillId="1072" borderId="1058" xfId="0" applyFont="1" applyFill="1" applyBorder="1" applyAlignment="1">
      <alignment wrapText="1"/>
    </xf>
    <xf numFmtId="0" fontId="1075" fillId="1073" borderId="1059" xfId="0" applyFont="1" applyFill="1" applyBorder="1" applyAlignment="1">
      <alignment wrapText="1"/>
    </xf>
    <xf numFmtId="0" fontId="1076" fillId="1074" borderId="1060" xfId="0" applyFont="1" applyFill="1" applyBorder="1" applyAlignment="1">
      <alignment wrapText="1"/>
    </xf>
    <xf numFmtId="0" fontId="1077" fillId="1075" borderId="1061" xfId="0" applyFont="1" applyFill="1" applyBorder="1" applyAlignment="1">
      <alignment wrapText="1"/>
    </xf>
    <xf numFmtId="0" fontId="1078" fillId="1076" borderId="1062" xfId="0" applyFont="1" applyFill="1" applyBorder="1" applyAlignment="1">
      <alignment wrapText="1"/>
    </xf>
    <xf numFmtId="0" fontId="1079" fillId="1077" borderId="1063" xfId="0" applyFont="1" applyFill="1" applyBorder="1" applyAlignment="1">
      <alignment wrapText="1"/>
    </xf>
    <xf numFmtId="0" fontId="1080" fillId="1078" borderId="1064" xfId="0" applyFont="1" applyFill="1" applyBorder="1" applyAlignment="1">
      <alignment wrapText="1"/>
    </xf>
    <xf numFmtId="0" fontId="1081" fillId="1079" borderId="1065" xfId="0" applyFont="1" applyFill="1" applyBorder="1" applyAlignment="1">
      <alignment wrapText="1"/>
    </xf>
    <xf numFmtId="0" fontId="1082" fillId="1080" borderId="1066" xfId="0" applyFont="1" applyFill="1" applyBorder="1" applyAlignment="1">
      <alignment wrapText="1"/>
    </xf>
    <xf numFmtId="0" fontId="1083" fillId="1081" borderId="1067" xfId="0" applyFont="1" applyFill="1" applyBorder="1" applyAlignment="1">
      <alignment wrapText="1"/>
    </xf>
    <xf numFmtId="0" fontId="1084" fillId="1082" borderId="1068" xfId="0" applyFont="1" applyFill="1" applyBorder="1" applyAlignment="1">
      <alignment wrapText="1"/>
    </xf>
    <xf numFmtId="0" fontId="1085" fillId="1083" borderId="1069" xfId="0" applyFont="1" applyFill="1" applyBorder="1" applyAlignment="1">
      <alignment wrapText="1"/>
    </xf>
    <xf numFmtId="0" fontId="1086" fillId="1084" borderId="1070" xfId="0" applyFont="1" applyFill="1" applyBorder="1" applyAlignment="1">
      <alignment wrapText="1"/>
    </xf>
    <xf numFmtId="0" fontId="1087" fillId="1085" borderId="1071" xfId="0" applyFont="1" applyFill="1" applyBorder="1" applyAlignment="1">
      <alignment wrapText="1"/>
    </xf>
    <xf numFmtId="0" fontId="1088" fillId="1086" borderId="1072" xfId="0" applyFont="1" applyFill="1" applyBorder="1" applyAlignment="1">
      <alignment wrapText="1"/>
    </xf>
    <xf numFmtId="0" fontId="1089" fillId="1087" borderId="1073" xfId="0" applyFont="1" applyFill="1" applyBorder="1" applyAlignment="1">
      <alignment wrapText="1"/>
    </xf>
    <xf numFmtId="0" fontId="1090" fillId="1088" borderId="1074" xfId="0" applyFont="1" applyFill="1" applyBorder="1" applyAlignment="1">
      <alignment wrapText="1"/>
    </xf>
    <xf numFmtId="0" fontId="1091" fillId="1089" borderId="1075" xfId="0" applyFont="1" applyFill="1" applyBorder="1" applyAlignment="1">
      <alignment wrapText="1"/>
    </xf>
    <xf numFmtId="0" fontId="1092" fillId="1090" borderId="1076" xfId="0" applyFont="1" applyFill="1" applyBorder="1" applyAlignment="1">
      <alignment wrapText="1"/>
    </xf>
    <xf numFmtId="0" fontId="1093" fillId="1091" borderId="1077" xfId="0" applyFont="1" applyFill="1" applyBorder="1" applyAlignment="1">
      <alignment wrapText="1"/>
    </xf>
    <xf numFmtId="0" fontId="1094" fillId="1092" borderId="1078" xfId="0" applyFont="1" applyFill="1" applyBorder="1" applyAlignment="1">
      <alignment wrapText="1"/>
    </xf>
    <xf numFmtId="0" fontId="1095" fillId="1093" borderId="1079" xfId="0" applyFont="1" applyFill="1" applyBorder="1" applyAlignment="1">
      <alignment wrapText="1"/>
    </xf>
    <xf numFmtId="0" fontId="1096" fillId="1094" borderId="1080" xfId="0" applyFont="1" applyFill="1" applyBorder="1" applyAlignment="1">
      <alignment horizontal="left" vertical="top"/>
    </xf>
    <xf numFmtId="0" fontId="1097" fillId="1095" borderId="1081" xfId="0" applyFont="1" applyFill="1" applyBorder="1" applyAlignment="1">
      <alignment horizontal="left" vertical="top"/>
    </xf>
    <xf numFmtId="0" fontId="1098" fillId="1096" borderId="1082" xfId="0" applyFont="1" applyFill="1" applyBorder="1" applyAlignment="1">
      <alignment wrapText="1"/>
    </xf>
    <xf numFmtId="0" fontId="1099" fillId="1097" borderId="1083" xfId="0" applyFont="1" applyFill="1" applyBorder="1" applyAlignment="1">
      <alignment wrapText="1"/>
    </xf>
    <xf numFmtId="0" fontId="1100" fillId="1098" borderId="1084" xfId="0" applyFont="1" applyFill="1" applyBorder="1" applyAlignment="1">
      <alignment wrapText="1"/>
    </xf>
    <xf numFmtId="0" fontId="1101" fillId="1099" borderId="1085" xfId="0" applyFont="1" applyFill="1" applyBorder="1" applyAlignment="1">
      <alignment wrapText="1"/>
    </xf>
    <xf numFmtId="0" fontId="1102" fillId="1100" borderId="1086" xfId="0" applyFont="1" applyFill="1" applyBorder="1" applyAlignment="1">
      <alignment wrapText="1"/>
    </xf>
    <xf numFmtId="0" fontId="1103" fillId="1101" borderId="1087" xfId="0" applyFont="1" applyFill="1" applyBorder="1" applyAlignment="1">
      <alignment wrapText="1"/>
    </xf>
    <xf numFmtId="0" fontId="1104" fillId="1102" borderId="1088" xfId="0" applyFont="1" applyFill="1" applyBorder="1" applyAlignment="1">
      <alignment wrapText="1"/>
    </xf>
    <xf numFmtId="0" fontId="1105" fillId="1103" borderId="1089" xfId="0" applyFont="1" applyFill="1" applyBorder="1" applyAlignment="1">
      <alignment wrapText="1"/>
    </xf>
    <xf numFmtId="0" fontId="1106" fillId="1104" borderId="1090" xfId="0" applyFont="1" applyFill="1" applyBorder="1" applyAlignment="1">
      <alignment wrapText="1"/>
    </xf>
    <xf numFmtId="0" fontId="1107" fillId="1105" borderId="1091" xfId="0" applyFont="1" applyFill="1" applyBorder="1" applyAlignment="1">
      <alignment wrapText="1"/>
    </xf>
    <xf numFmtId="0" fontId="1108" fillId="1106" borderId="1092" xfId="0" applyFont="1" applyFill="1" applyBorder="1" applyAlignment="1">
      <alignment horizontal="left" vertical="top" wrapText="1"/>
    </xf>
    <xf numFmtId="0" fontId="1109" fillId="1107" borderId="1093" xfId="0" applyFont="1" applyFill="1" applyBorder="1" applyAlignment="1">
      <alignment horizontal="left" vertical="top" wrapText="1"/>
    </xf>
    <xf numFmtId="0" fontId="1110" fillId="1108" borderId="1094" xfId="0" applyFont="1" applyFill="1" applyBorder="1" applyAlignment="1">
      <alignment horizontal="left" vertical="top"/>
    </xf>
    <xf numFmtId="0" fontId="1111" fillId="1109" borderId="1095" xfId="0" applyFont="1" applyFill="1" applyBorder="1" applyAlignment="1">
      <alignment horizontal="left" vertical="top"/>
    </xf>
    <xf numFmtId="0" fontId="1112" fillId="1110" borderId="1096" xfId="0" applyFont="1" applyFill="1" applyBorder="1" applyAlignment="1">
      <alignment wrapText="1"/>
    </xf>
    <xf numFmtId="0" fontId="1113" fillId="1111" borderId="1097" xfId="0" applyFont="1" applyFill="1" applyBorder="1" applyAlignment="1">
      <alignment wrapText="1"/>
    </xf>
    <xf numFmtId="0" fontId="1114" fillId="1112" borderId="1098" xfId="0" applyFont="1" applyFill="1" applyBorder="1" applyAlignment="1">
      <alignment wrapText="1"/>
    </xf>
    <xf numFmtId="0" fontId="1115" fillId="1113" borderId="1099" xfId="0" applyFont="1" applyFill="1" applyBorder="1" applyAlignment="1">
      <alignment wrapText="1"/>
    </xf>
    <xf numFmtId="0" fontId="1116" fillId="1114" borderId="1100" xfId="0" applyFont="1" applyFill="1" applyBorder="1" applyAlignment="1">
      <alignment wrapText="1"/>
    </xf>
    <xf numFmtId="0" fontId="1117" fillId="1115" borderId="1101" xfId="0" applyFont="1" applyFill="1" applyBorder="1" applyAlignment="1">
      <alignment wrapText="1"/>
    </xf>
    <xf numFmtId="0" fontId="1118" fillId="1116" borderId="1102" xfId="0" applyFont="1" applyFill="1" applyBorder="1" applyAlignment="1">
      <alignment horizontal="left" vertical="top"/>
    </xf>
    <xf numFmtId="0" fontId="1119" fillId="1117" borderId="1103" xfId="0" applyFont="1" applyFill="1" applyBorder="1" applyAlignment="1">
      <alignment horizontal="left" vertical="top"/>
    </xf>
    <xf numFmtId="0" fontId="1120" fillId="1118" borderId="1104" xfId="0" applyFont="1" applyFill="1" applyBorder="1" applyAlignment="1">
      <alignment vertical="top"/>
    </xf>
    <xf numFmtId="0" fontId="1121" fillId="1119" borderId="1105" xfId="0" applyFont="1" applyFill="1" applyBorder="1" applyAlignment="1">
      <alignment vertical="top"/>
    </xf>
    <xf numFmtId="0" fontId="1122" fillId="1120" borderId="1106" xfId="0" applyFont="1" applyFill="1" applyBorder="1" applyAlignment="1">
      <alignment wrapText="1"/>
    </xf>
    <xf numFmtId="0" fontId="1123" fillId="1121" borderId="1107" xfId="0" applyFont="1" applyFill="1" applyBorder="1" applyAlignment="1">
      <alignment vertical="top" wrapText="1"/>
    </xf>
    <xf numFmtId="0" fontId="1124" fillId="1122" borderId="1108" xfId="0" applyFont="1" applyFill="1" applyBorder="1" applyAlignment="1">
      <alignment vertical="top" wrapText="1"/>
    </xf>
    <xf numFmtId="0" fontId="1125" fillId="1123" borderId="1109" xfId="0" applyFont="1" applyFill="1" applyBorder="1" applyAlignment="1">
      <alignment wrapText="1"/>
    </xf>
    <xf numFmtId="0" fontId="1127" fillId="1125" borderId="1111" xfId="0" applyFont="1" applyFill="1" applyBorder="1" applyAlignment="1">
      <alignment wrapText="1"/>
    </xf>
    <xf numFmtId="0" fontId="1128" fillId="1126" borderId="1112" xfId="0" applyFont="1" applyFill="1" applyBorder="1" applyAlignment="1">
      <alignment wrapText="1"/>
    </xf>
    <xf numFmtId="0" fontId="1129" fillId="1127" borderId="1113" xfId="0" applyFont="1" applyFill="1" applyBorder="1" applyAlignment="1">
      <alignment wrapText="1"/>
    </xf>
    <xf numFmtId="0" fontId="1130" fillId="1128" borderId="1114" xfId="0" applyFont="1" applyFill="1" applyBorder="1" applyAlignment="1">
      <alignment horizontal="left" vertical="top"/>
    </xf>
    <xf numFmtId="0" fontId="1131" fillId="1129" borderId="1115" xfId="0" applyFont="1" applyFill="1" applyBorder="1" applyAlignment="1">
      <alignment horizontal="left" vertical="top"/>
    </xf>
    <xf numFmtId="0" fontId="1132" fillId="1130" borderId="1116" xfId="0" applyFont="1" applyFill="1" applyBorder="1" applyAlignment="1">
      <alignment wrapText="1"/>
    </xf>
    <xf numFmtId="0" fontId="1133" fillId="1131" borderId="1117" xfId="0" applyFont="1" applyFill="1" applyBorder="1" applyAlignment="1">
      <alignment wrapText="1"/>
    </xf>
    <xf numFmtId="0" fontId="1134" fillId="1132" borderId="1118" xfId="0" applyFont="1" applyFill="1" applyBorder="1" applyAlignment="1">
      <alignment wrapText="1"/>
    </xf>
    <xf numFmtId="0" fontId="1135" fillId="1133" borderId="1119" xfId="0" applyFont="1" applyFill="1" applyBorder="1" applyAlignment="1">
      <alignment wrapText="1"/>
    </xf>
    <xf numFmtId="0" fontId="1136" fillId="1134" borderId="1120" xfId="0" applyFont="1" applyFill="1" applyBorder="1" applyAlignment="1">
      <alignment vertical="top" wrapText="1"/>
    </xf>
    <xf numFmtId="0" fontId="1137" fillId="1135" borderId="1121" xfId="0" applyFont="1" applyFill="1" applyBorder="1" applyAlignment="1">
      <alignment vertical="top" wrapText="1"/>
    </xf>
    <xf numFmtId="0" fontId="1138" fillId="1136" borderId="1122" xfId="0" applyFont="1" applyFill="1" applyBorder="1" applyAlignment="1">
      <alignment horizontal="left" wrapText="1"/>
    </xf>
    <xf numFmtId="0" fontId="1139" fillId="1137" borderId="1123" xfId="0" applyFont="1" applyFill="1" applyBorder="1" applyAlignment="1">
      <alignment horizontal="left" wrapText="1"/>
    </xf>
    <xf numFmtId="0" fontId="1140" fillId="1138" borderId="1124" xfId="0" applyFont="1" applyFill="1" applyBorder="1" applyAlignment="1">
      <alignment horizontal="left" wrapText="1"/>
    </xf>
    <xf numFmtId="0" fontId="1141" fillId="1139" borderId="1125" xfId="0" applyFont="1" applyFill="1" applyBorder="1" applyAlignment="1">
      <alignment horizontal="left" wrapText="1"/>
    </xf>
    <xf numFmtId="0" fontId="1142" fillId="1140" borderId="1126" xfId="0" applyFont="1" applyFill="1" applyBorder="1" applyAlignment="1">
      <alignment horizontal="left" wrapText="1"/>
    </xf>
    <xf numFmtId="0" fontId="1143" fillId="1141" borderId="1127" xfId="0" applyFont="1" applyFill="1" applyBorder="1" applyAlignment="1">
      <alignment horizontal="left" wrapText="1"/>
    </xf>
    <xf numFmtId="0" fontId="1144" fillId="1142" borderId="1128" xfId="0" applyFont="1" applyFill="1" applyBorder="1" applyAlignment="1">
      <alignment horizontal="left" wrapText="1"/>
    </xf>
    <xf numFmtId="0" fontId="1145" fillId="1143" borderId="1129" xfId="0" applyFont="1" applyFill="1" applyBorder="1" applyAlignment="1">
      <alignment horizontal="left" wrapText="1"/>
    </xf>
    <xf numFmtId="0" fontId="1146" fillId="1144" borderId="1130" xfId="0" applyFont="1" applyFill="1" applyBorder="1" applyAlignment="1">
      <alignment wrapText="1"/>
    </xf>
    <xf numFmtId="0" fontId="1147" fillId="1145" borderId="1131" xfId="0" applyFont="1" applyFill="1" applyBorder="1" applyAlignment="1">
      <alignment wrapText="1"/>
    </xf>
    <xf numFmtId="0" fontId="1148" fillId="1146" borderId="1132" xfId="0" applyFont="1" applyFill="1" applyBorder="1" applyAlignment="1">
      <alignment horizontal="left" vertical="top"/>
    </xf>
    <xf numFmtId="0" fontId="1149" fillId="1147" borderId="1133" xfId="0" applyFont="1" applyFill="1" applyBorder="1" applyAlignment="1">
      <alignment horizontal="left" vertical="top"/>
    </xf>
    <xf numFmtId="0" fontId="1150" fillId="1148" borderId="1134" xfId="0" applyFont="1" applyFill="1" applyBorder="1" applyAlignment="1">
      <alignment wrapText="1"/>
    </xf>
    <xf numFmtId="0" fontId="1151" fillId="1149" borderId="1135" xfId="0" applyFont="1" applyFill="1" applyBorder="1" applyAlignment="1">
      <alignment wrapText="1"/>
    </xf>
    <xf numFmtId="0" fontId="1152" fillId="1150" borderId="1136" xfId="0" applyFont="1" applyFill="1" applyBorder="1" applyAlignment="1">
      <alignment horizontal="left" vertical="top"/>
    </xf>
    <xf numFmtId="0" fontId="1153" fillId="1151" borderId="1137" xfId="0" applyFont="1" applyFill="1" applyBorder="1" applyAlignment="1">
      <alignment horizontal="left" vertical="top"/>
    </xf>
    <xf numFmtId="0" fontId="1154" fillId="1152" borderId="1138" xfId="0" applyFont="1" applyFill="1" applyBorder="1" applyAlignment="1">
      <alignment horizontal="left" wrapText="1"/>
    </xf>
    <xf numFmtId="0" fontId="1155" fillId="1153" borderId="1139" xfId="0" applyFont="1" applyFill="1" applyBorder="1" applyAlignment="1">
      <alignment horizontal="left" wrapText="1"/>
    </xf>
    <xf numFmtId="0" fontId="1156" fillId="1154" borderId="1140" xfId="0" applyFont="1" applyFill="1" applyBorder="1" applyAlignment="1">
      <alignment horizontal="left" vertical="top"/>
    </xf>
    <xf numFmtId="0" fontId="1157" fillId="1155" borderId="1141" xfId="0" applyFont="1" applyFill="1" applyBorder="1" applyAlignment="1">
      <alignment horizontal="left" vertical="top"/>
    </xf>
    <xf numFmtId="0" fontId="1158" fillId="1156" borderId="1142" xfId="0" applyFont="1" applyFill="1" applyBorder="1" applyAlignment="1">
      <alignment horizontal="left" wrapText="1"/>
    </xf>
    <xf numFmtId="0" fontId="1159" fillId="1157" borderId="1143" xfId="0" applyFont="1" applyFill="1" applyBorder="1" applyAlignment="1">
      <alignment horizontal="left" wrapText="1"/>
    </xf>
    <xf numFmtId="0" fontId="1160" fillId="1158" borderId="1144" xfId="0" applyFont="1" applyFill="1" applyBorder="1" applyAlignment="1">
      <alignment horizontal="left" wrapText="1"/>
    </xf>
    <xf numFmtId="0" fontId="1161" fillId="1159" borderId="1145" xfId="0" applyFont="1" applyFill="1" applyBorder="1" applyAlignment="1">
      <alignment horizontal="left" wrapText="1"/>
    </xf>
    <xf numFmtId="0" fontId="1162" fillId="1160" borderId="1146" xfId="0" applyFont="1" applyFill="1" applyBorder="1" applyAlignment="1">
      <alignment horizontal="left" wrapText="1"/>
    </xf>
    <xf numFmtId="0" fontId="1163" fillId="1161" borderId="1147" xfId="0" applyFont="1" applyFill="1" applyBorder="1" applyAlignment="1">
      <alignment horizontal="left" wrapText="1"/>
    </xf>
    <xf numFmtId="0" fontId="1164" fillId="1162" borderId="1148" xfId="0" applyFont="1" applyFill="1" applyBorder="1" applyAlignment="1">
      <alignment wrapText="1"/>
    </xf>
    <xf numFmtId="0" fontId="1165" fillId="1163" borderId="1149" xfId="0" applyFont="1" applyFill="1" applyBorder="1" applyAlignment="1">
      <alignment wrapText="1"/>
    </xf>
    <xf numFmtId="0" fontId="1166" fillId="1164" borderId="1150" xfId="0" applyFont="1" applyFill="1" applyBorder="1" applyAlignment="1">
      <alignment horizontal="left" vertical="top" wrapText="1"/>
    </xf>
    <xf numFmtId="0" fontId="1167" fillId="1165" borderId="1151" xfId="0" applyFont="1" applyFill="1" applyBorder="1" applyAlignment="1">
      <alignment horizontal="left" vertical="top" wrapText="1"/>
    </xf>
    <xf numFmtId="0" fontId="1168" fillId="1166" borderId="1152" xfId="0" applyFont="1" applyFill="1" applyBorder="1" applyAlignment="1">
      <alignment horizontal="left" vertical="top"/>
    </xf>
    <xf numFmtId="0" fontId="1169" fillId="1167" borderId="1153" xfId="0" applyFont="1" applyFill="1" applyBorder="1" applyAlignment="1">
      <alignment horizontal="left" vertical="top"/>
    </xf>
    <xf numFmtId="0" fontId="1170" fillId="1168" borderId="1154" xfId="0" applyFont="1" applyFill="1" applyBorder="1" applyAlignment="1">
      <alignment wrapText="1"/>
    </xf>
    <xf numFmtId="0" fontId="1171" fillId="1169" borderId="1155" xfId="0" applyFont="1" applyFill="1" applyBorder="1" applyAlignment="1">
      <alignment wrapText="1"/>
    </xf>
    <xf numFmtId="0" fontId="1172" fillId="1170" borderId="1156" xfId="0" applyFont="1" applyFill="1" applyBorder="1" applyAlignment="1">
      <alignment wrapText="1"/>
    </xf>
    <xf numFmtId="0" fontId="1173" fillId="1171" borderId="1157" xfId="0" applyFont="1" applyFill="1" applyBorder="1" applyAlignment="1">
      <alignment wrapText="1"/>
    </xf>
    <xf numFmtId="0" fontId="1174" fillId="1172" borderId="1158" xfId="0" applyFont="1" applyFill="1" applyBorder="1" applyAlignment="1">
      <alignment wrapText="1"/>
    </xf>
    <xf numFmtId="0" fontId="1175" fillId="1173" borderId="1159" xfId="0" applyFont="1" applyFill="1" applyBorder="1" applyAlignment="1">
      <alignment wrapText="1"/>
    </xf>
    <xf numFmtId="0" fontId="1176" fillId="1174" borderId="1160" xfId="0" applyFont="1" applyFill="1" applyBorder="1" applyAlignment="1">
      <alignment wrapText="1"/>
    </xf>
    <xf numFmtId="0" fontId="1177" fillId="1175" borderId="1161" xfId="0" applyFont="1" applyFill="1" applyBorder="1" applyAlignment="1">
      <alignment wrapText="1"/>
    </xf>
    <xf numFmtId="0" fontId="1178" fillId="1176" borderId="1162" xfId="0" applyFont="1" applyFill="1" applyBorder="1" applyAlignment="1">
      <alignment wrapText="1"/>
    </xf>
    <xf numFmtId="0" fontId="1179" fillId="1177" borderId="1163" xfId="0" applyFont="1" applyFill="1" applyBorder="1" applyAlignment="1">
      <alignment wrapText="1"/>
    </xf>
    <xf numFmtId="0" fontId="1180" fillId="1178" borderId="1164" xfId="0" applyFont="1" applyFill="1" applyBorder="1" applyAlignment="1">
      <alignment wrapText="1"/>
    </xf>
    <xf numFmtId="0" fontId="1181" fillId="1179" borderId="1165" xfId="0" applyFont="1" applyFill="1" applyBorder="1" applyAlignment="1">
      <alignment wrapText="1"/>
    </xf>
    <xf numFmtId="0" fontId="1182" fillId="1180" borderId="1166" xfId="0" applyFont="1" applyFill="1" applyBorder="1" applyAlignment="1">
      <alignment wrapText="1"/>
    </xf>
    <xf numFmtId="0" fontId="1183" fillId="1181" borderId="1167" xfId="0" applyFont="1" applyFill="1" applyBorder="1" applyAlignment="1">
      <alignment wrapText="1"/>
    </xf>
    <xf numFmtId="0" fontId="1184" fillId="1182" borderId="1168" xfId="0" applyFont="1" applyFill="1" applyBorder="1" applyAlignment="1">
      <alignment horizontal="left" vertical="top" wrapText="1"/>
    </xf>
    <xf numFmtId="0" fontId="1185" fillId="1183" borderId="1169" xfId="0" applyFont="1" applyFill="1" applyBorder="1" applyAlignment="1">
      <alignment horizontal="left" vertical="top" wrapText="1"/>
    </xf>
    <xf numFmtId="0" fontId="1186" fillId="1184" borderId="1170" xfId="0" applyFont="1" applyFill="1" applyBorder="1" applyAlignment="1">
      <alignment wrapText="1"/>
    </xf>
    <xf numFmtId="0" fontId="1187" fillId="1185" borderId="1171" xfId="0" applyFont="1" applyFill="1" applyBorder="1" applyAlignment="1">
      <alignment wrapText="1"/>
    </xf>
    <xf numFmtId="0" fontId="1188" fillId="1186" borderId="1172" xfId="0" applyFont="1" applyFill="1" applyBorder="1" applyAlignment="1">
      <alignment wrapText="1"/>
    </xf>
    <xf numFmtId="0" fontId="1189" fillId="1187" borderId="1173" xfId="0" applyFont="1" applyFill="1" applyBorder="1" applyAlignment="1">
      <alignment wrapText="1"/>
    </xf>
    <xf numFmtId="0" fontId="1190" fillId="1188" borderId="1174" xfId="0" applyFont="1" applyFill="1" applyBorder="1" applyAlignment="1">
      <alignment wrapText="1"/>
    </xf>
    <xf numFmtId="0" fontId="1191" fillId="1189" borderId="1175" xfId="0" applyFont="1" applyFill="1" applyBorder="1" applyAlignment="1">
      <alignment wrapText="1"/>
    </xf>
    <xf numFmtId="0" fontId="1192" fillId="1190" borderId="1176" xfId="0" applyFont="1" applyFill="1" applyBorder="1" applyAlignment="1">
      <alignment wrapText="1"/>
    </xf>
    <xf numFmtId="0" fontId="1193" fillId="1191" borderId="1177" xfId="0" applyFont="1" applyFill="1" applyBorder="1" applyAlignment="1">
      <alignment wrapText="1"/>
    </xf>
    <xf numFmtId="0" fontId="1194" fillId="1192" borderId="1178" xfId="0" applyFont="1" applyFill="1" applyBorder="1" applyAlignment="1">
      <alignment wrapText="1"/>
    </xf>
    <xf numFmtId="0" fontId="1195" fillId="1193" borderId="1179" xfId="0" applyFont="1" applyFill="1" applyBorder="1" applyAlignment="1">
      <alignment wrapText="1"/>
    </xf>
    <xf numFmtId="0" fontId="1196" fillId="1194" borderId="1180" xfId="0" applyFont="1" applyFill="1" applyBorder="1" applyAlignment="1">
      <alignment wrapText="1"/>
    </xf>
    <xf numFmtId="0" fontId="1197" fillId="1195" borderId="1181" xfId="0" applyFont="1" applyFill="1" applyBorder="1" applyAlignment="1">
      <alignment wrapText="1"/>
    </xf>
    <xf numFmtId="0" fontId="1198" fillId="1196" borderId="1182" xfId="0" applyFont="1" applyFill="1" applyBorder="1" applyAlignment="1">
      <alignment wrapText="1"/>
    </xf>
    <xf numFmtId="0" fontId="1199" fillId="1197" borderId="1183" xfId="0" applyFont="1" applyFill="1" applyBorder="1" applyAlignment="1">
      <alignment wrapText="1"/>
    </xf>
    <xf numFmtId="0" fontId="1200" fillId="1198" borderId="1184" xfId="0" applyFont="1" applyFill="1" applyBorder="1" applyAlignment="1">
      <alignment wrapText="1"/>
    </xf>
    <xf numFmtId="0" fontId="1201" fillId="1199" borderId="1185" xfId="0" applyFont="1" applyFill="1" applyBorder="1" applyAlignment="1">
      <alignment wrapText="1"/>
    </xf>
    <xf numFmtId="0" fontId="1202" fillId="1200" borderId="1186" xfId="0" applyFont="1" applyFill="1" applyBorder="1" applyAlignment="1">
      <alignment wrapText="1"/>
    </xf>
    <xf numFmtId="0" fontId="1203" fillId="1201" borderId="1187" xfId="0" applyFont="1" applyFill="1" applyBorder="1" applyAlignment="1">
      <alignment wrapText="1"/>
    </xf>
    <xf numFmtId="0" fontId="1204" fillId="1202" borderId="1188" xfId="0" applyFont="1" applyFill="1" applyBorder="1" applyAlignment="1">
      <alignment wrapText="1"/>
    </xf>
    <xf numFmtId="0" fontId="1205" fillId="1203" borderId="1189" xfId="0" applyFont="1" applyFill="1" applyBorder="1" applyAlignment="1">
      <alignment wrapText="1"/>
    </xf>
    <xf numFmtId="0" fontId="1206" fillId="1204" borderId="1190" xfId="0" applyFont="1" applyFill="1" applyBorder="1" applyAlignment="1">
      <alignment wrapText="1"/>
    </xf>
    <xf numFmtId="0" fontId="1207" fillId="1205" borderId="1191" xfId="0" applyFont="1" applyFill="1" applyBorder="1" applyAlignment="1">
      <alignment wrapText="1"/>
    </xf>
    <xf numFmtId="0" fontId="1208" fillId="1206" borderId="1192" xfId="0" applyFont="1" applyFill="1" applyBorder="1" applyAlignment="1">
      <alignment wrapText="1"/>
    </xf>
    <xf numFmtId="0" fontId="1209" fillId="1207" borderId="1193" xfId="0" applyFont="1" applyFill="1" applyBorder="1" applyAlignment="1">
      <alignment wrapText="1"/>
    </xf>
    <xf numFmtId="0" fontId="1210" fillId="1208" borderId="1194" xfId="0" applyFont="1" applyFill="1" applyBorder="1" applyAlignment="1">
      <alignment wrapText="1"/>
    </xf>
    <xf numFmtId="0" fontId="1211" fillId="1209" borderId="1195" xfId="0" applyFont="1" applyFill="1" applyBorder="1" applyAlignment="1">
      <alignment wrapText="1"/>
    </xf>
    <xf numFmtId="0" fontId="1212" fillId="1210" borderId="1196" xfId="0" applyFont="1" applyFill="1" applyBorder="1" applyAlignment="1">
      <alignment horizontal="left" vertical="top"/>
    </xf>
    <xf numFmtId="0" fontId="1213" fillId="1211" borderId="1197" xfId="0" applyFont="1" applyFill="1" applyBorder="1" applyAlignment="1">
      <alignment horizontal="left" vertical="top"/>
    </xf>
    <xf numFmtId="0" fontId="1214" fillId="1212" borderId="1198" xfId="0" applyFont="1" applyFill="1" applyBorder="1" applyAlignment="1">
      <alignment wrapText="1"/>
    </xf>
    <xf numFmtId="0" fontId="1215" fillId="1213" borderId="1199" xfId="0" applyFont="1" applyFill="1" applyBorder="1" applyAlignment="1">
      <alignment wrapText="1"/>
    </xf>
    <xf numFmtId="0" fontId="1216" fillId="1214" borderId="1200" xfId="0" applyFont="1" applyFill="1" applyBorder="1" applyAlignment="1">
      <alignment wrapText="1"/>
    </xf>
    <xf numFmtId="0" fontId="1217" fillId="1215" borderId="1201" xfId="0" applyFont="1" applyFill="1" applyBorder="1" applyAlignment="1">
      <alignment wrapText="1"/>
    </xf>
    <xf numFmtId="0" fontId="1218" fillId="1216" borderId="1202" xfId="0" applyFont="1" applyFill="1" applyBorder="1" applyAlignment="1">
      <alignment wrapText="1"/>
    </xf>
    <xf numFmtId="0" fontId="1219" fillId="1217" borderId="1203" xfId="0" applyFont="1" applyFill="1" applyBorder="1" applyAlignment="1">
      <alignment wrapText="1"/>
    </xf>
    <xf numFmtId="0" fontId="1220" fillId="1218" borderId="1204" xfId="0" applyFont="1" applyFill="1" applyBorder="1" applyAlignment="1">
      <alignment wrapText="1"/>
    </xf>
    <xf numFmtId="0" fontId="1221" fillId="1219" borderId="1205" xfId="0" applyFont="1" applyFill="1" applyBorder="1" applyAlignment="1">
      <alignment wrapText="1"/>
    </xf>
    <xf numFmtId="0" fontId="1222" fillId="1220" borderId="1206" xfId="0" applyFont="1" applyFill="1" applyBorder="1" applyAlignment="1">
      <alignment wrapText="1"/>
    </xf>
    <xf numFmtId="0" fontId="1223" fillId="1221" borderId="1207" xfId="0" applyFont="1" applyFill="1" applyBorder="1" applyAlignment="1">
      <alignment wrapText="1"/>
    </xf>
    <xf numFmtId="0" fontId="1224" fillId="1222" borderId="1208" xfId="0" applyFont="1" applyFill="1" applyBorder="1" applyAlignment="1">
      <alignment wrapText="1"/>
    </xf>
    <xf numFmtId="0" fontId="1225" fillId="1223" borderId="1209" xfId="0" applyFont="1" applyFill="1" applyBorder="1" applyAlignment="1">
      <alignment wrapText="1"/>
    </xf>
    <xf numFmtId="0" fontId="1226" fillId="1224" borderId="1210" xfId="0" applyFont="1" applyFill="1" applyBorder="1" applyAlignment="1">
      <alignment wrapText="1"/>
    </xf>
    <xf numFmtId="0" fontId="1227" fillId="1225" borderId="1211" xfId="0" applyFont="1" applyFill="1" applyBorder="1" applyAlignment="1">
      <alignment wrapText="1"/>
    </xf>
    <xf numFmtId="0" fontId="1228" fillId="1226" borderId="1212" xfId="0" applyFont="1" applyFill="1" applyBorder="1" applyAlignment="1">
      <alignment wrapText="1"/>
    </xf>
    <xf numFmtId="0" fontId="1229" fillId="1227" borderId="1213" xfId="0" applyFont="1" applyFill="1" applyBorder="1" applyAlignment="1">
      <alignment wrapText="1"/>
    </xf>
    <xf numFmtId="0" fontId="1230" fillId="1228" borderId="1214" xfId="0" applyFont="1" applyFill="1" applyBorder="1" applyAlignment="1">
      <alignment wrapText="1"/>
    </xf>
    <xf numFmtId="0" fontId="1231" fillId="1229" borderId="1215" xfId="0" applyFont="1" applyFill="1" applyBorder="1" applyAlignment="1">
      <alignment wrapText="1"/>
    </xf>
    <xf numFmtId="0" fontId="1232" fillId="1230" borderId="1216" xfId="0" applyFont="1" applyFill="1" applyBorder="1" applyAlignment="1">
      <alignment wrapText="1"/>
    </xf>
    <xf numFmtId="0" fontId="1233" fillId="1231" borderId="1217" xfId="0" applyFont="1" applyFill="1" applyBorder="1" applyAlignment="1">
      <alignment wrapText="1"/>
    </xf>
    <xf numFmtId="0" fontId="1234" fillId="1232" borderId="1218" xfId="0" applyFont="1" applyFill="1" applyBorder="1" applyAlignment="1">
      <alignment wrapText="1"/>
    </xf>
    <xf numFmtId="0" fontId="1235" fillId="1233" borderId="1219" xfId="0" applyFont="1" applyFill="1" applyBorder="1" applyAlignment="1">
      <alignment wrapText="1"/>
    </xf>
    <xf numFmtId="0" fontId="1236" fillId="1234" borderId="1220" xfId="0" applyFont="1" applyFill="1" applyBorder="1" applyAlignment="1">
      <alignment wrapText="1"/>
    </xf>
    <xf numFmtId="0" fontId="1237" fillId="1235" borderId="1221" xfId="0" applyFont="1" applyFill="1" applyBorder="1" applyAlignment="1">
      <alignment wrapText="1"/>
    </xf>
    <xf numFmtId="0" fontId="1238" fillId="1236" borderId="1222" xfId="0" applyFont="1" applyFill="1" applyBorder="1" applyAlignment="1">
      <alignment horizontal="left" vertical="top"/>
    </xf>
    <xf numFmtId="0" fontId="1239" fillId="1237" borderId="1223" xfId="0" applyFont="1" applyFill="1" applyBorder="1" applyAlignment="1">
      <alignment horizontal="left" vertical="top"/>
    </xf>
    <xf numFmtId="0" fontId="1240" fillId="1238" borderId="1224" xfId="0" applyFont="1" applyFill="1" applyBorder="1" applyAlignment="1">
      <alignment wrapText="1"/>
    </xf>
    <xf numFmtId="0" fontId="1241" fillId="1239" borderId="1225" xfId="0" applyFont="1" applyFill="1" applyBorder="1" applyAlignment="1">
      <alignment wrapText="1"/>
    </xf>
    <xf numFmtId="0" fontId="1242" fillId="1240" borderId="1226" xfId="0" applyFont="1" applyFill="1" applyBorder="1" applyAlignment="1">
      <alignment wrapText="1"/>
    </xf>
    <xf numFmtId="0" fontId="1243" fillId="1241" borderId="1227" xfId="0" applyFont="1" applyFill="1" applyBorder="1" applyAlignment="1">
      <alignment wrapText="1"/>
    </xf>
    <xf numFmtId="0" fontId="1244" fillId="1242" borderId="1228" xfId="0" applyFont="1" applyFill="1" applyBorder="1" applyAlignment="1">
      <alignment wrapText="1"/>
    </xf>
    <xf numFmtId="0" fontId="1245" fillId="1243" borderId="1229" xfId="0" applyFont="1" applyFill="1" applyBorder="1" applyAlignment="1">
      <alignment wrapText="1"/>
    </xf>
    <xf numFmtId="0" fontId="1246" fillId="1244" borderId="1230" xfId="0" applyFont="1" applyFill="1" applyBorder="1" applyAlignment="1">
      <alignment wrapText="1"/>
    </xf>
    <xf numFmtId="0" fontId="1247" fillId="1245" borderId="1231" xfId="0" applyFont="1" applyFill="1" applyBorder="1" applyAlignment="1">
      <alignment wrapText="1"/>
    </xf>
    <xf numFmtId="0" fontId="1248" fillId="1246" borderId="1232" xfId="0" applyFont="1" applyFill="1" applyBorder="1" applyAlignment="1">
      <alignment wrapText="1"/>
    </xf>
    <xf numFmtId="0" fontId="1249" fillId="1247" borderId="1233" xfId="0" applyFont="1" applyFill="1" applyBorder="1" applyAlignment="1">
      <alignment wrapText="1"/>
    </xf>
    <xf numFmtId="0" fontId="1250" fillId="1248" borderId="1234" xfId="0" applyFont="1" applyFill="1" applyBorder="1" applyAlignment="1">
      <alignment horizontal="left" vertical="top" wrapText="1"/>
    </xf>
    <xf numFmtId="0" fontId="1251" fillId="1249" borderId="1235" xfId="0" applyFont="1" applyFill="1" applyBorder="1" applyAlignment="1">
      <alignment horizontal="left" vertical="top" wrapText="1"/>
    </xf>
    <xf numFmtId="0" fontId="1252" fillId="1250" borderId="1236" xfId="0" applyFont="1" applyFill="1" applyBorder="1" applyAlignment="1">
      <alignment horizontal="left" vertical="top"/>
    </xf>
    <xf numFmtId="0" fontId="1253" fillId="1251" borderId="1237" xfId="0" applyFont="1" applyFill="1" applyBorder="1" applyAlignment="1">
      <alignment horizontal="left" vertical="top"/>
    </xf>
    <xf numFmtId="0" fontId="1254" fillId="1252" borderId="1238" xfId="0" applyFont="1" applyFill="1" applyBorder="1" applyAlignment="1">
      <alignment wrapText="1"/>
    </xf>
    <xf numFmtId="0" fontId="1255" fillId="1253" borderId="1239" xfId="0" applyFont="1" applyFill="1" applyBorder="1" applyAlignment="1">
      <alignment wrapText="1"/>
    </xf>
    <xf numFmtId="0" fontId="1256" fillId="1254" borderId="1240" xfId="0" applyFont="1" applyFill="1" applyBorder="1" applyAlignment="1">
      <alignment wrapText="1"/>
    </xf>
    <xf numFmtId="0" fontId="1257" fillId="1255" borderId="1241" xfId="0" applyFont="1" applyFill="1" applyBorder="1" applyAlignment="1">
      <alignment wrapText="1"/>
    </xf>
    <xf numFmtId="0" fontId="1258" fillId="1256" borderId="1242" xfId="0" applyFont="1" applyFill="1" applyBorder="1" applyAlignment="1">
      <alignment wrapText="1"/>
    </xf>
    <xf numFmtId="0" fontId="1259" fillId="1257" borderId="1243" xfId="0" applyFont="1" applyFill="1" applyBorder="1" applyAlignment="1">
      <alignment wrapText="1"/>
    </xf>
    <xf numFmtId="0" fontId="1260" fillId="1258" borderId="1244" xfId="0" applyFont="1" applyFill="1" applyBorder="1" applyAlignment="1">
      <alignment horizontal="left" vertical="top"/>
    </xf>
    <xf numFmtId="0" fontId="1261" fillId="1259" borderId="1245" xfId="0" applyFont="1" applyFill="1" applyBorder="1" applyAlignment="1">
      <alignment horizontal="left" vertical="top"/>
    </xf>
    <xf numFmtId="0" fontId="1262" fillId="1260" borderId="1246" xfId="0" applyFont="1" applyFill="1" applyBorder="1" applyAlignment="1">
      <alignment vertical="top"/>
    </xf>
    <xf numFmtId="0" fontId="1263" fillId="1261" borderId="1247" xfId="0" applyFont="1" applyFill="1" applyBorder="1" applyAlignment="1">
      <alignment vertical="top"/>
    </xf>
    <xf numFmtId="0" fontId="1264" fillId="1262" borderId="1248" xfId="0" applyFont="1" applyFill="1" applyBorder="1" applyAlignment="1">
      <alignment wrapText="1"/>
    </xf>
    <xf numFmtId="0" fontId="1265" fillId="1263" borderId="1249" xfId="0" applyFont="1" applyFill="1" applyBorder="1" applyAlignment="1">
      <alignment vertical="top" wrapText="1"/>
    </xf>
    <xf numFmtId="0" fontId="1266" fillId="1264" borderId="1250" xfId="0" applyFont="1" applyFill="1" applyBorder="1" applyAlignment="1">
      <alignment vertical="top" wrapText="1"/>
    </xf>
    <xf numFmtId="0" fontId="1267" fillId="1265" borderId="1251" xfId="0" applyFont="1" applyFill="1" applyBorder="1" applyAlignment="1">
      <alignment horizontal="left" vertical="top"/>
    </xf>
    <xf numFmtId="0" fontId="1268" fillId="1266" borderId="1252" xfId="0" applyFont="1" applyFill="1" applyBorder="1" applyAlignment="1">
      <alignment horizontal="left" vertical="top"/>
    </xf>
    <xf numFmtId="0" fontId="1269" fillId="1267" borderId="1253" xfId="0" applyFont="1" applyFill="1" applyBorder="1" applyAlignment="1">
      <alignment wrapText="1"/>
    </xf>
    <xf numFmtId="0" fontId="1271" fillId="1269" borderId="1255" xfId="0" applyFont="1" applyFill="1" applyBorder="1" applyAlignment="1">
      <alignment wrapText="1"/>
    </xf>
    <xf numFmtId="0" fontId="1272" fillId="1270" borderId="1256" xfId="0" applyFont="1" applyFill="1" applyBorder="1" applyAlignment="1">
      <alignment horizontal="left" vertical="top"/>
    </xf>
    <xf numFmtId="0" fontId="1273" fillId="1271" borderId="1257" xfId="0" applyFont="1" applyFill="1" applyBorder="1" applyAlignment="1">
      <alignment horizontal="left" vertical="top"/>
    </xf>
    <xf numFmtId="0" fontId="1274" fillId="1272" borderId="1258" xfId="0" applyFont="1" applyFill="1" applyBorder="1" applyAlignment="1">
      <alignment horizontal="left" vertical="top"/>
    </xf>
    <xf numFmtId="0" fontId="1275" fillId="1273" borderId="1259" xfId="0" applyFont="1" applyFill="1" applyBorder="1" applyAlignment="1">
      <alignment wrapText="1"/>
    </xf>
    <xf numFmtId="0" fontId="1276" fillId="1274" borderId="1260" xfId="0" applyFont="1" applyFill="1" applyBorder="1" applyAlignment="1">
      <alignment wrapText="1"/>
    </xf>
    <xf numFmtId="0" fontId="1277" fillId="1275" borderId="1261" xfId="0" applyFont="1" applyFill="1" applyBorder="1" applyAlignment="1">
      <alignment horizontal="left" vertical="top"/>
    </xf>
    <xf numFmtId="0" fontId="1278" fillId="1276" borderId="1262" xfId="0" applyFont="1" applyFill="1" applyBorder="1" applyAlignment="1">
      <alignment horizontal="left" vertical="top"/>
    </xf>
    <xf numFmtId="0" fontId="1279" fillId="1277" borderId="1263" xfId="0" applyFont="1" applyFill="1" applyBorder="1" applyAlignment="1">
      <alignment horizontal="left" vertical="top"/>
    </xf>
    <xf numFmtId="0" fontId="1280" fillId="1278" borderId="1264" xfId="0" applyFont="1" applyFill="1" applyBorder="1" applyAlignment="1">
      <alignment horizontal="left" vertical="top"/>
    </xf>
    <xf numFmtId="0" fontId="1281" fillId="1279" borderId="1265" xfId="0" applyFont="1" applyFill="1" applyBorder="1" applyAlignment="1">
      <alignment horizontal="left" vertical="top"/>
    </xf>
    <xf numFmtId="0" fontId="1282" fillId="1280" borderId="1266" xfId="0" applyFont="1" applyFill="1" applyBorder="1" applyAlignment="1">
      <alignment horizontal="left" vertical="top"/>
    </xf>
    <xf numFmtId="0" fontId="1283" fillId="1281" borderId="1267" xfId="0" applyFont="1" applyFill="1" applyBorder="1" applyAlignment="1">
      <alignment wrapText="1"/>
    </xf>
    <xf numFmtId="0" fontId="1284" fillId="1282" borderId="1268" xfId="0" applyFont="1" applyFill="1" applyBorder="1" applyAlignment="1">
      <alignment wrapText="1"/>
    </xf>
    <xf numFmtId="0" fontId="1285" fillId="1283" borderId="1269" xfId="0" applyFont="1" applyFill="1" applyBorder="1" applyAlignment="1">
      <alignment horizontal="left" vertical="top"/>
    </xf>
    <xf numFmtId="0" fontId="1286" fillId="1284" borderId="1270" xfId="0" applyFont="1" applyFill="1" applyBorder="1" applyAlignment="1">
      <alignment horizontal="left" vertical="top"/>
    </xf>
    <xf numFmtId="0" fontId="1287" fillId="1285" borderId="1271" xfId="0" applyFont="1" applyFill="1" applyBorder="1" applyAlignment="1">
      <alignment wrapText="1"/>
    </xf>
    <xf numFmtId="0" fontId="1288" fillId="1286" borderId="1272" xfId="0" applyFont="1" applyFill="1" applyBorder="1" applyAlignment="1">
      <alignment wrapText="1"/>
    </xf>
    <xf numFmtId="0" fontId="1289" fillId="1287" borderId="1273" xfId="0" applyFont="1" applyFill="1" applyBorder="1" applyAlignment="1">
      <alignment horizontal="left" vertical="top"/>
    </xf>
    <xf numFmtId="0" fontId="1290" fillId="1288" borderId="1274" xfId="0" applyFont="1" applyFill="1" applyBorder="1" applyAlignment="1">
      <alignment horizontal="left" vertical="top"/>
    </xf>
    <xf numFmtId="0" fontId="1291" fillId="1289" borderId="1275" xfId="0" applyFont="1" applyFill="1" applyBorder="1" applyAlignment="1">
      <alignment vertical="top" wrapText="1"/>
    </xf>
    <xf numFmtId="0" fontId="1292" fillId="1290" borderId="1276" xfId="0" applyFont="1" applyFill="1" applyBorder="1" applyAlignment="1">
      <alignment vertical="top" wrapText="1"/>
    </xf>
    <xf numFmtId="0" fontId="1293" fillId="1291" borderId="1277" xfId="0" applyFont="1" applyFill="1" applyBorder="1" applyAlignment="1">
      <alignment vertical="top"/>
    </xf>
    <xf numFmtId="0" fontId="1294" fillId="1292" borderId="1278" xfId="0" applyFont="1" applyFill="1" applyBorder="1" applyAlignment="1">
      <alignment vertical="top"/>
    </xf>
    <xf numFmtId="0" fontId="1295" fillId="1293" borderId="1279" xfId="0" applyFont="1" applyFill="1" applyBorder="1" applyAlignment="1">
      <alignment horizontal="left" wrapText="1"/>
    </xf>
    <xf numFmtId="0" fontId="1296" fillId="1294" borderId="1280" xfId="0" applyFont="1" applyFill="1" applyBorder="1" applyAlignment="1">
      <alignment horizontal="left" wrapText="1"/>
    </xf>
    <xf numFmtId="0" fontId="1297" fillId="1295" borderId="1281" xfId="0" applyFont="1" applyFill="1" applyBorder="1" applyAlignment="1">
      <alignment horizontal="left" vertical="top"/>
    </xf>
    <xf numFmtId="0" fontId="1298" fillId="1296" borderId="1282" xfId="0" applyFont="1" applyFill="1" applyBorder="1" applyAlignment="1">
      <alignment horizontal="left" vertical="top"/>
    </xf>
    <xf numFmtId="0" fontId="1299" fillId="1297" borderId="1283" xfId="0" applyFont="1" applyFill="1" applyBorder="1" applyAlignment="1">
      <alignment horizontal="left" wrapText="1"/>
    </xf>
    <xf numFmtId="0" fontId="1300" fillId="1298" borderId="1284" xfId="0" applyFont="1" applyFill="1" applyBorder="1" applyAlignment="1">
      <alignment horizontal="left" wrapText="1"/>
    </xf>
    <xf numFmtId="0" fontId="1301" fillId="1299" borderId="1285" xfId="0" applyFont="1" applyFill="1" applyBorder="1" applyAlignment="1">
      <alignment horizontal="left" vertical="top"/>
    </xf>
    <xf numFmtId="0" fontId="1302" fillId="1300" borderId="1286" xfId="0" applyFont="1" applyFill="1" applyBorder="1" applyAlignment="1">
      <alignment horizontal="left" vertical="top"/>
    </xf>
    <xf numFmtId="0" fontId="1303" fillId="1301" borderId="1287" xfId="0" applyFont="1" applyFill="1" applyBorder="1" applyAlignment="1">
      <alignment horizontal="left" wrapText="1"/>
    </xf>
    <xf numFmtId="0" fontId="1304" fillId="1302" borderId="1288" xfId="0" applyFont="1" applyFill="1" applyBorder="1" applyAlignment="1">
      <alignment horizontal="left" wrapText="1"/>
    </xf>
    <xf numFmtId="0" fontId="1305" fillId="1303" borderId="1289" xfId="0" applyFont="1" applyFill="1" applyBorder="1" applyAlignment="1">
      <alignment horizontal="left" vertical="top"/>
    </xf>
    <xf numFmtId="0" fontId="1306" fillId="1304" borderId="1290" xfId="0" applyFont="1" applyFill="1" applyBorder="1" applyAlignment="1">
      <alignment horizontal="left" vertical="top"/>
    </xf>
    <xf numFmtId="0" fontId="1307" fillId="1305" borderId="1291" xfId="0" applyFont="1" applyFill="1" applyBorder="1" applyAlignment="1">
      <alignment horizontal="left" wrapText="1"/>
    </xf>
    <xf numFmtId="0" fontId="1308" fillId="1306" borderId="1292" xfId="0" applyFont="1" applyFill="1" applyBorder="1" applyAlignment="1">
      <alignment horizontal="left" wrapText="1"/>
    </xf>
    <xf numFmtId="0" fontId="1309" fillId="1307" borderId="1293" xfId="0" applyFont="1" applyFill="1" applyBorder="1" applyAlignment="1">
      <alignment horizontal="left"/>
    </xf>
    <xf numFmtId="0" fontId="1310" fillId="1308" borderId="1294" xfId="0" applyFont="1" applyFill="1" applyBorder="1" applyAlignment="1">
      <alignment horizontal="left"/>
    </xf>
    <xf numFmtId="0" fontId="1311" fillId="1309" borderId="1295" xfId="0" applyFont="1" applyFill="1" applyBorder="1" applyAlignment="1">
      <alignment wrapText="1"/>
    </xf>
    <xf numFmtId="0" fontId="1312" fillId="1310" borderId="1296" xfId="0" applyFont="1" applyFill="1" applyBorder="1" applyAlignment="1">
      <alignment wrapText="1"/>
    </xf>
    <xf numFmtId="0" fontId="1313" fillId="1311" borderId="1297" xfId="0" applyFont="1" applyFill="1" applyBorder="1" applyAlignment="1">
      <alignment horizontal="left" vertical="top"/>
    </xf>
    <xf numFmtId="0" fontId="1314" fillId="1312" borderId="1298" xfId="0" applyFont="1" applyFill="1" applyBorder="1" applyAlignment="1">
      <alignment horizontal="left" vertical="top"/>
    </xf>
    <xf numFmtId="0" fontId="1315" fillId="1313" borderId="1299" xfId="0" applyFont="1" applyFill="1" applyBorder="1" applyAlignment="1">
      <alignment vertical="top"/>
    </xf>
    <xf numFmtId="0" fontId="1316" fillId="1314" borderId="1300" xfId="0" applyFont="1" applyFill="1" applyBorder="1" applyAlignment="1">
      <alignment vertical="top"/>
    </xf>
    <xf numFmtId="0" fontId="1317" fillId="1315" borderId="1301" xfId="0" applyFont="1" applyFill="1" applyBorder="1" applyAlignment="1">
      <alignment wrapText="1"/>
    </xf>
    <xf numFmtId="0" fontId="1318" fillId="1316" borderId="1302" xfId="0" applyFont="1" applyFill="1" applyBorder="1" applyAlignment="1">
      <alignment horizontal="left" vertical="top"/>
    </xf>
    <xf numFmtId="0" fontId="1319" fillId="1317" borderId="1303" xfId="0" applyFont="1" applyFill="1" applyBorder="1" applyAlignment="1">
      <alignment vertical="top" wrapText="1"/>
    </xf>
    <xf numFmtId="0" fontId="1320" fillId="1318" borderId="1304" xfId="0" applyFont="1" applyFill="1" applyBorder="1" applyAlignment="1">
      <alignment vertical="top" wrapText="1"/>
    </xf>
    <xf numFmtId="0" fontId="1321" fillId="1319" borderId="1305" xfId="0" applyFont="1" applyFill="1" applyBorder="1" applyAlignment="1">
      <alignment vertical="top"/>
    </xf>
    <xf numFmtId="0" fontId="1322" fillId="1320" borderId="1306" xfId="0" applyFont="1" applyFill="1" applyBorder="1" applyAlignment="1">
      <alignment vertical="top"/>
    </xf>
    <xf numFmtId="0" fontId="1323" fillId="1321" borderId="1307" xfId="0" applyFont="1" applyFill="1" applyBorder="1" applyAlignment="1">
      <alignment wrapText="1"/>
    </xf>
    <xf numFmtId="0" fontId="1324" fillId="1322" borderId="1308" xfId="0" applyFont="1" applyFill="1" applyBorder="1" applyAlignment="1">
      <alignment horizontal="left" vertical="top"/>
    </xf>
    <xf numFmtId="0" fontId="1325" fillId="1323" borderId="1309" xfId="0" applyFont="1" applyFill="1" applyBorder="1" applyAlignment="1">
      <alignment vertical="top"/>
    </xf>
    <xf numFmtId="0" fontId="1326" fillId="1324" borderId="1310" xfId="0" applyFont="1" applyFill="1" applyBorder="1" applyAlignment="1">
      <alignment vertical="top"/>
    </xf>
    <xf numFmtId="0" fontId="1327" fillId="1325" borderId="1311" xfId="0" applyFont="1" applyFill="1" applyBorder="1" applyAlignment="1">
      <alignment wrapText="1"/>
    </xf>
    <xf numFmtId="0" fontId="1328" fillId="1326" borderId="1312" xfId="0" applyFont="1" applyFill="1" applyBorder="1" applyAlignment="1">
      <alignment vertical="top" wrapText="1"/>
    </xf>
    <xf numFmtId="0" fontId="1329" fillId="1327" borderId="1313" xfId="0" applyFont="1" applyFill="1" applyBorder="1" applyAlignment="1">
      <alignment vertical="top" wrapText="1"/>
    </xf>
    <xf numFmtId="0" fontId="1330" fillId="1328" borderId="1314" xfId="0" applyFont="1" applyFill="1" applyBorder="1" applyAlignment="1">
      <alignment horizontal="left" vertical="top"/>
    </xf>
    <xf numFmtId="0" fontId="1331" fillId="1329" borderId="1315" xfId="0" applyFont="1" applyFill="1" applyBorder="1" applyAlignment="1">
      <alignment horizontal="left" vertical="top"/>
    </xf>
    <xf numFmtId="0" fontId="1332" fillId="1330" borderId="1316" xfId="0" applyFont="1" applyFill="1" applyBorder="1" applyAlignment="1">
      <alignment wrapText="1"/>
    </xf>
    <xf numFmtId="0" fontId="1334" fillId="1332" borderId="1318" xfId="0" applyFont="1" applyFill="1" applyBorder="1" applyAlignment="1">
      <alignment wrapText="1"/>
    </xf>
    <xf numFmtId="0" fontId="1335" fillId="1333" borderId="1319" xfId="0" applyFont="1" applyFill="1" applyBorder="1" applyAlignment="1">
      <alignment horizontal="left" vertical="top"/>
    </xf>
    <xf numFmtId="0" fontId="1336" fillId="1334" borderId="1320" xfId="0" applyFont="1" applyFill="1" applyBorder="1" applyAlignment="1">
      <alignment horizontal="left" vertical="top"/>
    </xf>
    <xf numFmtId="0" fontId="1337" fillId="1335" borderId="1321" xfId="0" applyFont="1" applyFill="1" applyBorder="1" applyAlignment="1">
      <alignment horizontal="left" vertical="top"/>
    </xf>
    <xf numFmtId="0" fontId="1338" fillId="1336" borderId="1322" xfId="0" applyFont="1" applyFill="1" applyBorder="1" applyAlignment="1">
      <alignment horizontal="left" wrapText="1"/>
    </xf>
    <xf numFmtId="0" fontId="1339" fillId="1337" borderId="1323" xfId="0" applyFont="1" applyFill="1" applyBorder="1" applyAlignment="1">
      <alignment vertical="top"/>
    </xf>
    <xf numFmtId="0" fontId="1340" fillId="1338" borderId="1324" xfId="0" applyFont="1" applyFill="1" applyBorder="1" applyAlignment="1">
      <alignment vertical="top"/>
    </xf>
    <xf numFmtId="0" fontId="1341" fillId="1339" borderId="1325" xfId="0" applyFont="1" applyFill="1" applyBorder="1" applyAlignment="1">
      <alignment wrapText="1"/>
    </xf>
    <xf numFmtId="0" fontId="1342" fillId="1340" borderId="1326" xfId="0" applyFont="1" applyFill="1" applyBorder="1" applyAlignment="1">
      <alignment vertical="top" wrapText="1"/>
    </xf>
    <xf numFmtId="0" fontId="1343" fillId="1341" borderId="1327" xfId="0" applyFont="1" applyFill="1" applyBorder="1" applyAlignment="1">
      <alignment vertical="top" wrapText="1"/>
    </xf>
    <xf numFmtId="0" fontId="1344" fillId="1342" borderId="1328" xfId="0" applyFont="1" applyFill="1" applyBorder="1" applyAlignment="1">
      <alignment horizontal="left" vertical="top"/>
    </xf>
    <xf numFmtId="0" fontId="1345" fillId="1343" borderId="1329" xfId="0" applyFont="1" applyFill="1" applyBorder="1" applyAlignment="1">
      <alignment horizontal="left" vertical="top"/>
    </xf>
    <xf numFmtId="0" fontId="1346" fillId="1344" borderId="1330" xfId="0" applyFont="1" applyFill="1" applyBorder="1" applyAlignment="1">
      <alignment wrapText="1"/>
    </xf>
    <xf numFmtId="0" fontId="1348" fillId="1346" borderId="1332" xfId="0" applyFont="1" applyFill="1" applyBorder="1" applyAlignment="1">
      <alignment wrapText="1"/>
    </xf>
    <xf numFmtId="0" fontId="1349" fillId="1347" borderId="1333" xfId="0" applyFont="1" applyFill="1" applyBorder="1" applyAlignment="1">
      <alignment vertical="top"/>
    </xf>
    <xf numFmtId="0" fontId="1350" fillId="1348" borderId="1334" xfId="0" applyFont="1" applyFill="1" applyBorder="1" applyAlignment="1">
      <alignment vertical="top"/>
    </xf>
    <xf numFmtId="0" fontId="1351" fillId="1349" borderId="1335" xfId="0" applyFont="1" applyFill="1" applyBorder="1" applyAlignment="1">
      <alignment wrapText="1"/>
    </xf>
    <xf numFmtId="0" fontId="1352" fillId="1350" borderId="1336" xfId="0" applyFont="1" applyFill="1" applyBorder="1" applyAlignment="1">
      <alignment vertical="top" wrapText="1"/>
    </xf>
    <xf numFmtId="0" fontId="1353" fillId="1351" borderId="1337" xfId="0" applyFont="1" applyFill="1" applyBorder="1" applyAlignment="1">
      <alignment vertical="top" wrapText="1"/>
    </xf>
    <xf numFmtId="0" fontId="1354" fillId="1352" borderId="1338" xfId="0" applyFont="1" applyFill="1" applyBorder="1" applyAlignment="1">
      <alignment horizontal="left" vertical="top"/>
    </xf>
    <xf numFmtId="0" fontId="1355" fillId="1353" borderId="1339" xfId="0" applyFont="1" applyFill="1" applyBorder="1" applyAlignment="1">
      <alignment horizontal="left" vertical="top"/>
    </xf>
    <xf numFmtId="0" fontId="1356" fillId="1354" borderId="1340" xfId="0" applyFont="1" applyFill="1" applyBorder="1" applyAlignment="1">
      <alignment wrapText="1"/>
    </xf>
    <xf numFmtId="0" fontId="1358" fillId="1356" borderId="1342" xfId="0" applyFont="1" applyFill="1" applyBorder="1" applyAlignment="1">
      <alignment horizontal="left" wrapText="1"/>
    </xf>
    <xf numFmtId="0" fontId="1359" fillId="0" borderId="0" xfId="0" applyFont="1"/>
    <xf numFmtId="0" fontId="74" fillId="48" borderId="32" xfId="0" applyFont="1" applyFill="1" applyBorder="1"/>
    <xf numFmtId="0" fontId="141" fillId="141" borderId="125" xfId="0" applyFont="1" applyFill="1" applyBorder="1"/>
    <xf numFmtId="0" fontId="166" fillId="164" borderId="149" xfId="0" applyFont="1" applyFill="1" applyBorder="1"/>
    <xf numFmtId="0" fontId="308" fillId="306" borderId="291" xfId="0" applyFont="1" applyFill="1" applyBorder="1"/>
    <xf numFmtId="0" fontId="448" fillId="447" borderId="432" xfId="0" applyFont="1" applyFill="1" applyBorder="1"/>
    <xf numFmtId="0" fontId="478" fillId="477" borderId="462" xfId="0" applyFont="1" applyFill="1" applyBorder="1"/>
    <xf numFmtId="0" fontId="616" fillId="615" borderId="600" xfId="0" applyFont="1" applyFill="1" applyBorder="1"/>
    <xf numFmtId="0" fontId="634" fillId="633" borderId="619" xfId="0" applyFont="1" applyFill="1" applyBorder="1"/>
    <xf numFmtId="0" fontId="641" fillId="640" borderId="626" xfId="0" applyFont="1" applyFill="1" applyBorder="1"/>
    <xf numFmtId="0" fontId="655" fillId="654" borderId="640" xfId="0" applyFont="1" applyFill="1" applyBorder="1"/>
    <xf numFmtId="0" fontId="825" fillId="823" borderId="809" xfId="0" applyFont="1" applyFill="1" applyBorder="1"/>
    <xf numFmtId="0" fontId="835" fillId="833" borderId="819" xfId="0" applyFont="1" applyFill="1" applyBorder="1"/>
    <xf numFmtId="0" fontId="984" fillId="982" borderId="968" xfId="0" applyFont="1" applyFill="1" applyBorder="1"/>
    <xf numFmtId="0" fontId="1126" fillId="1124" borderId="1110" xfId="0" applyFont="1" applyFill="1" applyBorder="1"/>
    <xf numFmtId="0" fontId="1270" fillId="1268" borderId="1254" xfId="0" applyFont="1" applyFill="1" applyBorder="1"/>
    <xf numFmtId="0" fontId="1333" fillId="1331" borderId="1317" xfId="0" applyFont="1" applyFill="1" applyBorder="1"/>
    <xf numFmtId="0" fontId="1347" fillId="1345" borderId="1331" xfId="0" applyFont="1" applyFill="1" applyBorder="1"/>
    <xf numFmtId="0" fontId="1357" fillId="1355" borderId="1341" xfId="0" applyFont="1" applyFill="1" applyBorder="1"/>
    <xf numFmtId="0" fontId="1360" fillId="1357" borderId="1343" xfId="0" applyFont="1" applyFill="1" applyBorder="1" applyAlignment="1">
      <alignment vertical="top"/>
    </xf>
    <xf numFmtId="0" fontId="1361" fillId="1358" borderId="1344" xfId="0" applyFont="1" applyFill="1" applyBorder="1" applyAlignment="1">
      <alignment vertical="top"/>
    </xf>
    <xf numFmtId="0" fontId="1362" fillId="1359" borderId="1345" xfId="0" applyFont="1" applyFill="1" applyBorder="1" applyAlignment="1">
      <alignment vertical="top" wrapText="1"/>
    </xf>
    <xf numFmtId="0" fontId="1363" fillId="1360" borderId="1346" xfId="0" applyFont="1" applyFill="1" applyBorder="1" applyAlignment="1">
      <alignment vertical="top" wrapText="1"/>
    </xf>
    <xf numFmtId="0" fontId="1364" fillId="1361" borderId="1347" xfId="0" applyFont="1" applyFill="1" applyBorder="1" applyAlignment="1">
      <alignment horizontal="left" vertical="top"/>
    </xf>
    <xf numFmtId="0" fontId="1365" fillId="1362" borderId="1348" xfId="0" applyFont="1" applyFill="1" applyBorder="1" applyAlignment="1">
      <alignment horizontal="left" vertical="top"/>
    </xf>
    <xf numFmtId="0" fontId="1366" fillId="1363" borderId="1349" xfId="0" applyFont="1" applyFill="1" applyBorder="1" applyAlignment="1">
      <alignment wrapText="1"/>
    </xf>
    <xf numFmtId="0" fontId="1367" fillId="1364" borderId="1350" xfId="0" applyFont="1" applyFill="1" applyBorder="1" applyAlignment="1">
      <alignment wrapText="1"/>
    </xf>
    <xf numFmtId="0" fontId="1368" fillId="1365" borderId="1351" xfId="0" applyFont="1" applyFill="1" applyBorder="1" applyAlignment="1">
      <alignment horizontal="left" vertical="top"/>
    </xf>
    <xf numFmtId="0" fontId="1369" fillId="1366" borderId="1352" xfId="0" applyFont="1" applyFill="1" applyBorder="1" applyAlignment="1">
      <alignment horizontal="left" wrapText="1"/>
    </xf>
    <xf numFmtId="0" fontId="1370" fillId="1367" borderId="1353" xfId="0" applyFont="1" applyFill="1" applyBorder="1" applyAlignment="1">
      <alignment wrapText="1"/>
    </xf>
    <xf numFmtId="0" fontId="1371" fillId="1368" borderId="1354" xfId="0" applyFont="1" applyFill="1" applyBorder="1" applyAlignment="1">
      <alignment wrapText="1"/>
    </xf>
    <xf numFmtId="0" fontId="1372" fillId="1369" borderId="1355" xfId="0" applyFont="1" applyFill="1" applyBorder="1" applyAlignment="1">
      <alignment horizontal="left" vertical="top"/>
    </xf>
    <xf numFmtId="0" fontId="1373" fillId="1370" borderId="1356" xfId="0" applyFont="1" applyFill="1" applyBorder="1" applyAlignment="1">
      <alignment horizontal="left" vertical="top"/>
    </xf>
    <xf numFmtId="0" fontId="1374" fillId="1371" borderId="1357" xfId="0" applyFont="1" applyFill="1" applyBorder="1" applyAlignment="1">
      <alignment horizontal="left" vertical="top"/>
    </xf>
    <xf numFmtId="0" fontId="1375" fillId="1372" borderId="1358" xfId="0" applyFont="1" applyFill="1" applyBorder="1" applyAlignment="1">
      <alignment horizontal="left" vertical="top"/>
    </xf>
    <xf numFmtId="0" fontId="1376" fillId="1373" borderId="1359" xfId="0" applyFont="1" applyFill="1" applyBorder="1" applyAlignment="1">
      <alignment horizontal="left" vertical="top"/>
    </xf>
    <xf numFmtId="0" fontId="1377" fillId="1374" borderId="1360" xfId="0" applyFont="1" applyFill="1" applyBorder="1" applyAlignment="1">
      <alignment horizontal="left" vertical="top"/>
    </xf>
    <xf numFmtId="0" fontId="1378" fillId="1375" borderId="1361" xfId="0" applyFont="1" applyFill="1" applyBorder="1" applyAlignment="1">
      <alignment wrapText="1"/>
    </xf>
    <xf numFmtId="0" fontId="1379" fillId="1376" borderId="1362" xfId="0" applyFont="1" applyFill="1" applyBorder="1" applyAlignment="1">
      <alignment wrapText="1"/>
    </xf>
    <xf numFmtId="0" fontId="1380" fillId="1377" borderId="1363" xfId="0" applyFont="1" applyFill="1" applyBorder="1" applyAlignment="1">
      <alignment wrapText="1"/>
    </xf>
    <xf numFmtId="0" fontId="1381" fillId="1378" borderId="1364" xfId="0" applyFont="1" applyFill="1" applyBorder="1" applyAlignment="1">
      <alignment wrapText="1"/>
    </xf>
    <xf numFmtId="0" fontId="1382" fillId="1379" borderId="1365" xfId="0" applyFont="1" applyFill="1" applyBorder="1" applyAlignment="1">
      <alignment vertical="top" wrapText="1"/>
    </xf>
    <xf numFmtId="0" fontId="1383" fillId="1380" borderId="1366" xfId="0" applyFont="1" applyFill="1" applyBorder="1" applyAlignment="1">
      <alignment vertical="top" wrapText="1"/>
    </xf>
    <xf numFmtId="0" fontId="1384" fillId="1381" borderId="1367" xfId="0" applyFont="1" applyFill="1" applyBorder="1" applyAlignment="1">
      <alignment horizontal="left" wrapText="1"/>
    </xf>
    <xf numFmtId="0" fontId="1385" fillId="1382" borderId="1368" xfId="0" applyFont="1" applyFill="1" applyBorder="1" applyAlignment="1">
      <alignment horizontal="left" wrapText="1"/>
    </xf>
    <xf numFmtId="0" fontId="1386" fillId="1383" borderId="1369" xfId="0" applyFont="1" applyFill="1" applyBorder="1" applyAlignment="1">
      <alignment horizontal="left" wrapText="1"/>
    </xf>
    <xf numFmtId="0" fontId="1387" fillId="1384" borderId="1370" xfId="0" applyFont="1" applyFill="1" applyBorder="1" applyAlignment="1">
      <alignment horizontal="left" wrapText="1"/>
    </xf>
    <xf numFmtId="0" fontId="1388" fillId="1385" borderId="1371" xfId="0" applyFont="1" applyFill="1" applyBorder="1" applyAlignment="1">
      <alignment horizontal="left" vertical="top"/>
    </xf>
    <xf numFmtId="0" fontId="1389" fillId="1386" borderId="1372" xfId="0" applyFont="1" applyFill="1" applyBorder="1" applyAlignment="1">
      <alignment horizontal="left" vertical="top"/>
    </xf>
    <xf numFmtId="0" fontId="1390" fillId="1387" borderId="1373" xfId="0" applyFont="1" applyFill="1" applyBorder="1" applyAlignment="1">
      <alignment horizontal="left" wrapText="1"/>
    </xf>
    <xf numFmtId="0" fontId="1391" fillId="1388" borderId="1374" xfId="0" applyFont="1" applyFill="1" applyBorder="1" applyAlignment="1">
      <alignment horizontal="left" wrapText="1"/>
    </xf>
    <xf numFmtId="0" fontId="1392" fillId="1389" borderId="1375" xfId="0" applyFont="1" applyFill="1" applyBorder="1" applyAlignment="1">
      <alignment horizontal="left" vertical="top"/>
    </xf>
    <xf numFmtId="0" fontId="1393" fillId="1390" borderId="1376" xfId="0" applyFont="1" applyFill="1" applyBorder="1" applyAlignment="1">
      <alignment horizontal="left" vertical="top"/>
    </xf>
    <xf numFmtId="0" fontId="1394" fillId="1391" borderId="1377" xfId="0" applyFont="1" applyFill="1" applyBorder="1" applyAlignment="1">
      <alignment horizontal="left" wrapText="1"/>
    </xf>
    <xf numFmtId="0" fontId="1395" fillId="1392" borderId="1378" xfId="0" applyFont="1" applyFill="1" applyBorder="1" applyAlignment="1">
      <alignment horizontal="left" wrapText="1"/>
    </xf>
    <xf numFmtId="0" fontId="1396" fillId="1393" borderId="1379" xfId="0" applyFont="1" applyFill="1" applyBorder="1" applyAlignment="1">
      <alignment horizontal="left"/>
    </xf>
    <xf numFmtId="0" fontId="1397" fillId="1394" borderId="1380" xfId="0" applyFont="1" applyFill="1" applyBorder="1" applyAlignment="1">
      <alignment horizontal="left"/>
    </xf>
    <xf numFmtId="0" fontId="1398" fillId="1395" borderId="1381" xfId="0" applyFont="1" applyFill="1" applyBorder="1" applyAlignment="1">
      <alignment horizontal="left" wrapText="1"/>
    </xf>
    <xf numFmtId="0" fontId="1399" fillId="1396" borderId="1382" xfId="0" applyFont="1" applyFill="1" applyBorder="1" applyAlignment="1">
      <alignment horizontal="left" wrapText="1"/>
    </xf>
    <xf numFmtId="0" fontId="1400" fillId="1397" borderId="1383" xfId="0" applyFont="1" applyFill="1" applyBorder="1" applyAlignment="1">
      <alignment wrapText="1"/>
    </xf>
    <xf numFmtId="0" fontId="1401" fillId="1398" borderId="1384" xfId="0" applyFont="1" applyFill="1" applyBorder="1" applyAlignment="1">
      <alignment wrapText="1"/>
    </xf>
    <xf numFmtId="0" fontId="1402" fillId="1399" borderId="1385" xfId="0" applyFont="1" applyFill="1" applyBorder="1" applyAlignment="1">
      <alignment horizontal="left" vertical="top"/>
    </xf>
    <xf numFmtId="0" fontId="1403" fillId="1400" borderId="1386" xfId="0" applyFont="1" applyFill="1" applyBorder="1" applyAlignment="1">
      <alignment horizontal="left" vertical="top"/>
    </xf>
    <xf numFmtId="0" fontId="1404" fillId="1401" borderId="1387" xfId="0" applyFont="1" applyFill="1" applyBorder="1" applyAlignment="1">
      <alignment horizontal="left" vertical="top"/>
    </xf>
    <xf numFmtId="0" fontId="1405" fillId="1402" borderId="1388" xfId="0" applyFont="1" applyFill="1" applyBorder="1" applyAlignment="1">
      <alignment horizontal="left" vertical="top"/>
    </xf>
    <xf numFmtId="0" fontId="1406" fillId="1403" borderId="1389" xfId="0" applyFont="1" applyFill="1" applyBorder="1" applyAlignment="1">
      <alignment vertical="top"/>
    </xf>
    <xf numFmtId="0" fontId="1407" fillId="1404" borderId="1390" xfId="0" applyFont="1" applyFill="1" applyBorder="1" applyAlignment="1">
      <alignment vertical="top"/>
    </xf>
    <xf numFmtId="0" fontId="1408" fillId="1405" borderId="1391" xfId="0" applyFont="1" applyFill="1" applyBorder="1" applyAlignment="1">
      <alignment wrapText="1"/>
    </xf>
    <xf numFmtId="0" fontId="1409" fillId="1406" borderId="1392" xfId="0" applyFont="1" applyFill="1" applyBorder="1" applyAlignment="1">
      <alignment wrapText="1"/>
    </xf>
    <xf numFmtId="0" fontId="1410" fillId="1407" borderId="1393" xfId="0" applyFont="1" applyFill="1" applyBorder="1" applyAlignment="1">
      <alignment horizontal="left" vertical="top"/>
    </xf>
    <xf numFmtId="0" fontId="1411" fillId="1408" borderId="1394" xfId="0" applyFont="1" applyFill="1" applyBorder="1" applyAlignment="1">
      <alignment horizontal="left" vertical="top"/>
    </xf>
    <xf numFmtId="0" fontId="1412" fillId="1409" borderId="1395" xfId="0" applyFont="1" applyFill="1" applyBorder="1" applyAlignment="1">
      <alignment horizontal="left" vertical="top"/>
    </xf>
    <xf numFmtId="0" fontId="1413" fillId="1410" borderId="1396" xfId="0" applyFont="1" applyFill="1" applyBorder="1" applyAlignment="1">
      <alignment horizontal="left" vertical="top"/>
    </xf>
    <xf numFmtId="0" fontId="1414" fillId="1411" borderId="1397" xfId="0" applyFont="1" applyFill="1" applyBorder="1" applyAlignment="1">
      <alignment horizontal="left" vertical="top"/>
    </xf>
    <xf numFmtId="0" fontId="1415" fillId="1412" borderId="1398" xfId="0" applyFont="1" applyFill="1" applyBorder="1" applyAlignment="1">
      <alignment horizontal="left" vertical="top"/>
    </xf>
    <xf numFmtId="0" fontId="1416" fillId="1413" borderId="1399" xfId="0" applyFont="1" applyFill="1" applyBorder="1" applyAlignment="1">
      <alignment horizontal="left" wrapText="1"/>
    </xf>
    <xf numFmtId="0" fontId="1417" fillId="1414" borderId="1400" xfId="0" applyFont="1" applyFill="1" applyBorder="1" applyAlignment="1">
      <alignment horizontal="left" wrapText="1"/>
    </xf>
    <xf numFmtId="0" fontId="1418" fillId="1415" borderId="1401" xfId="0" applyFont="1" applyFill="1" applyBorder="1" applyAlignment="1">
      <alignment horizontal="left" vertical="top"/>
    </xf>
    <xf numFmtId="0" fontId="1419" fillId="1416" borderId="1402" xfId="0" applyFont="1" applyFill="1" applyBorder="1" applyAlignment="1">
      <alignment horizontal="left" vertical="top"/>
    </xf>
    <xf numFmtId="0" fontId="1420" fillId="1417" borderId="1403" xfId="0" applyFont="1" applyFill="1" applyBorder="1" applyAlignment="1">
      <alignment horizontal="left" wrapText="1"/>
    </xf>
    <xf numFmtId="0" fontId="1421" fillId="1418" borderId="1404" xfId="0" applyFont="1" applyFill="1" applyBorder="1" applyAlignment="1">
      <alignment horizontal="left" wrapText="1"/>
    </xf>
    <xf numFmtId="0" fontId="1422" fillId="1419" borderId="1405" xfId="0" applyFont="1" applyFill="1" applyBorder="1" applyAlignment="1">
      <alignment horizontal="left" wrapText="1"/>
    </xf>
    <xf numFmtId="0" fontId="1423" fillId="1420" borderId="1406" xfId="0" applyFont="1" applyFill="1" applyBorder="1" applyAlignment="1">
      <alignment horizontal="left" wrapText="1"/>
    </xf>
    <xf numFmtId="0" fontId="1424" fillId="1421" borderId="1407" xfId="0" applyFont="1" applyFill="1" applyBorder="1" applyAlignment="1">
      <alignment horizontal="left" wrapText="1"/>
    </xf>
    <xf numFmtId="0" fontId="1425" fillId="1422" borderId="1408" xfId="0" applyFont="1" applyFill="1" applyBorder="1" applyAlignment="1">
      <alignment horizontal="left" wrapText="1"/>
    </xf>
    <xf numFmtId="0" fontId="1426" fillId="1423" borderId="1409" xfId="0" applyFont="1" applyFill="1" applyBorder="1" applyAlignment="1">
      <alignment wrapText="1"/>
    </xf>
    <xf numFmtId="0" fontId="1427" fillId="1424" borderId="1410" xfId="0" applyFont="1" applyFill="1" applyBorder="1" applyAlignment="1">
      <alignment wrapText="1"/>
    </xf>
    <xf numFmtId="0" fontId="1428" fillId="1425" borderId="1411" xfId="0" applyFont="1" applyFill="1" applyBorder="1" applyAlignment="1">
      <alignment horizontal="left" vertical="top" wrapText="1"/>
    </xf>
    <xf numFmtId="0" fontId="1429" fillId="1426" borderId="1412" xfId="0" applyFont="1" applyFill="1" applyBorder="1" applyAlignment="1">
      <alignment horizontal="left" vertical="top" wrapText="1"/>
    </xf>
    <xf numFmtId="0" fontId="1430" fillId="1427" borderId="1413" xfId="0" applyFont="1" applyFill="1" applyBorder="1" applyAlignment="1">
      <alignment wrapText="1"/>
    </xf>
    <xf numFmtId="0" fontId="1431" fillId="1428" borderId="1414" xfId="0" applyFont="1" applyFill="1" applyBorder="1" applyAlignment="1">
      <alignment wrapText="1"/>
    </xf>
    <xf numFmtId="0" fontId="1432" fillId="1429" borderId="1415" xfId="0" applyFont="1" applyFill="1" applyBorder="1" applyAlignment="1">
      <alignment wrapText="1"/>
    </xf>
    <xf numFmtId="0" fontId="1433" fillId="1430" borderId="1416" xfId="0" applyFont="1" applyFill="1" applyBorder="1" applyAlignment="1">
      <alignment wrapText="1"/>
    </xf>
    <xf numFmtId="0" fontId="1434" fillId="1431" borderId="1417" xfId="0" applyFont="1" applyFill="1" applyBorder="1" applyAlignment="1">
      <alignment wrapText="1"/>
    </xf>
    <xf numFmtId="0" fontId="1435" fillId="1432" borderId="1418" xfId="0" applyFont="1" applyFill="1" applyBorder="1" applyAlignment="1">
      <alignment wrapText="1"/>
    </xf>
    <xf numFmtId="0" fontId="1436" fillId="1433" borderId="1419" xfId="0" applyFont="1" applyFill="1" applyBorder="1" applyAlignment="1">
      <alignment wrapText="1"/>
    </xf>
    <xf numFmtId="0" fontId="1437" fillId="1434" borderId="1420" xfId="0" applyFont="1" applyFill="1" applyBorder="1" applyAlignment="1">
      <alignment wrapText="1"/>
    </xf>
    <xf numFmtId="0" fontId="1438" fillId="1435" borderId="1421" xfId="0" applyFont="1" applyFill="1" applyBorder="1" applyAlignment="1">
      <alignment wrapText="1"/>
    </xf>
    <xf numFmtId="0" fontId="1439" fillId="1436" borderId="1422" xfId="0" applyFont="1" applyFill="1" applyBorder="1" applyAlignment="1">
      <alignment wrapText="1"/>
    </xf>
    <xf numFmtId="0" fontId="1440" fillId="1437" borderId="1423" xfId="0" applyFont="1" applyFill="1" applyBorder="1" applyAlignment="1">
      <alignment wrapText="1"/>
    </xf>
    <xf numFmtId="0" fontId="1441" fillId="1438" borderId="1424" xfId="0" applyFont="1" applyFill="1" applyBorder="1" applyAlignment="1">
      <alignment wrapText="1"/>
    </xf>
    <xf numFmtId="0" fontId="1442" fillId="1439" borderId="1425" xfId="0" applyFont="1" applyFill="1" applyBorder="1" applyAlignment="1">
      <alignment wrapText="1"/>
    </xf>
    <xf numFmtId="0" fontId="1443" fillId="1440" borderId="1426" xfId="0" applyFont="1" applyFill="1" applyBorder="1" applyAlignment="1">
      <alignment wrapText="1"/>
    </xf>
    <xf numFmtId="0" fontId="1444" fillId="1441" borderId="1427" xfId="0" applyFont="1" applyFill="1" applyBorder="1" applyAlignment="1">
      <alignment horizontal="left" vertical="top"/>
    </xf>
    <xf numFmtId="0" fontId="1445" fillId="1442" borderId="1428" xfId="0" applyFont="1" applyFill="1" applyBorder="1" applyAlignment="1">
      <alignment horizontal="left" vertical="top"/>
    </xf>
    <xf numFmtId="0" fontId="1446" fillId="1443" borderId="1429" xfId="0" applyFont="1" applyFill="1" applyBorder="1" applyAlignment="1">
      <alignment horizontal="left" vertical="top" wrapText="1"/>
    </xf>
    <xf numFmtId="0" fontId="1447" fillId="1444" borderId="1430" xfId="0" applyFont="1" applyFill="1" applyBorder="1" applyAlignment="1">
      <alignment horizontal="left" vertical="top" wrapText="1"/>
    </xf>
    <xf numFmtId="0" fontId="1448" fillId="1445" borderId="1431" xfId="0" applyFont="1" applyFill="1" applyBorder="1" applyAlignment="1">
      <alignment horizontal="left" vertical="top"/>
    </xf>
    <xf numFmtId="0" fontId="1449" fillId="1446" borderId="1432" xfId="0" applyFont="1" applyFill="1" applyBorder="1" applyAlignment="1">
      <alignment horizontal="left" vertical="top"/>
    </xf>
    <xf numFmtId="0" fontId="1450" fillId="1447" borderId="1433" xfId="0" applyFont="1" applyFill="1" applyBorder="1" applyAlignment="1">
      <alignment wrapText="1"/>
    </xf>
    <xf numFmtId="0" fontId="1451" fillId="1448" borderId="1434" xfId="0" applyFont="1" applyFill="1" applyBorder="1" applyAlignment="1">
      <alignment wrapText="1"/>
    </xf>
    <xf numFmtId="0" fontId="1452" fillId="1449" borderId="1435" xfId="0" applyFont="1" applyFill="1" applyBorder="1" applyAlignment="1">
      <alignment horizontal="left" vertical="top"/>
    </xf>
    <xf numFmtId="0" fontId="1453" fillId="1450" borderId="1436" xfId="0" applyFont="1" applyFill="1" applyBorder="1" applyAlignment="1">
      <alignment horizontal="left" vertical="top"/>
    </xf>
    <xf numFmtId="0" fontId="1454" fillId="1451" borderId="1437" xfId="0" applyFont="1" applyFill="1" applyBorder="1" applyAlignment="1">
      <alignment wrapText="1"/>
    </xf>
    <xf numFmtId="0" fontId="1455" fillId="1452" borderId="1438" xfId="0" applyFont="1" applyFill="1" applyBorder="1" applyAlignment="1">
      <alignment wrapText="1"/>
    </xf>
    <xf numFmtId="0" fontId="1456" fillId="1453" borderId="1439" xfId="0" applyFont="1" applyFill="1" applyBorder="1" applyAlignment="1">
      <alignment wrapText="1"/>
    </xf>
    <xf numFmtId="0" fontId="1457" fillId="1454" borderId="1440" xfId="0" applyFont="1" applyFill="1" applyBorder="1" applyAlignment="1">
      <alignment wrapText="1"/>
    </xf>
    <xf numFmtId="0" fontId="1458" fillId="1455" borderId="1441" xfId="0" applyFont="1" applyFill="1" applyBorder="1" applyAlignment="1">
      <alignment wrapText="1"/>
    </xf>
    <xf numFmtId="0" fontId="1459" fillId="1456" borderId="1442" xfId="0" applyFont="1" applyFill="1" applyBorder="1" applyAlignment="1">
      <alignment wrapText="1"/>
    </xf>
    <xf numFmtId="0" fontId="1460" fillId="1457" borderId="1443" xfId="0" applyFont="1" applyFill="1" applyBorder="1" applyAlignment="1">
      <alignment wrapText="1"/>
    </xf>
    <xf numFmtId="0" fontId="1461" fillId="1458" borderId="1444" xfId="0" applyFont="1" applyFill="1" applyBorder="1" applyAlignment="1">
      <alignment wrapText="1"/>
    </xf>
    <xf numFmtId="0" fontId="1462" fillId="1459" borderId="1445" xfId="0" applyFont="1" applyFill="1" applyBorder="1" applyAlignment="1">
      <alignment wrapText="1"/>
    </xf>
    <xf numFmtId="0" fontId="1463" fillId="1460" borderId="1446" xfId="0" applyFont="1" applyFill="1" applyBorder="1" applyAlignment="1">
      <alignment wrapText="1"/>
    </xf>
    <xf numFmtId="0" fontId="1464" fillId="1461" borderId="1447" xfId="0" applyFont="1" applyFill="1" applyBorder="1" applyAlignment="1">
      <alignment wrapText="1"/>
    </xf>
    <xf numFmtId="0" fontId="1465" fillId="1462" borderId="1448" xfId="0" applyFont="1" applyFill="1" applyBorder="1" applyAlignment="1">
      <alignment wrapText="1"/>
    </xf>
    <xf numFmtId="0" fontId="1466" fillId="1463" borderId="1449" xfId="0" applyFont="1" applyFill="1" applyBorder="1" applyAlignment="1">
      <alignment wrapText="1"/>
    </xf>
    <xf numFmtId="0" fontId="1467" fillId="1464" borderId="1450" xfId="0" applyFont="1" applyFill="1" applyBorder="1" applyAlignment="1">
      <alignment wrapText="1"/>
    </xf>
    <xf numFmtId="0" fontId="1468" fillId="1465" borderId="1451" xfId="0" applyFont="1" applyFill="1" applyBorder="1" applyAlignment="1">
      <alignment wrapText="1"/>
    </xf>
    <xf numFmtId="0" fontId="1469" fillId="1466" borderId="1452" xfId="0" applyFont="1" applyFill="1" applyBorder="1" applyAlignment="1">
      <alignment wrapText="1"/>
    </xf>
    <xf numFmtId="0" fontId="1470" fillId="1467" borderId="1453" xfId="0" applyFont="1" applyFill="1" applyBorder="1" applyAlignment="1">
      <alignment wrapText="1"/>
    </xf>
    <xf numFmtId="0" fontId="1471" fillId="1468" borderId="1454" xfId="0" applyFont="1" applyFill="1" applyBorder="1" applyAlignment="1">
      <alignment wrapText="1"/>
    </xf>
    <xf numFmtId="0" fontId="1472" fillId="1469" borderId="1455" xfId="0" applyFont="1" applyFill="1" applyBorder="1" applyAlignment="1">
      <alignment horizontal="center" vertical="top"/>
    </xf>
    <xf numFmtId="0" fontId="1473" fillId="1470" borderId="1456" xfId="0" applyFont="1" applyFill="1" applyBorder="1" applyAlignment="1">
      <alignment horizontal="center" vertical="top"/>
    </xf>
    <xf numFmtId="0" fontId="1474" fillId="1471" borderId="1457" xfId="0" applyFont="1" applyFill="1" applyBorder="1" applyAlignment="1">
      <alignment wrapText="1"/>
    </xf>
    <xf numFmtId="0" fontId="1475" fillId="1472" borderId="1458" xfId="0" applyFont="1" applyFill="1" applyBorder="1" applyAlignment="1">
      <alignment wrapText="1"/>
    </xf>
    <xf numFmtId="0" fontId="1476" fillId="1473" borderId="1459" xfId="0" applyFont="1" applyFill="1" applyBorder="1" applyAlignment="1">
      <alignment horizontal="left" vertical="top"/>
    </xf>
    <xf numFmtId="0" fontId="1477" fillId="1474" borderId="1460" xfId="0" applyFont="1" applyFill="1" applyBorder="1" applyAlignment="1">
      <alignment horizontal="left" vertical="top"/>
    </xf>
    <xf numFmtId="0" fontId="1478" fillId="1475" borderId="1461" xfId="0" applyFont="1" applyFill="1" applyBorder="1" applyAlignment="1">
      <alignment wrapText="1"/>
    </xf>
    <xf numFmtId="0" fontId="1479" fillId="1476" borderId="1462" xfId="0" applyFont="1" applyFill="1" applyBorder="1" applyAlignment="1">
      <alignment wrapText="1"/>
    </xf>
    <xf numFmtId="0" fontId="1480" fillId="1477" borderId="1463" xfId="0" applyFont="1" applyFill="1" applyBorder="1" applyAlignment="1">
      <alignment horizontal="left" vertical="top"/>
    </xf>
    <xf numFmtId="0" fontId="1481" fillId="1478" borderId="1464" xfId="0" applyFont="1" applyFill="1" applyBorder="1" applyAlignment="1">
      <alignment horizontal="left" vertical="top"/>
    </xf>
    <xf numFmtId="0" fontId="1482" fillId="1479" borderId="1465" xfId="0" applyFont="1" applyFill="1" applyBorder="1" applyAlignment="1">
      <alignment wrapText="1"/>
    </xf>
    <xf numFmtId="0" fontId="1483" fillId="1480" borderId="1466" xfId="0" applyFont="1" applyFill="1" applyBorder="1" applyAlignment="1">
      <alignment wrapText="1"/>
    </xf>
    <xf numFmtId="0" fontId="1484" fillId="1481" borderId="1467" xfId="0" applyFont="1" applyFill="1" applyBorder="1" applyAlignment="1">
      <alignment horizontal="left" vertical="top"/>
    </xf>
    <xf numFmtId="0" fontId="1485" fillId="1482" borderId="1468" xfId="0" applyFont="1" applyFill="1" applyBorder="1" applyAlignment="1">
      <alignment horizontal="left" vertical="top"/>
    </xf>
    <xf numFmtId="0" fontId="1486" fillId="1483" borderId="1469" xfId="0" applyFont="1" applyFill="1" applyBorder="1" applyAlignment="1">
      <alignment wrapText="1"/>
    </xf>
    <xf numFmtId="0" fontId="1487" fillId="1484" borderId="1470" xfId="0" applyFont="1" applyFill="1" applyBorder="1" applyAlignment="1">
      <alignment wrapText="1"/>
    </xf>
    <xf numFmtId="0" fontId="1488" fillId="1485" borderId="1471" xfId="0" applyFont="1" applyFill="1" applyBorder="1" applyAlignment="1">
      <alignment horizontal="left" vertical="top"/>
    </xf>
    <xf numFmtId="0" fontId="1489" fillId="1486" borderId="1472" xfId="0" applyFont="1" applyFill="1" applyBorder="1" applyAlignment="1">
      <alignment horizontal="left" vertical="top"/>
    </xf>
    <xf numFmtId="0" fontId="1490" fillId="1487" borderId="1473" xfId="0" applyFont="1" applyFill="1" applyBorder="1" applyAlignment="1">
      <alignment wrapText="1"/>
    </xf>
    <xf numFmtId="0" fontId="1491" fillId="1488" borderId="1474" xfId="0" applyFont="1" applyFill="1" applyBorder="1" applyAlignment="1">
      <alignment wrapText="1"/>
    </xf>
    <xf numFmtId="0" fontId="1492" fillId="1489" borderId="1475" xfId="0" applyFont="1" applyFill="1" applyBorder="1" applyAlignment="1">
      <alignment wrapText="1"/>
    </xf>
    <xf numFmtId="0" fontId="1493" fillId="1490" borderId="1476" xfId="0" applyFont="1" applyFill="1" applyBorder="1" applyAlignment="1">
      <alignment wrapText="1"/>
    </xf>
    <xf numFmtId="0" fontId="1494" fillId="1491" borderId="1477" xfId="0" applyFont="1" applyFill="1" applyBorder="1" applyAlignment="1">
      <alignment wrapText="1"/>
    </xf>
    <xf numFmtId="0" fontId="1495" fillId="1492" borderId="1478" xfId="0" applyFont="1" applyFill="1" applyBorder="1" applyAlignment="1">
      <alignment wrapText="1"/>
    </xf>
    <xf numFmtId="0" fontId="1496" fillId="1493" borderId="1479" xfId="0" applyFont="1" applyFill="1" applyBorder="1" applyAlignment="1">
      <alignment wrapText="1"/>
    </xf>
    <xf numFmtId="0" fontId="1497" fillId="1494" borderId="1480" xfId="0" applyFont="1" applyFill="1" applyBorder="1" applyAlignment="1">
      <alignment wrapText="1"/>
    </xf>
    <xf numFmtId="0" fontId="1498" fillId="1495" borderId="1481" xfId="0" applyFont="1" applyFill="1" applyBorder="1" applyAlignment="1">
      <alignment horizontal="left" vertical="top" wrapText="1"/>
    </xf>
    <xf numFmtId="0" fontId="1499" fillId="1496" borderId="1482" xfId="0" applyFont="1" applyFill="1" applyBorder="1" applyAlignment="1">
      <alignment horizontal="left" vertical="top" wrapText="1"/>
    </xf>
    <xf numFmtId="0" fontId="1500" fillId="1497" borderId="1483" xfId="0" applyFont="1" applyFill="1" applyBorder="1" applyAlignment="1">
      <alignment wrapText="1"/>
    </xf>
    <xf numFmtId="0" fontId="1501" fillId="1498" borderId="1484" xfId="0" applyFont="1" applyFill="1" applyBorder="1" applyAlignment="1">
      <alignment wrapText="1"/>
    </xf>
    <xf numFmtId="0" fontId="1502" fillId="1499" borderId="1485" xfId="0" applyFont="1" applyFill="1" applyBorder="1" applyAlignment="1">
      <alignment wrapText="1"/>
    </xf>
    <xf numFmtId="0" fontId="1503" fillId="1500" borderId="1486" xfId="0" applyFont="1" applyFill="1" applyBorder="1" applyAlignment="1">
      <alignment wrapText="1"/>
    </xf>
    <xf numFmtId="0" fontId="1504" fillId="1501" borderId="1487" xfId="0" applyFont="1" applyFill="1" applyBorder="1" applyAlignment="1">
      <alignment wrapText="1"/>
    </xf>
    <xf numFmtId="0" fontId="1505" fillId="1502" borderId="1488" xfId="0" applyFont="1" applyFill="1" applyBorder="1" applyAlignment="1">
      <alignment wrapText="1"/>
    </xf>
    <xf numFmtId="0" fontId="1506" fillId="1503" borderId="1489" xfId="0" applyFont="1" applyFill="1" applyBorder="1" applyAlignment="1">
      <alignment vertical="top"/>
    </xf>
    <xf numFmtId="0" fontId="1507" fillId="1504" borderId="1490" xfId="0" applyFont="1" applyFill="1" applyBorder="1" applyAlignment="1">
      <alignment vertical="top"/>
    </xf>
    <xf numFmtId="0" fontId="1508" fillId="1505" borderId="1491" xfId="0" applyFont="1" applyFill="1" applyBorder="1" applyAlignment="1">
      <alignment wrapText="1"/>
    </xf>
    <xf numFmtId="0" fontId="1509" fillId="1506" borderId="1492" xfId="0" applyFont="1" applyFill="1" applyBorder="1" applyAlignment="1">
      <alignment wrapText="1"/>
    </xf>
    <xf numFmtId="0" fontId="1510" fillId="1507" borderId="1493" xfId="0" applyFont="1" applyFill="1" applyBorder="1" applyAlignment="1">
      <alignment horizontal="left" vertical="top"/>
    </xf>
    <xf numFmtId="0" fontId="1511" fillId="1508" borderId="1494" xfId="0" applyFont="1" applyFill="1" applyBorder="1" applyAlignment="1">
      <alignment horizontal="left" vertical="top"/>
    </xf>
    <xf numFmtId="0" fontId="1512" fillId="1509" borderId="1495" xfId="0" applyFont="1" applyFill="1" applyBorder="1" applyAlignment="1">
      <alignment wrapText="1"/>
    </xf>
    <xf numFmtId="0" fontId="1513" fillId="1510" borderId="1496" xfId="0" applyFont="1" applyFill="1" applyBorder="1" applyAlignment="1">
      <alignment wrapText="1"/>
    </xf>
    <xf numFmtId="0" fontId="1514" fillId="1511" borderId="1497" xfId="0" applyFont="1" applyFill="1" applyBorder="1" applyAlignment="1">
      <alignment wrapText="1"/>
    </xf>
    <xf numFmtId="0" fontId="1515" fillId="1512" borderId="1498" xfId="0" applyFont="1" applyFill="1" applyBorder="1" applyAlignment="1">
      <alignment wrapText="1"/>
    </xf>
    <xf numFmtId="0" fontId="1516" fillId="1513" borderId="1499" xfId="0" applyFont="1" applyFill="1" applyBorder="1" applyAlignment="1">
      <alignment wrapText="1"/>
    </xf>
    <xf numFmtId="0" fontId="1517" fillId="1514" borderId="1500" xfId="0" applyFont="1" applyFill="1" applyBorder="1" applyAlignment="1">
      <alignment wrapText="1"/>
    </xf>
    <xf numFmtId="0" fontId="1518" fillId="1515" borderId="1501" xfId="0" applyFont="1" applyFill="1" applyBorder="1" applyAlignment="1">
      <alignment wrapText="1"/>
    </xf>
    <xf numFmtId="0" fontId="1519" fillId="1516" borderId="1502" xfId="0" applyFont="1" applyFill="1" applyBorder="1" applyAlignment="1">
      <alignment wrapText="1"/>
    </xf>
    <xf numFmtId="0" fontId="1520" fillId="1517" borderId="1503" xfId="0" applyFont="1" applyFill="1" applyBorder="1" applyAlignment="1">
      <alignment horizontal="left" vertical="top"/>
    </xf>
    <xf numFmtId="0" fontId="1521" fillId="1518" borderId="1504" xfId="0" applyFont="1" applyFill="1" applyBorder="1" applyAlignment="1">
      <alignment horizontal="left" vertical="top"/>
    </xf>
    <xf numFmtId="0" fontId="1522" fillId="1519" borderId="1505" xfId="0" applyFont="1" applyFill="1" applyBorder="1" applyAlignment="1">
      <alignment wrapText="1"/>
    </xf>
    <xf numFmtId="0" fontId="1523" fillId="1520" borderId="1506" xfId="0" applyFont="1" applyFill="1" applyBorder="1" applyAlignment="1">
      <alignment wrapText="1"/>
    </xf>
    <xf numFmtId="0" fontId="1524" fillId="1521" borderId="1507" xfId="0" applyFont="1" applyFill="1" applyBorder="1" applyAlignment="1">
      <alignment wrapText="1"/>
    </xf>
    <xf numFmtId="0" fontId="1525" fillId="1522" borderId="1508" xfId="0" applyFont="1" applyFill="1" applyBorder="1" applyAlignment="1">
      <alignment wrapText="1"/>
    </xf>
    <xf numFmtId="0" fontId="1526" fillId="1523" borderId="1509" xfId="0" applyFont="1" applyFill="1" applyBorder="1" applyAlignment="1">
      <alignment wrapText="1"/>
    </xf>
    <xf numFmtId="0" fontId="1527" fillId="1524" borderId="1510" xfId="0" applyFont="1" applyFill="1" applyBorder="1" applyAlignment="1">
      <alignment wrapText="1"/>
    </xf>
    <xf numFmtId="0" fontId="1528" fillId="1525" borderId="1511" xfId="0" applyFont="1" applyFill="1" applyBorder="1" applyAlignment="1">
      <alignment vertical="top"/>
    </xf>
    <xf numFmtId="0" fontId="1529" fillId="1526" borderId="1512" xfId="0" applyFont="1" applyFill="1" applyBorder="1" applyAlignment="1">
      <alignment vertical="top"/>
    </xf>
    <xf numFmtId="0" fontId="1530" fillId="1527" borderId="1513" xfId="0" applyFont="1" applyFill="1" applyBorder="1" applyAlignment="1">
      <alignment wrapText="1"/>
    </xf>
    <xf numFmtId="0" fontId="1531" fillId="1528" borderId="1514" xfId="0" applyFont="1" applyFill="1" applyBorder="1" applyAlignment="1">
      <alignment wrapText="1"/>
    </xf>
    <xf numFmtId="0" fontId="1532" fillId="1529" borderId="1515" xfId="0" applyFont="1" applyFill="1" applyBorder="1" applyAlignment="1">
      <alignment vertical="top"/>
    </xf>
    <xf numFmtId="0" fontId="1533" fillId="1530" borderId="1516" xfId="0" applyFont="1" applyFill="1" applyBorder="1" applyAlignment="1">
      <alignment vertical="top"/>
    </xf>
    <xf numFmtId="0" fontId="1534" fillId="1531" borderId="1517" xfId="0" applyFont="1" applyFill="1" applyBorder="1" applyAlignment="1">
      <alignment wrapText="1"/>
    </xf>
    <xf numFmtId="0" fontId="1535" fillId="1532" borderId="1518" xfId="0" applyFont="1" applyFill="1" applyBorder="1" applyAlignment="1">
      <alignment wrapText="1"/>
    </xf>
    <xf numFmtId="0" fontId="1536" fillId="1533" borderId="1519" xfId="0" applyFont="1" applyFill="1" applyBorder="1" applyAlignment="1">
      <alignment horizontal="left" vertical="top"/>
    </xf>
    <xf numFmtId="0" fontId="1537" fillId="1534" borderId="1520" xfId="0" applyFont="1" applyFill="1" applyBorder="1" applyAlignment="1">
      <alignment horizontal="left" vertical="top"/>
    </xf>
    <xf numFmtId="0" fontId="1538" fillId="1535" borderId="1521" xfId="0" applyFont="1" applyFill="1" applyBorder="1" applyAlignment="1">
      <alignment horizontal="left" vertical="top" wrapText="1"/>
    </xf>
    <xf numFmtId="0" fontId="1539" fillId="1536" borderId="1522" xfId="0" applyFont="1" applyFill="1" applyBorder="1" applyAlignment="1">
      <alignment horizontal="left" vertical="top" wrapText="1"/>
    </xf>
    <xf numFmtId="0" fontId="1540" fillId="1537" borderId="1523" xfId="0" applyFont="1" applyFill="1" applyBorder="1" applyAlignment="1">
      <alignment horizontal="left" vertical="top"/>
    </xf>
    <xf numFmtId="0" fontId="1541" fillId="1538" borderId="1524" xfId="0" applyFont="1" applyFill="1" applyBorder="1" applyAlignment="1">
      <alignment horizontal="left" vertical="top"/>
    </xf>
    <xf numFmtId="0" fontId="1542" fillId="1539" borderId="1525" xfId="0" applyFont="1" applyFill="1" applyBorder="1" applyAlignment="1">
      <alignment horizontal="left" vertical="top"/>
    </xf>
    <xf numFmtId="0" fontId="1543" fillId="1540" borderId="1526" xfId="0" applyFont="1" applyFill="1" applyBorder="1" applyAlignment="1">
      <alignment horizontal="left" vertical="top"/>
    </xf>
    <xf numFmtId="0" fontId="1544" fillId="1541" borderId="1527" xfId="0" applyFont="1" applyFill="1" applyBorder="1" applyAlignment="1">
      <alignment wrapText="1"/>
    </xf>
    <xf numFmtId="0" fontId="1545" fillId="1542" borderId="1528" xfId="0" applyFont="1" applyFill="1" applyBorder="1" applyAlignment="1">
      <alignment wrapText="1"/>
    </xf>
    <xf numFmtId="0" fontId="1546" fillId="1543" borderId="1529" xfId="0" applyFont="1" applyFill="1" applyBorder="1" applyAlignment="1">
      <alignment horizontal="left" vertical="top"/>
    </xf>
    <xf numFmtId="0" fontId="1547" fillId="1544" borderId="1530" xfId="0" applyFont="1" applyFill="1" applyBorder="1" applyAlignment="1">
      <alignment horizontal="left" vertical="top"/>
    </xf>
    <xf numFmtId="0" fontId="1548" fillId="1545" borderId="1531" xfId="0" applyFont="1" applyFill="1" applyBorder="1" applyAlignment="1">
      <alignment wrapText="1"/>
    </xf>
    <xf numFmtId="0" fontId="1549" fillId="1546" borderId="1532" xfId="0" applyFont="1" applyFill="1" applyBorder="1" applyAlignment="1">
      <alignment wrapText="1"/>
    </xf>
    <xf numFmtId="0" fontId="1550" fillId="1547" borderId="1533" xfId="0" applyFont="1" applyFill="1" applyBorder="1" applyAlignment="1">
      <alignment horizontal="left" vertical="top"/>
    </xf>
    <xf numFmtId="0" fontId="1551" fillId="1548" borderId="1534" xfId="0" applyFont="1" applyFill="1" applyBorder="1" applyAlignment="1">
      <alignment horizontal="left" vertical="top"/>
    </xf>
    <xf numFmtId="0" fontId="1552" fillId="1549" borderId="1535" xfId="0" applyFont="1" applyFill="1" applyBorder="1" applyAlignment="1">
      <alignment wrapText="1"/>
    </xf>
    <xf numFmtId="0" fontId="1553" fillId="1550" borderId="1536" xfId="0" applyFont="1" applyFill="1" applyBorder="1" applyAlignment="1">
      <alignment wrapText="1"/>
    </xf>
    <xf numFmtId="0" fontId="1554" fillId="1551" borderId="1537" xfId="0" applyFont="1" applyFill="1" applyBorder="1" applyAlignment="1">
      <alignment horizontal="left" vertical="top"/>
    </xf>
    <xf numFmtId="0" fontId="1555" fillId="1552" borderId="1538" xfId="0" applyFont="1" applyFill="1" applyBorder="1" applyAlignment="1">
      <alignment horizontal="left" vertical="top"/>
    </xf>
    <xf numFmtId="0" fontId="1556" fillId="1553" borderId="1539" xfId="0" applyFont="1" applyFill="1" applyBorder="1" applyAlignment="1">
      <alignment vertical="top"/>
    </xf>
    <xf numFmtId="0" fontId="1557" fillId="1554" borderId="1540" xfId="0" applyFont="1" applyFill="1" applyBorder="1" applyAlignment="1">
      <alignment vertical="top"/>
    </xf>
    <xf numFmtId="0" fontId="1558" fillId="1555" borderId="1541" xfId="0" applyFont="1" applyFill="1" applyBorder="1" applyAlignment="1">
      <alignment vertical="top" wrapText="1"/>
    </xf>
    <xf numFmtId="0" fontId="1559" fillId="1556" borderId="1542" xfId="0" applyFont="1" applyFill="1" applyBorder="1" applyAlignment="1">
      <alignment vertical="top" wrapText="1"/>
    </xf>
    <xf numFmtId="0" fontId="1560" fillId="1557" borderId="1543" xfId="0" applyFont="1" applyFill="1" applyBorder="1" applyAlignment="1">
      <alignment horizontal="left" vertical="top"/>
    </xf>
    <xf numFmtId="0" fontId="1561" fillId="1558" borderId="1544" xfId="0" applyFont="1" applyFill="1" applyBorder="1" applyAlignment="1">
      <alignment horizontal="left" vertical="top"/>
    </xf>
    <xf numFmtId="0" fontId="1562" fillId="1559" borderId="1545" xfId="0" applyFont="1" applyFill="1" applyBorder="1" applyAlignment="1">
      <alignment wrapText="1"/>
    </xf>
    <xf numFmtId="0" fontId="1563" fillId="1560" borderId="1546" xfId="0" applyFont="1" applyFill="1" applyBorder="1" applyAlignment="1">
      <alignment horizontal="left" wrapText="1"/>
    </xf>
    <xf numFmtId="0" fontId="1564" fillId="1561" borderId="1547" xfId="0" applyFont="1" applyFill="1" applyBorder="1" applyAlignment="1">
      <alignment wrapText="1"/>
    </xf>
    <xf numFmtId="0" fontId="1565" fillId="1562" borderId="1548" xfId="0" applyFont="1" applyFill="1" applyBorder="1" applyAlignment="1">
      <alignment wrapText="1"/>
    </xf>
    <xf numFmtId="0" fontId="1566" fillId="1563" borderId="1549" xfId="0" applyFont="1" applyFill="1" applyBorder="1" applyAlignment="1">
      <alignment horizontal="left" vertical="top"/>
    </xf>
    <xf numFmtId="0" fontId="1567" fillId="1564" borderId="1550" xfId="0" applyFont="1" applyFill="1" applyBorder="1" applyAlignment="1">
      <alignment horizontal="left" vertical="top"/>
    </xf>
    <xf numFmtId="0" fontId="1568" fillId="1565" borderId="1551" xfId="0" applyFont="1" applyFill="1" applyBorder="1" applyAlignment="1">
      <alignment wrapText="1"/>
    </xf>
    <xf numFmtId="0" fontId="1569" fillId="1566" borderId="1552" xfId="0" applyFont="1" applyFill="1" applyBorder="1" applyAlignment="1">
      <alignment wrapText="1"/>
    </xf>
    <xf numFmtId="0" fontId="1570" fillId="1567" borderId="1553" xfId="0" applyFont="1" applyFill="1" applyBorder="1" applyAlignment="1">
      <alignment wrapText="1"/>
    </xf>
    <xf numFmtId="0" fontId="1571" fillId="1568" borderId="1554" xfId="0" applyFont="1" applyFill="1" applyBorder="1" applyAlignment="1">
      <alignment wrapText="1"/>
    </xf>
    <xf numFmtId="0" fontId="1572" fillId="1569" borderId="1555" xfId="0" applyFont="1" applyFill="1" applyBorder="1" applyAlignment="1">
      <alignment vertical="top" wrapText="1"/>
    </xf>
    <xf numFmtId="0" fontId="1573" fillId="1570" borderId="1556" xfId="0" applyFont="1" applyFill="1" applyBorder="1" applyAlignment="1">
      <alignment vertical="top" wrapText="1"/>
    </xf>
    <xf numFmtId="0" fontId="1574" fillId="1571" borderId="1557" xfId="0" applyFont="1" applyFill="1" applyBorder="1" applyAlignment="1">
      <alignment horizontal="left" wrapText="1"/>
    </xf>
    <xf numFmtId="0" fontId="1575" fillId="1572" borderId="1558" xfId="0" applyFont="1" applyFill="1" applyBorder="1" applyAlignment="1">
      <alignment horizontal="left" wrapText="1"/>
    </xf>
    <xf numFmtId="0" fontId="1576" fillId="1573" borderId="1559" xfId="0" applyFont="1" applyFill="1" applyBorder="1" applyAlignment="1">
      <alignment horizontal="left" wrapText="1"/>
    </xf>
    <xf numFmtId="0" fontId="1577" fillId="1574" borderId="1560" xfId="0" applyFont="1" applyFill="1" applyBorder="1" applyAlignment="1">
      <alignment horizontal="left" wrapText="1"/>
    </xf>
    <xf numFmtId="0" fontId="1578" fillId="1575" borderId="1561" xfId="0" applyFont="1" applyFill="1" applyBorder="1" applyAlignment="1">
      <alignment horizontal="left" vertical="top"/>
    </xf>
    <xf numFmtId="0" fontId="1579" fillId="1576" borderId="1562" xfId="0" applyFont="1" applyFill="1" applyBorder="1" applyAlignment="1">
      <alignment horizontal="left" vertical="top"/>
    </xf>
    <xf numFmtId="0" fontId="1580" fillId="1577" borderId="1563" xfId="0" applyFont="1" applyFill="1" applyBorder="1" applyAlignment="1">
      <alignment horizontal="left" wrapText="1"/>
    </xf>
    <xf numFmtId="0" fontId="1581" fillId="1578" borderId="1564" xfId="0" applyFont="1" applyFill="1" applyBorder="1" applyAlignment="1">
      <alignment horizontal="left" wrapText="1"/>
    </xf>
    <xf numFmtId="0" fontId="1582" fillId="1579" borderId="1565" xfId="0" applyFont="1" applyFill="1" applyBorder="1" applyAlignment="1">
      <alignment horizontal="left" vertical="top"/>
    </xf>
    <xf numFmtId="0" fontId="1583" fillId="1580" borderId="1566" xfId="0" applyFont="1" applyFill="1" applyBorder="1" applyAlignment="1">
      <alignment horizontal="left" vertical="top"/>
    </xf>
    <xf numFmtId="0" fontId="1584" fillId="1581" borderId="1567" xfId="0" applyFont="1" applyFill="1" applyBorder="1" applyAlignment="1">
      <alignment horizontal="left" wrapText="1"/>
    </xf>
    <xf numFmtId="0" fontId="1585" fillId="1582" borderId="1568" xfId="0" applyFont="1" applyFill="1" applyBorder="1" applyAlignment="1">
      <alignment horizontal="left" wrapText="1"/>
    </xf>
    <xf numFmtId="0" fontId="1586" fillId="1583" borderId="1569" xfId="0" applyFont="1" applyFill="1" applyBorder="1" applyAlignment="1">
      <alignment horizontal="left"/>
    </xf>
    <xf numFmtId="0" fontId="1587" fillId="1584" borderId="1570" xfId="0" applyFont="1" applyFill="1" applyBorder="1" applyAlignment="1">
      <alignment horizontal="left"/>
    </xf>
    <xf numFmtId="0" fontId="1588" fillId="1585" borderId="1571" xfId="0" applyFont="1" applyFill="1" applyBorder="1" applyAlignment="1">
      <alignment horizontal="left" wrapText="1"/>
    </xf>
    <xf numFmtId="0" fontId="1589" fillId="1586" borderId="1572" xfId="0" applyFont="1" applyFill="1" applyBorder="1" applyAlignment="1">
      <alignment horizontal="left" wrapText="1"/>
    </xf>
    <xf numFmtId="0" fontId="1590" fillId="1587" borderId="1573" xfId="0" applyFont="1" applyFill="1" applyBorder="1" applyAlignment="1">
      <alignment wrapText="1"/>
    </xf>
    <xf numFmtId="0" fontId="1591" fillId="1588" borderId="1574" xfId="0" applyFont="1" applyFill="1" applyBorder="1" applyAlignment="1">
      <alignment wrapText="1"/>
    </xf>
    <xf numFmtId="0" fontId="1592" fillId="1589" borderId="1575" xfId="0" applyFont="1" applyFill="1" applyBorder="1" applyAlignment="1">
      <alignment horizontal="left" vertical="top"/>
    </xf>
    <xf numFmtId="0" fontId="1593" fillId="1590" borderId="1576" xfId="0" applyFont="1" applyFill="1" applyBorder="1" applyAlignment="1">
      <alignment horizontal="left" vertical="top"/>
    </xf>
    <xf numFmtId="0" fontId="1594" fillId="1591" borderId="1577" xfId="0" applyFont="1" applyFill="1" applyBorder="1" applyAlignment="1">
      <alignment horizontal="left" vertical="top"/>
    </xf>
    <xf numFmtId="0" fontId="1595" fillId="1592" borderId="1578" xfId="0" applyFont="1" applyFill="1" applyBorder="1" applyAlignment="1">
      <alignment horizontal="left" vertical="top"/>
    </xf>
    <xf numFmtId="0" fontId="1596" fillId="1593" borderId="1579" xfId="0" applyFont="1" applyFill="1" applyBorder="1" applyAlignment="1">
      <alignment vertical="top"/>
    </xf>
    <xf numFmtId="0" fontId="1597" fillId="1594" borderId="1580" xfId="0" applyFont="1" applyFill="1" applyBorder="1" applyAlignment="1">
      <alignment vertical="top"/>
    </xf>
    <xf numFmtId="0" fontId="1598" fillId="1595" borderId="1581" xfId="0" applyFont="1" applyFill="1" applyBorder="1" applyAlignment="1">
      <alignment wrapText="1"/>
    </xf>
    <xf numFmtId="0" fontId="1599" fillId="1596" borderId="1582" xfId="0" applyFont="1" applyFill="1" applyBorder="1" applyAlignment="1">
      <alignment wrapText="1"/>
    </xf>
    <xf numFmtId="0" fontId="1600" fillId="1597" borderId="1583" xfId="0" applyFont="1" applyFill="1" applyBorder="1" applyAlignment="1">
      <alignment horizontal="left" vertical="top"/>
    </xf>
    <xf numFmtId="0" fontId="1601" fillId="1598" borderId="1584" xfId="0" applyFont="1" applyFill="1" applyBorder="1" applyAlignment="1">
      <alignment horizontal="left" vertical="top"/>
    </xf>
    <xf numFmtId="0" fontId="1602" fillId="1599" borderId="1585" xfId="0" applyFont="1" applyFill="1" applyBorder="1" applyAlignment="1">
      <alignment horizontal="left" vertical="top"/>
    </xf>
    <xf numFmtId="0" fontId="1603" fillId="1600" borderId="1586" xfId="0" applyFont="1" applyFill="1" applyBorder="1" applyAlignment="1">
      <alignment horizontal="left" vertical="top"/>
    </xf>
    <xf numFmtId="0" fontId="1604" fillId="1601" borderId="1587" xfId="0" applyFont="1" applyFill="1" applyBorder="1" applyAlignment="1">
      <alignment horizontal="left" wrapText="1"/>
    </xf>
    <xf numFmtId="0" fontId="1605" fillId="1602" borderId="1588" xfId="0" applyFont="1" applyFill="1" applyBorder="1" applyAlignment="1">
      <alignment horizontal="left" wrapText="1"/>
    </xf>
    <xf numFmtId="0" fontId="1606" fillId="1603" borderId="1589" xfId="0" applyFont="1" applyFill="1" applyBorder="1" applyAlignment="1">
      <alignment horizontal="left" vertical="top"/>
    </xf>
    <xf numFmtId="0" fontId="1607" fillId="1604" borderId="1590" xfId="0" applyFont="1" applyFill="1" applyBorder="1" applyAlignment="1">
      <alignment horizontal="left" vertical="top"/>
    </xf>
    <xf numFmtId="0" fontId="1608" fillId="1605" borderId="1591" xfId="0" applyFont="1" applyFill="1" applyBorder="1" applyAlignment="1">
      <alignment horizontal="left" wrapText="1"/>
    </xf>
    <xf numFmtId="0" fontId="1609" fillId="1606" borderId="1592" xfId="0" applyFont="1" applyFill="1" applyBorder="1" applyAlignment="1">
      <alignment horizontal="left" wrapText="1"/>
    </xf>
    <xf numFmtId="0" fontId="1610" fillId="1607" borderId="1593" xfId="0" applyFont="1" applyFill="1" applyBorder="1" applyAlignment="1">
      <alignment horizontal="left" wrapText="1"/>
    </xf>
    <xf numFmtId="0" fontId="1611" fillId="1608" borderId="1594" xfId="0" applyFont="1" applyFill="1" applyBorder="1" applyAlignment="1">
      <alignment horizontal="left" wrapText="1"/>
    </xf>
    <xf numFmtId="0" fontId="1612" fillId="1609" borderId="1595" xfId="0" applyFont="1" applyFill="1" applyBorder="1" applyAlignment="1">
      <alignment horizontal="left" wrapText="1"/>
    </xf>
    <xf numFmtId="0" fontId="1613" fillId="1610" borderId="1596" xfId="0" applyFont="1" applyFill="1" applyBorder="1" applyAlignment="1">
      <alignment horizontal="left" wrapText="1"/>
    </xf>
    <xf numFmtId="0" fontId="1614" fillId="1611" borderId="1597" xfId="0" applyFont="1" applyFill="1" applyBorder="1" applyAlignment="1">
      <alignment wrapText="1"/>
    </xf>
    <xf numFmtId="0" fontId="1615" fillId="1612" borderId="1598" xfId="0" applyFont="1" applyFill="1" applyBorder="1" applyAlignment="1">
      <alignment wrapText="1"/>
    </xf>
    <xf numFmtId="0" fontId="1616" fillId="1613" borderId="1599" xfId="0" applyFont="1" applyFill="1" applyBorder="1" applyAlignment="1">
      <alignment horizontal="left" vertical="top" wrapText="1"/>
    </xf>
    <xf numFmtId="0" fontId="1617" fillId="1614" borderId="1600" xfId="0" applyFont="1" applyFill="1" applyBorder="1" applyAlignment="1">
      <alignment horizontal="left" vertical="top" wrapText="1"/>
    </xf>
    <xf numFmtId="0" fontId="1618" fillId="1615" borderId="1601" xfId="0" applyFont="1" applyFill="1" applyBorder="1" applyAlignment="1">
      <alignment horizontal="left" vertical="top"/>
    </xf>
    <xf numFmtId="0" fontId="1619" fillId="1616" borderId="1602" xfId="0" applyFont="1" applyFill="1" applyBorder="1" applyAlignment="1">
      <alignment horizontal="left" vertical="top"/>
    </xf>
    <xf numFmtId="0" fontId="1620" fillId="1617" borderId="1603" xfId="0" applyFont="1" applyFill="1" applyBorder="1" applyAlignment="1">
      <alignment wrapText="1"/>
    </xf>
    <xf numFmtId="0" fontId="1621" fillId="1618" borderId="1604" xfId="0" applyFont="1" applyFill="1" applyBorder="1" applyAlignment="1">
      <alignment wrapText="1"/>
    </xf>
    <xf numFmtId="0" fontId="1622" fillId="1619" borderId="1605" xfId="0" applyFont="1" applyFill="1" applyBorder="1" applyAlignment="1">
      <alignment wrapText="1"/>
    </xf>
    <xf numFmtId="0" fontId="1623" fillId="1620" borderId="1606" xfId="0" applyFont="1" applyFill="1" applyBorder="1" applyAlignment="1">
      <alignment wrapText="1"/>
    </xf>
    <xf numFmtId="0" fontId="1624" fillId="1621" borderId="1607" xfId="0" applyFont="1" applyFill="1" applyBorder="1" applyAlignment="1">
      <alignment wrapText="1"/>
    </xf>
    <xf numFmtId="0" fontId="1625" fillId="1622" borderId="1608" xfId="0" applyFont="1" applyFill="1" applyBorder="1" applyAlignment="1">
      <alignment wrapText="1"/>
    </xf>
    <xf numFmtId="0" fontId="1626" fillId="1623" borderId="1609" xfId="0" applyFont="1" applyFill="1" applyBorder="1" applyAlignment="1">
      <alignment wrapText="1"/>
    </xf>
    <xf numFmtId="0" fontId="1627" fillId="1624" borderId="1610" xfId="0" applyFont="1" applyFill="1" applyBorder="1" applyAlignment="1">
      <alignment wrapText="1"/>
    </xf>
    <xf numFmtId="0" fontId="1628" fillId="1625" borderId="1611" xfId="0" applyFont="1" applyFill="1" applyBorder="1" applyAlignment="1">
      <alignment wrapText="1"/>
    </xf>
    <xf numFmtId="0" fontId="1629" fillId="1626" borderId="1612" xfId="0" applyFont="1" applyFill="1" applyBorder="1" applyAlignment="1">
      <alignment wrapText="1"/>
    </xf>
    <xf numFmtId="0" fontId="1630" fillId="1627" borderId="1613" xfId="0" applyFont="1" applyFill="1" applyBorder="1" applyAlignment="1">
      <alignment wrapText="1"/>
    </xf>
    <xf numFmtId="0" fontId="1631" fillId="1628" borderId="1614" xfId="0" applyFont="1" applyFill="1" applyBorder="1" applyAlignment="1">
      <alignment wrapText="1"/>
    </xf>
    <xf numFmtId="0" fontId="1632" fillId="1629" borderId="1615" xfId="0" applyFont="1" applyFill="1" applyBorder="1" applyAlignment="1">
      <alignment wrapText="1"/>
    </xf>
    <xf numFmtId="0" fontId="1633" fillId="1630" borderId="1616" xfId="0" applyFont="1" applyFill="1" applyBorder="1" applyAlignment="1">
      <alignment wrapText="1"/>
    </xf>
    <xf numFmtId="0" fontId="1634" fillId="1631" borderId="1617" xfId="0" applyFont="1" applyFill="1" applyBorder="1" applyAlignment="1">
      <alignment horizontal="left" vertical="top" wrapText="1"/>
    </xf>
    <xf numFmtId="0" fontId="1635" fillId="1632" borderId="1618" xfId="0" applyFont="1" applyFill="1" applyBorder="1" applyAlignment="1">
      <alignment horizontal="left" vertical="top" wrapText="1"/>
    </xf>
    <xf numFmtId="0" fontId="1636" fillId="1633" borderId="1619" xfId="0" applyFont="1" applyFill="1" applyBorder="1" applyAlignment="1">
      <alignment wrapText="1"/>
    </xf>
    <xf numFmtId="0" fontId="1637" fillId="1634" borderId="1620" xfId="0" applyFont="1" applyFill="1" applyBorder="1" applyAlignment="1">
      <alignment wrapText="1"/>
    </xf>
    <xf numFmtId="0" fontId="1638" fillId="1635" borderId="1621" xfId="0" applyFont="1" applyFill="1" applyBorder="1" applyAlignment="1">
      <alignment wrapText="1"/>
    </xf>
    <xf numFmtId="0" fontId="1639" fillId="1637" borderId="1623" xfId="0" applyFont="1" applyFill="1" applyBorder="1" applyAlignment="1">
      <alignment wrapText="1"/>
    </xf>
    <xf numFmtId="0" fontId="1640" fillId="1638" borderId="1624" xfId="0" applyFont="1" applyFill="1" applyBorder="1" applyAlignment="1">
      <alignment wrapText="1"/>
    </xf>
    <xf numFmtId="0" fontId="1641" fillId="1639" borderId="1625" xfId="0" applyFont="1" applyFill="1" applyBorder="1" applyAlignment="1">
      <alignment wrapText="1"/>
    </xf>
    <xf numFmtId="0" fontId="1642" fillId="1640" borderId="1626" xfId="0" applyFont="1" applyFill="1" applyBorder="1" applyAlignment="1">
      <alignment wrapText="1"/>
    </xf>
    <xf numFmtId="0" fontId="1643" fillId="1641" borderId="1627" xfId="0" applyFont="1" applyFill="1" applyBorder="1" applyAlignment="1">
      <alignment wrapText="1"/>
    </xf>
    <xf numFmtId="0" fontId="1644" fillId="1642" borderId="1628" xfId="0" applyFont="1" applyFill="1" applyBorder="1" applyAlignment="1">
      <alignment wrapText="1"/>
    </xf>
    <xf numFmtId="0" fontId="1645" fillId="1643" borderId="1629" xfId="0" applyFont="1" applyFill="1" applyBorder="1" applyAlignment="1">
      <alignment wrapText="1"/>
    </xf>
    <xf numFmtId="0" fontId="1646" fillId="1644" borderId="1630" xfId="0" applyFont="1" applyFill="1" applyBorder="1" applyAlignment="1">
      <alignment wrapText="1"/>
    </xf>
    <xf numFmtId="0" fontId="1647" fillId="1645" borderId="1631" xfId="0" applyFont="1" applyFill="1" applyBorder="1" applyAlignment="1">
      <alignment wrapText="1"/>
    </xf>
    <xf numFmtId="0" fontId="1648" fillId="1646" borderId="1632" xfId="0" applyFont="1" applyFill="1" applyBorder="1" applyAlignment="1">
      <alignment wrapText="1"/>
    </xf>
    <xf numFmtId="0" fontId="1649" fillId="1647" borderId="1633" xfId="0" applyFont="1" applyFill="1" applyBorder="1" applyAlignment="1">
      <alignment wrapText="1"/>
    </xf>
    <xf numFmtId="0" fontId="1650" fillId="1648" borderId="1634" xfId="0" applyFont="1" applyFill="1" applyBorder="1" applyAlignment="1">
      <alignment wrapText="1"/>
    </xf>
    <xf numFmtId="0" fontId="1651" fillId="1649" borderId="1635" xfId="0" applyFont="1" applyFill="1" applyBorder="1" applyAlignment="1">
      <alignment wrapText="1"/>
    </xf>
    <xf numFmtId="0" fontId="1652" fillId="1650" borderId="1636" xfId="0" applyFont="1" applyFill="1" applyBorder="1" applyAlignment="1">
      <alignment wrapText="1"/>
    </xf>
    <xf numFmtId="0" fontId="1653" fillId="1651" borderId="1637" xfId="0" applyFont="1" applyFill="1" applyBorder="1" applyAlignment="1">
      <alignment wrapText="1"/>
    </xf>
    <xf numFmtId="0" fontId="1654" fillId="1652" borderId="1638" xfId="0" applyFont="1" applyFill="1" applyBorder="1" applyAlignment="1">
      <alignment wrapText="1"/>
    </xf>
    <xf numFmtId="0" fontId="1655" fillId="1653" borderId="1639" xfId="0" applyFont="1" applyFill="1" applyBorder="1" applyAlignment="1">
      <alignment wrapText="1"/>
    </xf>
    <xf numFmtId="0" fontId="1656" fillId="1654" borderId="1640" xfId="0" applyFont="1" applyFill="1" applyBorder="1" applyAlignment="1">
      <alignment wrapText="1"/>
    </xf>
    <xf numFmtId="0" fontId="1657" fillId="1655" borderId="1641" xfId="0" applyFont="1" applyFill="1" applyBorder="1" applyAlignment="1">
      <alignment horizontal="left" vertical="top"/>
    </xf>
    <xf numFmtId="0" fontId="1658" fillId="1656" borderId="1642" xfId="0" applyFont="1" applyFill="1" applyBorder="1" applyAlignment="1">
      <alignment horizontal="left" vertical="top"/>
    </xf>
    <xf numFmtId="0" fontId="1659" fillId="1657" borderId="1643" xfId="0" applyFont="1" applyFill="1" applyBorder="1" applyAlignment="1">
      <alignment wrapText="1"/>
    </xf>
    <xf numFmtId="0" fontId="1660" fillId="1658" borderId="1644" xfId="0" applyFont="1" applyFill="1" applyBorder="1" applyAlignment="1">
      <alignment wrapText="1"/>
    </xf>
    <xf numFmtId="0" fontId="1661" fillId="1659" borderId="1645" xfId="0" applyFont="1" applyFill="1" applyBorder="1" applyAlignment="1">
      <alignment horizontal="left" vertical="top"/>
    </xf>
    <xf numFmtId="0" fontId="1662" fillId="1660" borderId="1646" xfId="0" applyFont="1" applyFill="1" applyBorder="1" applyAlignment="1">
      <alignment horizontal="left" vertical="top"/>
    </xf>
    <xf numFmtId="0" fontId="1663" fillId="1661" borderId="1647" xfId="0" applyFont="1" applyFill="1" applyBorder="1" applyAlignment="1">
      <alignment wrapText="1"/>
    </xf>
    <xf numFmtId="0" fontId="1664" fillId="1662" borderId="1648" xfId="0" applyFont="1" applyFill="1" applyBorder="1" applyAlignment="1">
      <alignment wrapText="1"/>
    </xf>
    <xf numFmtId="0" fontId="1665" fillId="1663" borderId="1649" xfId="0" applyFont="1" applyFill="1" applyBorder="1" applyAlignment="1">
      <alignment horizontal="left" vertical="top"/>
    </xf>
    <xf numFmtId="0" fontId="1666" fillId="1664" borderId="1650" xfId="0" applyFont="1" applyFill="1" applyBorder="1" applyAlignment="1">
      <alignment horizontal="left" vertical="top"/>
    </xf>
    <xf numFmtId="0" fontId="1667" fillId="1665" borderId="1651" xfId="0" applyFont="1" applyFill="1" applyBorder="1" applyAlignment="1">
      <alignment wrapText="1"/>
    </xf>
    <xf numFmtId="0" fontId="1668" fillId="1666" borderId="1652" xfId="0" applyFont="1" applyFill="1" applyBorder="1" applyAlignment="1">
      <alignment wrapText="1"/>
    </xf>
    <xf numFmtId="0" fontId="1669" fillId="1667" borderId="1653" xfId="0" applyFont="1" applyFill="1" applyBorder="1" applyAlignment="1">
      <alignment horizontal="left" vertical="top"/>
    </xf>
    <xf numFmtId="0" fontId="1670" fillId="1668" borderId="1654" xfId="0" applyFont="1" applyFill="1" applyBorder="1" applyAlignment="1">
      <alignment horizontal="left" vertical="top"/>
    </xf>
    <xf numFmtId="0" fontId="1671" fillId="1669" borderId="1655" xfId="0" applyFont="1" applyFill="1" applyBorder="1" applyAlignment="1">
      <alignment wrapText="1"/>
    </xf>
    <xf numFmtId="0" fontId="1672" fillId="1670" borderId="1656" xfId="0" applyFont="1" applyFill="1" applyBorder="1" applyAlignment="1">
      <alignment wrapText="1"/>
    </xf>
    <xf numFmtId="0" fontId="1673" fillId="1671" borderId="1657" xfId="0" applyFont="1" applyFill="1" applyBorder="1" applyAlignment="1">
      <alignment wrapText="1"/>
    </xf>
    <xf numFmtId="0" fontId="1674" fillId="1672" borderId="1658" xfId="0" applyFont="1" applyFill="1" applyBorder="1" applyAlignment="1">
      <alignment wrapText="1"/>
    </xf>
    <xf numFmtId="0" fontId="1675" fillId="1673" borderId="1659" xfId="0" applyFont="1" applyFill="1" applyBorder="1" applyAlignment="1">
      <alignment wrapText="1"/>
    </xf>
    <xf numFmtId="0" fontId="1676" fillId="1674" borderId="1660" xfId="0" applyFont="1" applyFill="1" applyBorder="1" applyAlignment="1">
      <alignment wrapText="1"/>
    </xf>
    <xf numFmtId="0" fontId="1677" fillId="1675" borderId="1661" xfId="0" applyFont="1" applyFill="1" applyBorder="1" applyAlignment="1">
      <alignment wrapText="1"/>
    </xf>
    <xf numFmtId="0" fontId="1678" fillId="1676" borderId="1662" xfId="0" applyFont="1" applyFill="1" applyBorder="1" applyAlignment="1">
      <alignment wrapText="1"/>
    </xf>
    <xf numFmtId="0" fontId="1679" fillId="1677" borderId="1663" xfId="0" applyFont="1" applyFill="1" applyBorder="1" applyAlignment="1">
      <alignment horizontal="left" vertical="top" wrapText="1"/>
    </xf>
    <xf numFmtId="0" fontId="1680" fillId="1678" borderId="1664" xfId="0" applyFont="1" applyFill="1" applyBorder="1" applyAlignment="1">
      <alignment horizontal="left" vertical="top" wrapText="1"/>
    </xf>
    <xf numFmtId="0" fontId="1681" fillId="1679" borderId="1665" xfId="0" applyFont="1" applyFill="1" applyBorder="1" applyAlignment="1">
      <alignment wrapText="1"/>
    </xf>
    <xf numFmtId="0" fontId="1682" fillId="1680" borderId="1666" xfId="0" applyFont="1" applyFill="1" applyBorder="1" applyAlignment="1">
      <alignment wrapText="1"/>
    </xf>
    <xf numFmtId="0" fontId="1683" fillId="1681" borderId="1667" xfId="0" applyFont="1" applyFill="1" applyBorder="1" applyAlignment="1">
      <alignment wrapText="1"/>
    </xf>
    <xf numFmtId="0" fontId="1684" fillId="1682" borderId="1668" xfId="0" applyFont="1" applyFill="1" applyBorder="1" applyAlignment="1">
      <alignment wrapText="1"/>
    </xf>
    <xf numFmtId="0" fontId="1685" fillId="1683" borderId="1669" xfId="0" applyFont="1" applyFill="1" applyBorder="1" applyAlignment="1">
      <alignment wrapText="1"/>
    </xf>
    <xf numFmtId="0" fontId="1686" fillId="1684" borderId="1670" xfId="0" applyFont="1" applyFill="1" applyBorder="1" applyAlignment="1">
      <alignment wrapText="1"/>
    </xf>
    <xf numFmtId="0" fontId="1687" fillId="1685" borderId="1671" xfId="0" applyFont="1" applyFill="1" applyBorder="1" applyAlignment="1">
      <alignment wrapText="1"/>
    </xf>
    <xf numFmtId="0" fontId="1688" fillId="1686" borderId="1672" xfId="0" applyFont="1" applyFill="1" applyBorder="1" applyAlignment="1">
      <alignment wrapText="1"/>
    </xf>
    <xf numFmtId="0" fontId="1689" fillId="1687" borderId="1673" xfId="0" applyFont="1" applyFill="1" applyBorder="1" applyAlignment="1">
      <alignment wrapText="1"/>
    </xf>
    <xf numFmtId="0" fontId="1690" fillId="1688" borderId="1674" xfId="0" applyFont="1" applyFill="1" applyBorder="1" applyAlignment="1">
      <alignment wrapText="1"/>
    </xf>
    <xf numFmtId="0" fontId="1691" fillId="1689" borderId="1675" xfId="0" applyFont="1" applyFill="1" applyBorder="1" applyAlignment="1">
      <alignment wrapText="1"/>
    </xf>
    <xf numFmtId="0" fontId="1692" fillId="1690" borderId="1676" xfId="0" applyFont="1" applyFill="1" applyBorder="1" applyAlignment="1">
      <alignment wrapText="1"/>
    </xf>
    <xf numFmtId="0" fontId="1693" fillId="1691" borderId="1677" xfId="0" applyFont="1" applyFill="1" applyBorder="1" applyAlignment="1">
      <alignment wrapText="1"/>
    </xf>
    <xf numFmtId="0" fontId="1694" fillId="1692" borderId="1678" xfId="0" applyFont="1" applyFill="1" applyBorder="1" applyAlignment="1">
      <alignment wrapText="1"/>
    </xf>
    <xf numFmtId="0" fontId="1695" fillId="1693" borderId="1679" xfId="0" applyFont="1" applyFill="1" applyBorder="1" applyAlignment="1">
      <alignment wrapText="1"/>
    </xf>
    <xf numFmtId="0" fontId="1696" fillId="1694" borderId="1680" xfId="0" applyFont="1" applyFill="1" applyBorder="1" applyAlignment="1">
      <alignment wrapText="1"/>
    </xf>
    <xf numFmtId="0" fontId="1697" fillId="1695" borderId="1681" xfId="0" applyFont="1" applyFill="1" applyBorder="1" applyAlignment="1">
      <alignment horizontal="left" vertical="top"/>
    </xf>
    <xf numFmtId="0" fontId="1698" fillId="1696" borderId="1682" xfId="0" applyFont="1" applyFill="1" applyBorder="1" applyAlignment="1">
      <alignment horizontal="left" vertical="top"/>
    </xf>
    <xf numFmtId="0" fontId="1699" fillId="1697" borderId="1683" xfId="0" applyFont="1" applyFill="1" applyBorder="1" applyAlignment="1">
      <alignment wrapText="1"/>
    </xf>
    <xf numFmtId="0" fontId="1700" fillId="1698" borderId="1684" xfId="0" applyFont="1" applyFill="1" applyBorder="1" applyAlignment="1">
      <alignment wrapText="1"/>
    </xf>
    <xf numFmtId="0" fontId="1701" fillId="1699" borderId="1685" xfId="0" applyFont="1" applyFill="1" applyBorder="1" applyAlignment="1">
      <alignment wrapText="1"/>
    </xf>
    <xf numFmtId="0" fontId="1702" fillId="1700" borderId="1686" xfId="0" applyFont="1" applyFill="1" applyBorder="1" applyAlignment="1">
      <alignment wrapText="1"/>
    </xf>
    <xf numFmtId="0" fontId="1703" fillId="1701" borderId="1687" xfId="0" applyFont="1" applyFill="1" applyBorder="1" applyAlignment="1">
      <alignment wrapText="1"/>
    </xf>
    <xf numFmtId="0" fontId="1704" fillId="1702" borderId="1688" xfId="0" applyFont="1" applyFill="1" applyBorder="1" applyAlignment="1">
      <alignment wrapText="1"/>
    </xf>
    <xf numFmtId="0" fontId="1705" fillId="1703" borderId="1689" xfId="0" applyFont="1" applyFill="1" applyBorder="1" applyAlignment="1">
      <alignment wrapText="1"/>
    </xf>
    <xf numFmtId="0" fontId="1706" fillId="1704" borderId="1690" xfId="0" applyFont="1" applyFill="1" applyBorder="1" applyAlignment="1">
      <alignment wrapText="1"/>
    </xf>
    <xf numFmtId="0" fontId="1707" fillId="1705" borderId="1691" xfId="0" applyFont="1" applyFill="1" applyBorder="1" applyAlignment="1">
      <alignment wrapText="1"/>
    </xf>
    <xf numFmtId="0" fontId="1708" fillId="1706" borderId="1692" xfId="0" applyFont="1" applyFill="1" applyBorder="1" applyAlignment="1">
      <alignment wrapText="1"/>
    </xf>
    <xf numFmtId="0" fontId="1709" fillId="1707" borderId="1693" xfId="0" applyFont="1" applyFill="1" applyBorder="1" applyAlignment="1">
      <alignment horizontal="left" vertical="top" wrapText="1"/>
    </xf>
    <xf numFmtId="0" fontId="1710" fillId="1708" borderId="1694" xfId="0" applyFont="1" applyFill="1" applyBorder="1" applyAlignment="1">
      <alignment horizontal="left" vertical="top" wrapText="1"/>
    </xf>
    <xf numFmtId="0" fontId="1711" fillId="1709" borderId="1695" xfId="0" applyFont="1" applyFill="1" applyBorder="1" applyAlignment="1">
      <alignment horizontal="left" vertical="top"/>
    </xf>
    <xf numFmtId="0" fontId="1712" fillId="1710" borderId="1696" xfId="0" applyFont="1" applyFill="1" applyBorder="1" applyAlignment="1">
      <alignment horizontal="left" vertical="top"/>
    </xf>
    <xf numFmtId="0" fontId="1713" fillId="1711" borderId="1697" xfId="0" applyFont="1" applyFill="1" applyBorder="1" applyAlignment="1">
      <alignment wrapText="1"/>
    </xf>
    <xf numFmtId="0" fontId="1714" fillId="1712" borderId="1698" xfId="0" applyFont="1" applyFill="1" applyBorder="1" applyAlignment="1">
      <alignment wrapText="1"/>
    </xf>
    <xf numFmtId="0" fontId="1715" fillId="1713" borderId="1699" xfId="0" applyFont="1" applyFill="1" applyBorder="1" applyAlignment="1">
      <alignment wrapText="1"/>
    </xf>
    <xf numFmtId="0" fontId="1716" fillId="1714" borderId="1700" xfId="0" applyFont="1" applyFill="1" applyBorder="1" applyAlignment="1">
      <alignment wrapText="1"/>
    </xf>
    <xf numFmtId="0" fontId="1717" fillId="1715" borderId="1701" xfId="0" applyFont="1" applyFill="1" applyBorder="1" applyAlignment="1">
      <alignment horizontal="left" vertical="top"/>
    </xf>
    <xf numFmtId="0" fontId="1718" fillId="1716" borderId="1702" xfId="0" applyFont="1" applyFill="1" applyBorder="1" applyAlignment="1">
      <alignment horizontal="left" vertical="top"/>
    </xf>
    <xf numFmtId="0" fontId="1719" fillId="1717" borderId="1703" xfId="0" applyFont="1" applyFill="1" applyBorder="1" applyAlignment="1">
      <alignment wrapText="1"/>
    </xf>
    <xf numFmtId="0" fontId="1720" fillId="1718" borderId="1704" xfId="0" applyFont="1" applyFill="1" applyBorder="1" applyAlignment="1">
      <alignment wrapText="1"/>
    </xf>
    <xf numFmtId="0" fontId="1721" fillId="1719" borderId="1705" xfId="0" applyFont="1" applyFill="1" applyBorder="1" applyAlignment="1">
      <alignment horizontal="left" vertical="top"/>
    </xf>
    <xf numFmtId="0" fontId="1722" fillId="1720" borderId="1706" xfId="0" applyFont="1" applyFill="1" applyBorder="1" applyAlignment="1">
      <alignment horizontal="left" vertical="top"/>
    </xf>
    <xf numFmtId="0" fontId="1723" fillId="1721" borderId="1707" xfId="0" applyFont="1" applyFill="1" applyBorder="1" applyAlignment="1">
      <alignment vertical="top"/>
    </xf>
    <xf numFmtId="0" fontId="1724" fillId="1722" borderId="1708" xfId="0" applyFont="1" applyFill="1" applyBorder="1" applyAlignment="1">
      <alignment vertical="top"/>
    </xf>
    <xf numFmtId="0" fontId="1725" fillId="1723" borderId="1709" xfId="0" applyFont="1" applyFill="1" applyBorder="1" applyAlignment="1">
      <alignment vertical="top" wrapText="1"/>
    </xf>
    <xf numFmtId="0" fontId="1726" fillId="1724" borderId="1710" xfId="0" applyFont="1" applyFill="1" applyBorder="1" applyAlignment="1">
      <alignment vertical="top" wrapText="1"/>
    </xf>
    <xf numFmtId="0" fontId="1727" fillId="1725" borderId="1711" xfId="0" applyFont="1" applyFill="1" applyBorder="1" applyAlignment="1">
      <alignment wrapText="1"/>
    </xf>
    <xf numFmtId="0" fontId="1728" fillId="1726" borderId="1712" xfId="0" applyFont="1" applyFill="1" applyBorder="1" applyAlignment="1">
      <alignment horizontal="left" wrapText="1"/>
    </xf>
    <xf numFmtId="0" fontId="1729" fillId="1727" borderId="1713" xfId="0" applyFont="1" applyFill="1" applyBorder="1" applyAlignment="1">
      <alignment wrapText="1"/>
    </xf>
    <xf numFmtId="0" fontId="1730" fillId="1728" borderId="1714" xfId="0" applyFont="1" applyFill="1" applyBorder="1" applyAlignment="1">
      <alignment wrapText="1"/>
    </xf>
    <xf numFmtId="0" fontId="1731" fillId="1729" borderId="1715" xfId="0" applyFont="1" applyFill="1" applyBorder="1" applyAlignment="1">
      <alignment horizontal="left" vertical="top"/>
    </xf>
    <xf numFmtId="0" fontId="1732" fillId="1730" borderId="1716" xfId="0" applyFont="1" applyFill="1" applyBorder="1" applyAlignment="1">
      <alignment horizontal="left" vertical="top"/>
    </xf>
    <xf numFmtId="0" fontId="1733" fillId="1731" borderId="1717" xfId="0" applyFont="1" applyFill="1" applyBorder="1" applyAlignment="1">
      <alignment wrapText="1"/>
    </xf>
    <xf numFmtId="0" fontId="1734" fillId="1732" borderId="1718" xfId="0" applyFont="1" applyFill="1" applyBorder="1" applyAlignment="1">
      <alignment wrapText="1"/>
    </xf>
    <xf numFmtId="0" fontId="1735" fillId="1733" borderId="1719" xfId="0" applyFont="1" applyFill="1" applyBorder="1" applyAlignment="1">
      <alignment wrapText="1"/>
    </xf>
    <xf numFmtId="0" fontId="1736" fillId="1734" borderId="1720" xfId="0" applyFont="1" applyFill="1" applyBorder="1" applyAlignment="1">
      <alignment wrapText="1"/>
    </xf>
    <xf numFmtId="0" fontId="1737" fillId="1735" borderId="1721" xfId="0" applyFont="1" applyFill="1" applyBorder="1" applyAlignment="1">
      <alignment vertical="top" wrapText="1"/>
    </xf>
    <xf numFmtId="0" fontId="1738" fillId="1736" borderId="1722" xfId="0" applyFont="1" applyFill="1" applyBorder="1" applyAlignment="1">
      <alignment vertical="top" wrapText="1"/>
    </xf>
    <xf numFmtId="0" fontId="1739" fillId="1737" borderId="1723" xfId="0" applyFont="1" applyFill="1" applyBorder="1" applyAlignment="1">
      <alignment horizontal="left" wrapText="1"/>
    </xf>
    <xf numFmtId="0" fontId="1740" fillId="1738" borderId="1724" xfId="0" applyFont="1" applyFill="1" applyBorder="1" applyAlignment="1">
      <alignment horizontal="left" wrapText="1"/>
    </xf>
    <xf numFmtId="0" fontId="1741" fillId="1739" borderId="1725" xfId="0" applyFont="1" applyFill="1" applyBorder="1" applyAlignment="1">
      <alignment horizontal="left" wrapText="1"/>
    </xf>
    <xf numFmtId="0" fontId="1742" fillId="1740" borderId="1726" xfId="0" applyFont="1" applyFill="1" applyBorder="1" applyAlignment="1">
      <alignment horizontal="left" wrapText="1"/>
    </xf>
    <xf numFmtId="0" fontId="1743" fillId="1741" borderId="1727" xfId="0" applyFont="1" applyFill="1" applyBorder="1" applyAlignment="1">
      <alignment horizontal="left" vertical="top"/>
    </xf>
    <xf numFmtId="0" fontId="1744" fillId="1742" borderId="1728" xfId="0" applyFont="1" applyFill="1" applyBorder="1" applyAlignment="1">
      <alignment horizontal="left" vertical="top"/>
    </xf>
    <xf numFmtId="0" fontId="1745" fillId="1743" borderId="1729" xfId="0" applyFont="1" applyFill="1" applyBorder="1" applyAlignment="1">
      <alignment horizontal="left" wrapText="1"/>
    </xf>
    <xf numFmtId="0" fontId="1746" fillId="1744" borderId="1730" xfId="0" applyFont="1" applyFill="1" applyBorder="1" applyAlignment="1">
      <alignment horizontal="left" wrapText="1"/>
    </xf>
    <xf numFmtId="0" fontId="1747" fillId="1745" borderId="1731" xfId="0" applyFont="1" applyFill="1" applyBorder="1" applyAlignment="1">
      <alignment horizontal="left" wrapText="1"/>
    </xf>
    <xf numFmtId="0" fontId="1748" fillId="1746" borderId="1732" xfId="0" applyFont="1" applyFill="1" applyBorder="1" applyAlignment="1">
      <alignment horizontal="left" wrapText="1"/>
    </xf>
    <xf numFmtId="0" fontId="1749" fillId="1747" borderId="1733" xfId="0" applyFont="1" applyFill="1" applyBorder="1" applyAlignment="1">
      <alignment horizontal="left"/>
    </xf>
    <xf numFmtId="0" fontId="1750" fillId="1748" borderId="1734" xfId="0" applyFont="1" applyFill="1" applyBorder="1" applyAlignment="1">
      <alignment horizontal="left"/>
    </xf>
    <xf numFmtId="0" fontId="1751" fillId="1749" borderId="1735" xfId="0" applyFont="1" applyFill="1" applyBorder="1" applyAlignment="1">
      <alignment horizontal="left" wrapText="1"/>
    </xf>
    <xf numFmtId="0" fontId="1752" fillId="1750" borderId="1736" xfId="0" applyFont="1" applyFill="1" applyBorder="1" applyAlignment="1">
      <alignment horizontal="left" wrapText="1"/>
    </xf>
    <xf numFmtId="0" fontId="1753" fillId="1751" borderId="1737" xfId="0" applyFont="1" applyFill="1" applyBorder="1" applyAlignment="1">
      <alignment wrapText="1"/>
    </xf>
    <xf numFmtId="0" fontId="1754" fillId="1752" borderId="1738" xfId="0" applyFont="1" applyFill="1" applyBorder="1" applyAlignment="1">
      <alignment wrapText="1"/>
    </xf>
    <xf numFmtId="0" fontId="1755" fillId="1753" borderId="1739" xfId="0" applyFont="1" applyFill="1" applyBorder="1" applyAlignment="1">
      <alignment horizontal="left" vertical="top"/>
    </xf>
    <xf numFmtId="0" fontId="1756" fillId="1754" borderId="1740" xfId="0" applyFont="1" applyFill="1" applyBorder="1" applyAlignment="1">
      <alignment horizontal="left" vertical="top"/>
    </xf>
    <xf numFmtId="0" fontId="1757" fillId="1755" borderId="1741" xfId="0" applyFont="1" applyFill="1" applyBorder="1" applyAlignment="1">
      <alignment horizontal="left" vertical="top"/>
    </xf>
    <xf numFmtId="0" fontId="1758" fillId="1756" borderId="1742" xfId="0" applyFont="1" applyFill="1" applyBorder="1" applyAlignment="1">
      <alignment horizontal="left" vertical="top"/>
    </xf>
    <xf numFmtId="0" fontId="1759" fillId="1757" borderId="1743" xfId="0" applyFont="1" applyFill="1" applyBorder="1" applyAlignment="1">
      <alignment vertical="top"/>
    </xf>
    <xf numFmtId="0" fontId="1760" fillId="1758" borderId="1744" xfId="0" applyFont="1" applyFill="1" applyBorder="1" applyAlignment="1">
      <alignment vertical="top"/>
    </xf>
    <xf numFmtId="0" fontId="1761" fillId="1759" borderId="1745" xfId="0" applyFont="1" applyFill="1" applyBorder="1" applyAlignment="1">
      <alignment wrapText="1"/>
    </xf>
    <xf numFmtId="0" fontId="1762" fillId="1760" borderId="1746" xfId="0" applyFont="1" applyFill="1" applyBorder="1" applyAlignment="1">
      <alignment wrapText="1"/>
    </xf>
    <xf numFmtId="0" fontId="1763" fillId="1761" borderId="1747" xfId="0" applyFont="1" applyFill="1" applyBorder="1" applyAlignment="1">
      <alignment horizontal="left" vertical="top"/>
    </xf>
    <xf numFmtId="0" fontId="1764" fillId="1762" borderId="1748" xfId="0" applyFont="1" applyFill="1" applyBorder="1" applyAlignment="1">
      <alignment horizontal="left" vertical="top"/>
    </xf>
    <xf numFmtId="0" fontId="1765" fillId="1763" borderId="1749" xfId="0" applyFont="1" applyFill="1" applyBorder="1" applyAlignment="1">
      <alignment horizontal="left" wrapText="1"/>
    </xf>
    <xf numFmtId="0" fontId="1766" fillId="1764" borderId="1750" xfId="0" applyFont="1" applyFill="1" applyBorder="1" applyAlignment="1">
      <alignment horizontal="left" wrapText="1"/>
    </xf>
    <xf numFmtId="0" fontId="1767" fillId="1765" borderId="1751" xfId="0" applyFont="1" applyFill="1" applyBorder="1" applyAlignment="1">
      <alignment horizontal="left" vertical="top"/>
    </xf>
    <xf numFmtId="0" fontId="1768" fillId="1766" borderId="1752" xfId="0" applyFont="1" applyFill="1" applyBorder="1" applyAlignment="1">
      <alignment horizontal="left" vertical="top"/>
    </xf>
    <xf numFmtId="0" fontId="1769" fillId="1767" borderId="1753" xfId="0" applyFont="1" applyFill="1" applyBorder="1" applyAlignment="1">
      <alignment horizontal="left" wrapText="1"/>
    </xf>
    <xf numFmtId="0" fontId="1770" fillId="1768" borderId="1754" xfId="0" applyFont="1" applyFill="1" applyBorder="1" applyAlignment="1">
      <alignment horizontal="left" wrapText="1"/>
    </xf>
    <xf numFmtId="0" fontId="1771" fillId="1769" borderId="1755" xfId="0" applyFont="1" applyFill="1" applyBorder="1" applyAlignment="1">
      <alignment horizontal="left" wrapText="1"/>
    </xf>
    <xf numFmtId="0" fontId="1772" fillId="1770" borderId="1756" xfId="0" applyFont="1" applyFill="1" applyBorder="1" applyAlignment="1">
      <alignment horizontal="left" wrapText="1"/>
    </xf>
    <xf numFmtId="0" fontId="1773" fillId="1771" borderId="1757" xfId="0" applyFont="1" applyFill="1" applyBorder="1" applyAlignment="1">
      <alignment horizontal="left" wrapText="1"/>
    </xf>
    <xf numFmtId="0" fontId="1774" fillId="1772" borderId="1758" xfId="0" applyFont="1" applyFill="1" applyBorder="1" applyAlignment="1">
      <alignment horizontal="left" wrapText="1"/>
    </xf>
    <xf numFmtId="0" fontId="1775" fillId="1773" borderId="1759" xfId="0" applyFont="1" applyFill="1" applyBorder="1" applyAlignment="1">
      <alignment wrapText="1"/>
    </xf>
    <xf numFmtId="0" fontId="1776" fillId="1774" borderId="1760" xfId="0" applyFont="1" applyFill="1" applyBorder="1" applyAlignment="1">
      <alignment wrapText="1"/>
    </xf>
    <xf numFmtId="0" fontId="1777" fillId="1775" borderId="1761" xfId="0" applyFont="1" applyFill="1" applyBorder="1" applyAlignment="1">
      <alignment horizontal="left" vertical="top" wrapText="1"/>
    </xf>
    <xf numFmtId="0" fontId="1778" fillId="1776" borderId="1762" xfId="0" applyFont="1" applyFill="1" applyBorder="1" applyAlignment="1">
      <alignment horizontal="left" vertical="top" wrapText="1"/>
    </xf>
    <xf numFmtId="0" fontId="1779" fillId="1777" borderId="1763" xfId="0" applyFont="1" applyFill="1" applyBorder="1" applyAlignment="1">
      <alignment horizontal="left" vertical="top"/>
    </xf>
    <xf numFmtId="0" fontId="1780" fillId="1778" borderId="1764" xfId="0" applyFont="1" applyFill="1" applyBorder="1" applyAlignment="1">
      <alignment horizontal="left" vertical="top"/>
    </xf>
    <xf numFmtId="0" fontId="1781" fillId="1779" borderId="1765" xfId="0" applyFont="1" applyFill="1" applyBorder="1" applyAlignment="1">
      <alignment wrapText="1"/>
    </xf>
    <xf numFmtId="0" fontId="1782" fillId="1780" borderId="1766" xfId="0" applyFont="1" applyFill="1" applyBorder="1" applyAlignment="1">
      <alignment wrapText="1"/>
    </xf>
    <xf numFmtId="0" fontId="1783" fillId="1781" borderId="1767" xfId="0" applyFont="1" applyFill="1" applyBorder="1" applyAlignment="1">
      <alignment wrapText="1"/>
    </xf>
    <xf numFmtId="0" fontId="1784" fillId="1782" borderId="1768" xfId="0" applyFont="1" applyFill="1" applyBorder="1" applyAlignment="1">
      <alignment wrapText="1"/>
    </xf>
    <xf numFmtId="0" fontId="1785" fillId="1783" borderId="1769" xfId="0" applyFont="1" applyFill="1" applyBorder="1" applyAlignment="1">
      <alignment wrapText="1"/>
    </xf>
    <xf numFmtId="0" fontId="1786" fillId="1784" borderId="1770" xfId="0" applyFont="1" applyFill="1" applyBorder="1" applyAlignment="1">
      <alignment wrapText="1"/>
    </xf>
    <xf numFmtId="0" fontId="1787" fillId="1785" borderId="1771" xfId="0" applyFont="1" applyFill="1" applyBorder="1" applyAlignment="1">
      <alignment wrapText="1"/>
    </xf>
    <xf numFmtId="0" fontId="1788" fillId="1786" borderId="1772" xfId="0" applyFont="1" applyFill="1" applyBorder="1" applyAlignment="1">
      <alignment wrapText="1"/>
    </xf>
    <xf numFmtId="0" fontId="1789" fillId="1787" borderId="1773" xfId="0" applyFont="1" applyFill="1" applyBorder="1" applyAlignment="1">
      <alignment wrapText="1"/>
    </xf>
    <xf numFmtId="0" fontId="1790" fillId="1788" borderId="1774" xfId="0" applyFont="1" applyFill="1" applyBorder="1" applyAlignment="1">
      <alignment wrapText="1"/>
    </xf>
    <xf numFmtId="0" fontId="1791" fillId="1789" borderId="1775" xfId="0" applyFont="1" applyFill="1" applyBorder="1" applyAlignment="1">
      <alignment wrapText="1"/>
    </xf>
    <xf numFmtId="0" fontId="1792" fillId="1790" borderId="1776" xfId="0" applyFont="1" applyFill="1" applyBorder="1" applyAlignment="1">
      <alignment wrapText="1"/>
    </xf>
    <xf numFmtId="0" fontId="1793" fillId="1791" borderId="1777" xfId="0" applyFont="1" applyFill="1" applyBorder="1" applyAlignment="1">
      <alignment wrapText="1"/>
    </xf>
    <xf numFmtId="0" fontId="1794" fillId="1792" borderId="1778" xfId="0" applyFont="1" applyFill="1" applyBorder="1" applyAlignment="1">
      <alignment wrapText="1"/>
    </xf>
    <xf numFmtId="0" fontId="1795" fillId="1793" borderId="1779" xfId="0" applyFont="1" applyFill="1" applyBorder="1" applyAlignment="1">
      <alignment horizontal="left" vertical="top" wrapText="1"/>
    </xf>
    <xf numFmtId="0" fontId="1796" fillId="1794" borderId="1780" xfId="0" applyFont="1" applyFill="1" applyBorder="1" applyAlignment="1">
      <alignment horizontal="left" vertical="top" wrapText="1"/>
    </xf>
    <xf numFmtId="0" fontId="1797" fillId="1795" borderId="1781" xfId="0" applyFont="1" applyFill="1" applyBorder="1" applyAlignment="1">
      <alignment wrapText="1"/>
    </xf>
    <xf numFmtId="0" fontId="1798" fillId="1796" borderId="1782" xfId="0" applyFont="1" applyFill="1" applyBorder="1" applyAlignment="1">
      <alignment wrapText="1"/>
    </xf>
    <xf numFmtId="0" fontId="1799" fillId="1797" borderId="1783" xfId="0" applyFont="1" applyFill="1" applyBorder="1" applyAlignment="1">
      <alignment wrapText="1"/>
    </xf>
    <xf numFmtId="0" fontId="1800" fillId="1798" borderId="1784" xfId="0" applyFont="1" applyFill="1" applyBorder="1" applyAlignment="1">
      <alignment wrapText="1"/>
    </xf>
    <xf numFmtId="0" fontId="1801" fillId="1799" borderId="1785" xfId="0" applyFont="1" applyFill="1" applyBorder="1" applyAlignment="1">
      <alignment wrapText="1"/>
    </xf>
    <xf numFmtId="0" fontId="1802" fillId="1800" borderId="1786" xfId="0" applyFont="1" applyFill="1" applyBorder="1" applyAlignment="1">
      <alignment wrapText="1"/>
    </xf>
    <xf numFmtId="0" fontId="1803" fillId="1801" borderId="1787" xfId="0" applyFont="1" applyFill="1" applyBorder="1" applyAlignment="1">
      <alignment wrapText="1"/>
    </xf>
    <xf numFmtId="0" fontId="1804" fillId="1802" borderId="1788" xfId="0" applyFont="1" applyFill="1" applyBorder="1" applyAlignment="1">
      <alignment wrapText="1"/>
    </xf>
    <xf numFmtId="0" fontId="1805" fillId="1803" borderId="1789" xfId="0" applyFont="1" applyFill="1" applyBorder="1" applyAlignment="1">
      <alignment wrapText="1"/>
    </xf>
    <xf numFmtId="0" fontId="1806" fillId="1804" borderId="1790" xfId="0" applyFont="1" applyFill="1" applyBorder="1" applyAlignment="1">
      <alignment wrapText="1"/>
    </xf>
    <xf numFmtId="0" fontId="1807" fillId="1805" borderId="1791" xfId="0" applyFont="1" applyFill="1" applyBorder="1" applyAlignment="1">
      <alignment wrapText="1"/>
    </xf>
    <xf numFmtId="0" fontId="1808" fillId="1806" borderId="1792" xfId="0" applyFont="1" applyFill="1" applyBorder="1" applyAlignment="1">
      <alignment wrapText="1"/>
    </xf>
    <xf numFmtId="0" fontId="1809" fillId="1807" borderId="1793" xfId="0" applyFont="1" applyFill="1" applyBorder="1" applyAlignment="1">
      <alignment wrapText="1"/>
    </xf>
    <xf numFmtId="0" fontId="1810" fillId="1808" borderId="1794" xfId="0" applyFont="1" applyFill="1" applyBorder="1" applyAlignment="1">
      <alignment wrapText="1"/>
    </xf>
    <xf numFmtId="0" fontId="1811" fillId="1809" borderId="1795" xfId="0" applyFont="1" applyFill="1" applyBorder="1" applyAlignment="1">
      <alignment wrapText="1"/>
    </xf>
    <xf numFmtId="0" fontId="1812" fillId="1810" borderId="1796" xfId="0" applyFont="1" applyFill="1" applyBorder="1" applyAlignment="1">
      <alignment wrapText="1"/>
    </xf>
    <xf numFmtId="0" fontId="1813" fillId="1811" borderId="1797" xfId="0" applyFont="1" applyFill="1" applyBorder="1" applyAlignment="1">
      <alignment wrapText="1"/>
    </xf>
    <xf numFmtId="0" fontId="1814" fillId="1812" borderId="1798" xfId="0" applyFont="1" applyFill="1" applyBorder="1" applyAlignment="1">
      <alignment wrapText="1"/>
    </xf>
    <xf numFmtId="0" fontId="1815" fillId="1813" borderId="1799" xfId="0" applyFont="1" applyFill="1" applyBorder="1" applyAlignment="1">
      <alignment wrapText="1"/>
    </xf>
    <xf numFmtId="0" fontId="1816" fillId="1814" borderId="1800" xfId="0" applyFont="1" applyFill="1" applyBorder="1" applyAlignment="1">
      <alignment wrapText="1"/>
    </xf>
    <xf numFmtId="0" fontId="1817" fillId="1815" borderId="1801" xfId="0" applyFont="1" applyFill="1" applyBorder="1" applyAlignment="1">
      <alignment wrapText="1"/>
    </xf>
    <xf numFmtId="0" fontId="1818" fillId="1816" borderId="1802" xfId="0" applyFont="1" applyFill="1" applyBorder="1" applyAlignment="1">
      <alignment wrapText="1"/>
    </xf>
    <xf numFmtId="0" fontId="1819" fillId="1817" borderId="1803" xfId="0" applyFont="1" applyFill="1" applyBorder="1" applyAlignment="1">
      <alignment wrapText="1"/>
    </xf>
    <xf numFmtId="0" fontId="1820" fillId="1818" borderId="1804" xfId="0" applyFont="1" applyFill="1" applyBorder="1" applyAlignment="1">
      <alignment wrapText="1"/>
    </xf>
    <xf numFmtId="0" fontId="1821" fillId="1819" borderId="1805" xfId="0" applyFont="1" applyFill="1" applyBorder="1" applyAlignment="1">
      <alignment wrapText="1"/>
    </xf>
    <xf numFmtId="0" fontId="1822" fillId="1820" borderId="1806" xfId="0" applyFont="1" applyFill="1" applyBorder="1" applyAlignment="1">
      <alignment wrapText="1"/>
    </xf>
    <xf numFmtId="0" fontId="1823" fillId="1821" borderId="1807" xfId="0" applyFont="1" applyFill="1" applyBorder="1" applyAlignment="1">
      <alignment horizontal="left" vertical="top"/>
    </xf>
    <xf numFmtId="0" fontId="1824" fillId="1822" borderId="1808" xfId="0" applyFont="1" applyFill="1" applyBorder="1" applyAlignment="1">
      <alignment horizontal="left" vertical="top"/>
    </xf>
    <xf numFmtId="0" fontId="1825" fillId="1823" borderId="1809" xfId="0" applyFont="1" applyFill="1" applyBorder="1" applyAlignment="1">
      <alignment wrapText="1"/>
    </xf>
    <xf numFmtId="0" fontId="1826" fillId="1824" borderId="1810" xfId="0" applyFont="1" applyFill="1" applyBorder="1" applyAlignment="1">
      <alignment wrapText="1"/>
    </xf>
    <xf numFmtId="0" fontId="1827" fillId="1825" borderId="1811" xfId="0" applyFont="1" applyFill="1" applyBorder="1" applyAlignment="1">
      <alignment wrapText="1"/>
    </xf>
    <xf numFmtId="0" fontId="1828" fillId="1826" borderId="1812" xfId="0" applyFont="1" applyFill="1" applyBorder="1" applyAlignment="1">
      <alignment wrapText="1"/>
    </xf>
    <xf numFmtId="0" fontId="1829" fillId="1827" borderId="1813" xfId="0" applyFont="1" applyFill="1" applyBorder="1" applyAlignment="1">
      <alignment wrapText="1"/>
    </xf>
    <xf numFmtId="0" fontId="1830" fillId="1828" borderId="1814" xfId="0" applyFont="1" applyFill="1" applyBorder="1" applyAlignment="1">
      <alignment wrapText="1"/>
    </xf>
    <xf numFmtId="0" fontId="1831" fillId="1829" borderId="1815" xfId="0" applyFont="1" applyFill="1" applyBorder="1" applyAlignment="1">
      <alignment wrapText="1"/>
    </xf>
    <xf numFmtId="0" fontId="1832" fillId="1830" borderId="1816" xfId="0" applyFont="1" applyFill="1" applyBorder="1" applyAlignment="1">
      <alignment wrapText="1"/>
    </xf>
    <xf numFmtId="0" fontId="1833" fillId="1831" borderId="1817" xfId="0" applyFont="1" applyFill="1" applyBorder="1" applyAlignment="1">
      <alignment wrapText="1"/>
    </xf>
    <xf numFmtId="0" fontId="1834" fillId="1832" borderId="1818" xfId="0" applyFont="1" applyFill="1" applyBorder="1" applyAlignment="1">
      <alignment wrapText="1"/>
    </xf>
    <xf numFmtId="0" fontId="1835" fillId="1833" borderId="1819" xfId="0" applyFont="1" applyFill="1" applyBorder="1" applyAlignment="1">
      <alignment horizontal="left" vertical="top" wrapText="1"/>
    </xf>
    <xf numFmtId="0" fontId="1836" fillId="1834" borderId="1820" xfId="0" applyFont="1" applyFill="1" applyBorder="1" applyAlignment="1">
      <alignment horizontal="left" vertical="top" wrapText="1"/>
    </xf>
    <xf numFmtId="0" fontId="1837" fillId="1835" borderId="1821" xfId="0" applyFont="1" applyFill="1" applyBorder="1" applyAlignment="1">
      <alignment wrapText="1"/>
    </xf>
    <xf numFmtId="0" fontId="1838" fillId="1836" borderId="1822" xfId="0" applyFont="1" applyFill="1" applyBorder="1" applyAlignment="1">
      <alignment wrapText="1"/>
    </xf>
    <xf numFmtId="0" fontId="1839" fillId="1837" borderId="1823" xfId="0" applyFont="1" applyFill="1" applyBorder="1" applyAlignment="1">
      <alignment wrapText="1"/>
    </xf>
    <xf numFmtId="0" fontId="1840" fillId="1838" borderId="1824" xfId="0" applyFont="1" applyFill="1" applyBorder="1" applyAlignment="1">
      <alignment wrapText="1"/>
    </xf>
    <xf numFmtId="0" fontId="1841" fillId="1839" borderId="1825" xfId="0" applyFont="1" applyFill="1" applyBorder="1" applyAlignment="1">
      <alignment wrapText="1"/>
    </xf>
    <xf numFmtId="0" fontId="1842" fillId="1840" borderId="1826" xfId="0" applyFont="1" applyFill="1" applyBorder="1" applyAlignment="1">
      <alignment wrapText="1"/>
    </xf>
    <xf numFmtId="0" fontId="1843" fillId="1841" borderId="1827" xfId="0" applyFont="1" applyFill="1" applyBorder="1" applyAlignment="1">
      <alignment wrapText="1"/>
    </xf>
    <xf numFmtId="0" fontId="1844" fillId="1842" borderId="1828" xfId="0" applyFont="1" applyFill="1" applyBorder="1" applyAlignment="1">
      <alignment wrapText="1"/>
    </xf>
    <xf numFmtId="0" fontId="1845" fillId="1843" borderId="1829" xfId="0" applyFont="1" applyFill="1" applyBorder="1" applyAlignment="1">
      <alignment wrapText="1"/>
    </xf>
    <xf numFmtId="0" fontId="1846" fillId="1844" borderId="1830" xfId="0" applyFont="1" applyFill="1" applyBorder="1" applyAlignment="1">
      <alignment wrapText="1"/>
    </xf>
    <xf numFmtId="0" fontId="1847" fillId="1845" borderId="1831" xfId="0" applyFont="1" applyFill="1" applyBorder="1" applyAlignment="1">
      <alignment wrapText="1"/>
    </xf>
    <xf numFmtId="0" fontId="1848" fillId="1846" borderId="1832" xfId="0" applyFont="1" applyFill="1" applyBorder="1" applyAlignment="1">
      <alignment wrapText="1"/>
    </xf>
    <xf numFmtId="0" fontId="1849" fillId="1847" borderId="1833" xfId="0" applyFont="1" applyFill="1" applyBorder="1" applyAlignment="1">
      <alignment wrapText="1"/>
    </xf>
    <xf numFmtId="0" fontId="1850" fillId="1848" borderId="1834" xfId="0" applyFont="1" applyFill="1" applyBorder="1" applyAlignment="1">
      <alignment wrapText="1"/>
    </xf>
    <xf numFmtId="0" fontId="1851" fillId="1849" borderId="1835" xfId="0" applyFont="1" applyFill="1" applyBorder="1" applyAlignment="1">
      <alignment wrapText="1"/>
    </xf>
    <xf numFmtId="0" fontId="1852" fillId="1850" borderId="1836" xfId="0" applyFont="1" applyFill="1" applyBorder="1" applyAlignment="1">
      <alignment wrapText="1"/>
    </xf>
    <xf numFmtId="0" fontId="1853" fillId="1851" borderId="1837" xfId="0" applyFont="1" applyFill="1" applyBorder="1" applyAlignment="1">
      <alignment horizontal="left" vertical="top"/>
    </xf>
    <xf numFmtId="0" fontId="1854" fillId="1852" borderId="1838" xfId="0" applyFont="1" applyFill="1" applyBorder="1" applyAlignment="1">
      <alignment horizontal="left" vertical="top"/>
    </xf>
    <xf numFmtId="0" fontId="1855" fillId="1853" borderId="1839" xfId="0" applyFont="1" applyFill="1" applyBorder="1" applyAlignment="1">
      <alignment wrapText="1"/>
    </xf>
    <xf numFmtId="0" fontId="1856" fillId="1854" borderId="1840" xfId="0" applyFont="1" applyFill="1" applyBorder="1" applyAlignment="1">
      <alignment wrapText="1"/>
    </xf>
    <xf numFmtId="0" fontId="1857" fillId="1855" borderId="1841" xfId="0" applyFont="1" applyFill="1" applyBorder="1" applyAlignment="1">
      <alignment wrapText="1"/>
    </xf>
    <xf numFmtId="0" fontId="1858" fillId="1856" borderId="1842" xfId="0" applyFont="1" applyFill="1" applyBorder="1" applyAlignment="1">
      <alignment wrapText="1"/>
    </xf>
    <xf numFmtId="0" fontId="1859" fillId="1857" borderId="1843" xfId="0" applyFont="1" applyFill="1" applyBorder="1" applyAlignment="1">
      <alignment wrapText="1"/>
    </xf>
    <xf numFmtId="0" fontId="1860" fillId="1858" borderId="1844" xfId="0" applyFont="1" applyFill="1" applyBorder="1" applyAlignment="1">
      <alignment wrapText="1"/>
    </xf>
    <xf numFmtId="0" fontId="1861" fillId="1859" borderId="1845" xfId="0" applyFont="1" applyFill="1" applyBorder="1" applyAlignment="1">
      <alignment wrapText="1"/>
    </xf>
    <xf numFmtId="0" fontId="1862" fillId="1860" borderId="1846" xfId="0" applyFont="1" applyFill="1" applyBorder="1" applyAlignment="1">
      <alignment wrapText="1"/>
    </xf>
    <xf numFmtId="0" fontId="1863" fillId="1861" borderId="1847" xfId="0" applyFont="1" applyFill="1" applyBorder="1" applyAlignment="1">
      <alignment wrapText="1"/>
    </xf>
    <xf numFmtId="0" fontId="1864" fillId="1862" borderId="1848" xfId="0" applyFont="1" applyFill="1" applyBorder="1" applyAlignment="1">
      <alignment wrapText="1"/>
    </xf>
    <xf numFmtId="0" fontId="1865" fillId="1863" borderId="1849" xfId="0" applyFont="1" applyFill="1" applyBorder="1" applyAlignment="1">
      <alignment horizontal="left" vertical="top" wrapText="1"/>
    </xf>
    <xf numFmtId="0" fontId="1866" fillId="1864" borderId="1850" xfId="0" applyFont="1" applyFill="1" applyBorder="1" applyAlignment="1">
      <alignment horizontal="left" vertical="top" wrapText="1"/>
    </xf>
    <xf numFmtId="0" fontId="1867" fillId="1865" borderId="1851" xfId="0" applyFont="1" applyFill="1" applyBorder="1" applyAlignment="1">
      <alignment horizontal="left" vertical="top"/>
    </xf>
    <xf numFmtId="0" fontId="1868" fillId="1866" borderId="1852" xfId="0" applyFont="1" applyFill="1" applyBorder="1" applyAlignment="1">
      <alignment horizontal="left" vertical="top"/>
    </xf>
    <xf numFmtId="0" fontId="1869" fillId="1867" borderId="1853" xfId="0" applyFont="1" applyFill="1" applyBorder="1" applyAlignment="1">
      <alignment wrapText="1"/>
    </xf>
    <xf numFmtId="0" fontId="1870" fillId="1868" borderId="1854" xfId="0" applyFont="1" applyFill="1" applyBorder="1" applyAlignment="1">
      <alignment wrapText="1"/>
    </xf>
    <xf numFmtId="0" fontId="1871" fillId="1869" borderId="1855" xfId="0" applyFont="1" applyFill="1" applyBorder="1" applyAlignment="1">
      <alignment wrapText="1"/>
    </xf>
    <xf numFmtId="0" fontId="1872" fillId="1870" borderId="1856" xfId="0" applyFont="1" applyFill="1" applyBorder="1" applyAlignment="1">
      <alignment wrapText="1"/>
    </xf>
    <xf numFmtId="0" fontId="1873" fillId="1871" borderId="1857" xfId="0" applyFont="1" applyFill="1" applyBorder="1" applyAlignment="1">
      <alignment horizontal="left" vertical="top"/>
    </xf>
    <xf numFmtId="0" fontId="1874" fillId="1872" borderId="1858" xfId="0" applyFont="1" applyFill="1" applyBorder="1" applyAlignment="1">
      <alignment horizontal="left" vertical="top"/>
    </xf>
    <xf numFmtId="0" fontId="1875" fillId="1873" borderId="1859" xfId="0" applyFont="1" applyFill="1" applyBorder="1" applyAlignment="1">
      <alignment wrapText="1"/>
    </xf>
    <xf numFmtId="0" fontId="1876" fillId="1874" borderId="1860" xfId="0" applyFont="1" applyFill="1" applyBorder="1" applyAlignment="1">
      <alignment wrapText="1"/>
    </xf>
    <xf numFmtId="0" fontId="1877" fillId="1875" borderId="1861" xfId="0" applyFont="1" applyFill="1" applyBorder="1" applyAlignment="1">
      <alignment horizontal="left" vertical="top"/>
    </xf>
    <xf numFmtId="0" fontId="1878" fillId="1876" borderId="1862" xfId="0" applyFont="1" applyFill="1" applyBorder="1" applyAlignment="1">
      <alignment horizontal="left" vertical="top"/>
    </xf>
    <xf numFmtId="0" fontId="1879" fillId="0" borderId="0" xfId="0" applyFont="1"/>
    <xf numFmtId="0" fontId="0" fillId="1636" borderId="1622" xfId="0" applyFill="1" applyBorder="1" applyAlignment="1">
      <alignment wrapText="1"/>
    </xf>
    <xf numFmtId="0" fontId="55" fillId="0" borderId="0" xfId="0" applyFont="1" applyAlignment="1">
      <alignment horizontal="left" wrapText="1"/>
    </xf>
    <xf numFmtId="0" fontId="1880" fillId="1877" borderId="1863" xfId="0" applyFont="1" applyFill="1" applyBorder="1" applyAlignment="1">
      <alignment vertical="top"/>
    </xf>
    <xf numFmtId="0" fontId="1881" fillId="1878" borderId="1864" xfId="0" applyFont="1" applyFill="1" applyBorder="1" applyAlignment="1">
      <alignment vertical="top"/>
    </xf>
    <xf numFmtId="0" fontId="1882" fillId="1879" borderId="1865" xfId="0" applyFont="1" applyFill="1" applyBorder="1" applyAlignment="1">
      <alignment wrapText="1"/>
    </xf>
    <xf numFmtId="0" fontId="1883" fillId="1880" borderId="1866" xfId="0" applyFont="1" applyFill="1" applyBorder="1" applyAlignment="1">
      <alignment vertical="top" wrapText="1"/>
    </xf>
    <xf numFmtId="0" fontId="1884" fillId="1881" borderId="1867" xfId="0" applyFont="1" applyFill="1" applyBorder="1" applyAlignment="1">
      <alignment vertical="top" wrapText="1"/>
    </xf>
    <xf numFmtId="0" fontId="1885" fillId="1882" borderId="1868" xfId="0" applyFont="1" applyFill="1" applyBorder="1" applyAlignment="1">
      <alignment horizontal="left" vertical="top"/>
    </xf>
    <xf numFmtId="0" fontId="1886" fillId="1883" borderId="1869" xfId="0" applyFont="1" applyFill="1" applyBorder="1" applyAlignment="1">
      <alignment horizontal="left" vertical="top"/>
    </xf>
    <xf numFmtId="0" fontId="1887" fillId="1884" borderId="1870" xfId="0" applyFont="1" applyFill="1" applyBorder="1" applyAlignment="1">
      <alignment wrapText="1"/>
    </xf>
    <xf numFmtId="0" fontId="1888" fillId="1885" borderId="1871" xfId="0" applyFont="1" applyFill="1" applyBorder="1" applyAlignment="1">
      <alignment wrapText="1"/>
    </xf>
    <xf numFmtId="0" fontId="1889" fillId="1886" borderId="1872" xfId="0" applyFont="1" applyFill="1" applyBorder="1" applyAlignment="1">
      <alignment horizontal="left" wrapText="1"/>
    </xf>
    <xf numFmtId="0" fontId="1890" fillId="1887" borderId="1873" xfId="0" applyFont="1" applyFill="1" applyBorder="1" applyAlignment="1">
      <alignment wrapText="1"/>
    </xf>
    <xf numFmtId="0" fontId="1891" fillId="1888" borderId="1874" xfId="0" applyFont="1" applyFill="1" applyBorder="1" applyAlignment="1">
      <alignment wrapText="1"/>
    </xf>
    <xf numFmtId="0" fontId="1892" fillId="1889" borderId="1875" xfId="0" applyFont="1" applyFill="1" applyBorder="1" applyAlignment="1">
      <alignment horizontal="left" vertical="top"/>
    </xf>
    <xf numFmtId="0" fontId="1893" fillId="1890" borderId="1876" xfId="0" applyFont="1" applyFill="1" applyBorder="1" applyAlignment="1">
      <alignment horizontal="left" vertical="top"/>
    </xf>
    <xf numFmtId="0" fontId="1894" fillId="1891" borderId="1877" xfId="0" applyFont="1" applyFill="1" applyBorder="1" applyAlignment="1">
      <alignment wrapText="1"/>
    </xf>
    <xf numFmtId="0" fontId="1895" fillId="1892" borderId="1878" xfId="0" applyFont="1" applyFill="1" applyBorder="1" applyAlignment="1">
      <alignment wrapText="1"/>
    </xf>
    <xf numFmtId="0" fontId="1896" fillId="1893" borderId="1879" xfId="0" applyFont="1" applyFill="1" applyBorder="1" applyAlignment="1">
      <alignment wrapText="1"/>
    </xf>
    <xf numFmtId="0" fontId="1897" fillId="1894" borderId="1880" xfId="0" applyFont="1" applyFill="1" applyBorder="1" applyAlignment="1">
      <alignment wrapText="1"/>
    </xf>
    <xf numFmtId="0" fontId="1898" fillId="1895" borderId="1881" xfId="0" applyFont="1" applyFill="1" applyBorder="1" applyAlignment="1">
      <alignment vertical="top" wrapText="1"/>
    </xf>
    <xf numFmtId="0" fontId="1899" fillId="1896" borderId="1882" xfId="0" applyFont="1" applyFill="1" applyBorder="1" applyAlignment="1">
      <alignment vertical="top" wrapText="1"/>
    </xf>
    <xf numFmtId="0" fontId="1900" fillId="1897" borderId="1883" xfId="0" applyFont="1" applyFill="1" applyBorder="1" applyAlignment="1">
      <alignment horizontal="left" wrapText="1"/>
    </xf>
    <xf numFmtId="0" fontId="1901" fillId="1898" borderId="1884" xfId="0" applyFont="1" applyFill="1" applyBorder="1" applyAlignment="1">
      <alignment horizontal="left" wrapText="1"/>
    </xf>
    <xf numFmtId="0" fontId="1902" fillId="1899" borderId="1885" xfId="0" applyFont="1" applyFill="1" applyBorder="1" applyAlignment="1">
      <alignment horizontal="left" wrapText="1"/>
    </xf>
    <xf numFmtId="0" fontId="1903" fillId="1900" borderId="1886" xfId="0" applyFont="1" applyFill="1" applyBorder="1" applyAlignment="1">
      <alignment horizontal="left" wrapText="1"/>
    </xf>
    <xf numFmtId="0" fontId="1904" fillId="1901" borderId="1887" xfId="0" applyFont="1" applyFill="1" applyBorder="1" applyAlignment="1">
      <alignment horizontal="left" wrapText="1"/>
    </xf>
    <xf numFmtId="0" fontId="1905" fillId="1902" borderId="1888" xfId="0" applyFont="1" applyFill="1" applyBorder="1" applyAlignment="1">
      <alignment horizontal="left" wrapText="1"/>
    </xf>
    <xf numFmtId="0" fontId="1906" fillId="1903" borderId="1889" xfId="0" applyFont="1" applyFill="1" applyBorder="1" applyAlignment="1">
      <alignment horizontal="left" vertical="top"/>
    </xf>
    <xf numFmtId="0" fontId="1907" fillId="1904" borderId="1890" xfId="0" applyFont="1" applyFill="1" applyBorder="1" applyAlignment="1">
      <alignment horizontal="left" vertical="top"/>
    </xf>
    <xf numFmtId="0" fontId="1908" fillId="1905" borderId="1891" xfId="0" applyFont="1" applyFill="1" applyBorder="1" applyAlignment="1">
      <alignment horizontal="left" wrapText="1"/>
    </xf>
    <xf numFmtId="0" fontId="1909" fillId="1906" borderId="1892" xfId="0" applyFont="1" applyFill="1" applyBorder="1" applyAlignment="1">
      <alignment horizontal="left" wrapText="1"/>
    </xf>
    <xf numFmtId="0" fontId="1910" fillId="1907" borderId="1893" xfId="0" applyFont="1" applyFill="1" applyBorder="1" applyAlignment="1">
      <alignment horizontal="left" wrapText="1"/>
    </xf>
    <xf numFmtId="0" fontId="1911" fillId="1908" borderId="1894" xfId="0" applyFont="1" applyFill="1" applyBorder="1" applyAlignment="1">
      <alignment horizontal="left" wrapText="1"/>
    </xf>
    <xf numFmtId="0" fontId="1912" fillId="1909" borderId="1895" xfId="0" applyFont="1" applyFill="1" applyBorder="1" applyAlignment="1">
      <alignment wrapText="1"/>
    </xf>
    <xf numFmtId="0" fontId="1913" fillId="1910" borderId="1896" xfId="0" applyFont="1" applyFill="1" applyBorder="1" applyAlignment="1">
      <alignment wrapText="1"/>
    </xf>
    <xf numFmtId="0" fontId="1914" fillId="1911" borderId="1897" xfId="0" applyFont="1" applyFill="1" applyBorder="1" applyAlignment="1">
      <alignment horizontal="left" vertical="top"/>
    </xf>
    <xf numFmtId="0" fontId="1915" fillId="1912" borderId="1898" xfId="0" applyFont="1" applyFill="1" applyBorder="1" applyAlignment="1">
      <alignment horizontal="left" vertical="top"/>
    </xf>
    <xf numFmtId="0" fontId="1916" fillId="1913" borderId="1899" xfId="0" applyFont="1" applyFill="1" applyBorder="1" applyAlignment="1">
      <alignment vertical="top"/>
    </xf>
    <xf numFmtId="0" fontId="1917" fillId="1914" borderId="1900" xfId="0" applyFont="1" applyFill="1" applyBorder="1" applyAlignment="1">
      <alignment vertical="top"/>
    </xf>
    <xf numFmtId="0" fontId="1918" fillId="1915" borderId="1901" xfId="0" applyFont="1" applyFill="1" applyBorder="1" applyAlignment="1">
      <alignment wrapText="1"/>
    </xf>
    <xf numFmtId="0" fontId="1919" fillId="1916" borderId="1902" xfId="0" applyFont="1" applyFill="1" applyBorder="1" applyAlignment="1">
      <alignment wrapText="1"/>
    </xf>
    <xf numFmtId="0" fontId="1920" fillId="1917" borderId="1903" xfId="0" applyFont="1" applyFill="1" applyBorder="1" applyAlignment="1">
      <alignment horizontal="left" vertical="top"/>
    </xf>
    <xf numFmtId="0" fontId="1921" fillId="1918" borderId="1904" xfId="0" applyFont="1" applyFill="1" applyBorder="1" applyAlignment="1">
      <alignment horizontal="left" vertical="top"/>
    </xf>
    <xf numFmtId="0" fontId="1922" fillId="1919" borderId="1905" xfId="0" applyFont="1" applyFill="1" applyBorder="1" applyAlignment="1">
      <alignment horizontal="left" vertical="top"/>
    </xf>
    <xf numFmtId="0" fontId="1923" fillId="1920" borderId="1906" xfId="0" applyFont="1" applyFill="1" applyBorder="1" applyAlignment="1">
      <alignment horizontal="left" vertical="top"/>
    </xf>
    <xf numFmtId="0" fontId="1924" fillId="1921" borderId="1907" xfId="0" applyFont="1" applyFill="1" applyBorder="1" applyAlignment="1">
      <alignment horizontal="left" wrapText="1"/>
    </xf>
    <xf numFmtId="0" fontId="1925" fillId="1922" borderId="1908" xfId="0" applyFont="1" applyFill="1" applyBorder="1" applyAlignment="1">
      <alignment horizontal="left" wrapText="1"/>
    </xf>
    <xf numFmtId="0" fontId="1926" fillId="1923" borderId="1909" xfId="0" applyFont="1" applyFill="1" applyBorder="1" applyAlignment="1">
      <alignment horizontal="left" vertical="top"/>
    </xf>
    <xf numFmtId="0" fontId="1927" fillId="1924" borderId="1910" xfId="0" applyFont="1" applyFill="1" applyBorder="1" applyAlignment="1">
      <alignment horizontal="left" vertical="top"/>
    </xf>
    <xf numFmtId="0" fontId="1928" fillId="1925" borderId="1911" xfId="0" applyFont="1" applyFill="1" applyBorder="1" applyAlignment="1">
      <alignment horizontal="left" wrapText="1"/>
    </xf>
    <xf numFmtId="0" fontId="1929" fillId="1926" borderId="1912" xfId="0" applyFont="1" applyFill="1" applyBorder="1" applyAlignment="1">
      <alignment horizontal="left" wrapText="1"/>
    </xf>
    <xf numFmtId="0" fontId="1930" fillId="1927" borderId="1913" xfId="0" applyFont="1" applyFill="1" applyBorder="1" applyAlignment="1">
      <alignment horizontal="left" wrapText="1"/>
    </xf>
    <xf numFmtId="0" fontId="1931" fillId="1928" borderId="1914" xfId="0" applyFont="1" applyFill="1" applyBorder="1" applyAlignment="1">
      <alignment horizontal="left" wrapText="1"/>
    </xf>
    <xf numFmtId="0" fontId="1932" fillId="1929" borderId="1915" xfId="0" applyFont="1" applyFill="1" applyBorder="1" applyAlignment="1">
      <alignment horizontal="left" wrapText="1"/>
    </xf>
    <xf numFmtId="0" fontId="1933" fillId="1930" borderId="1916" xfId="0" applyFont="1" applyFill="1" applyBorder="1" applyAlignment="1">
      <alignment horizontal="left" wrapText="1"/>
    </xf>
    <xf numFmtId="0" fontId="1934" fillId="1931" borderId="1917" xfId="0" applyFont="1" applyFill="1" applyBorder="1" applyAlignment="1">
      <alignment wrapText="1"/>
    </xf>
    <xf numFmtId="0" fontId="1935" fillId="1932" borderId="1918" xfId="0" applyFont="1" applyFill="1" applyBorder="1" applyAlignment="1">
      <alignment wrapText="1"/>
    </xf>
    <xf numFmtId="0" fontId="1936" fillId="1933" borderId="1919" xfId="0" applyFont="1" applyFill="1" applyBorder="1" applyAlignment="1">
      <alignment horizontal="left" vertical="top" wrapText="1"/>
    </xf>
    <xf numFmtId="0" fontId="1937" fillId="1934" borderId="1920" xfId="0" applyFont="1" applyFill="1" applyBorder="1" applyAlignment="1">
      <alignment horizontal="left" vertical="top" wrapText="1"/>
    </xf>
    <xf numFmtId="0" fontId="1938" fillId="1935" borderId="1921" xfId="0" applyFont="1" applyFill="1" applyBorder="1" applyAlignment="1">
      <alignment wrapText="1"/>
    </xf>
    <xf numFmtId="0" fontId="1939" fillId="1936" borderId="1922" xfId="0" applyFont="1" applyFill="1" applyBorder="1" applyAlignment="1">
      <alignment wrapText="1"/>
    </xf>
    <xf numFmtId="0" fontId="1940" fillId="1937" borderId="1923" xfId="0" applyFont="1" applyFill="1" applyBorder="1" applyAlignment="1">
      <alignment wrapText="1"/>
    </xf>
    <xf numFmtId="0" fontId="1941" fillId="1938" borderId="1924" xfId="0" applyFont="1" applyFill="1" applyBorder="1" applyAlignment="1">
      <alignment wrapText="1"/>
    </xf>
    <xf numFmtId="0" fontId="1942" fillId="1939" borderId="1925" xfId="0" applyFont="1" applyFill="1" applyBorder="1" applyAlignment="1">
      <alignment horizontal="left" vertical="top"/>
    </xf>
    <xf numFmtId="0" fontId="1943" fillId="1940" borderId="1926" xfId="0" applyFont="1" applyFill="1" applyBorder="1" applyAlignment="1">
      <alignment horizontal="left" vertical="top"/>
    </xf>
    <xf numFmtId="0" fontId="1944" fillId="1941" borderId="1927" xfId="0" applyFont="1" applyFill="1" applyBorder="1" applyAlignment="1">
      <alignment wrapText="1"/>
    </xf>
    <xf numFmtId="0" fontId="1945" fillId="1942" borderId="1928" xfId="0" applyFont="1" applyFill="1" applyBorder="1" applyAlignment="1">
      <alignment wrapText="1"/>
    </xf>
    <xf numFmtId="0" fontId="1946" fillId="1943" borderId="1929" xfId="0" applyFont="1" applyFill="1" applyBorder="1" applyAlignment="1">
      <alignment wrapText="1"/>
    </xf>
    <xf numFmtId="0" fontId="1947" fillId="1944" borderId="1930" xfId="0" applyFont="1" applyFill="1" applyBorder="1" applyAlignment="1">
      <alignment wrapText="1"/>
    </xf>
    <xf numFmtId="0" fontId="1948" fillId="1945" borderId="1931" xfId="0" applyFont="1" applyFill="1" applyBorder="1" applyAlignment="1">
      <alignment wrapText="1"/>
    </xf>
    <xf numFmtId="0" fontId="1949" fillId="1946" borderId="1932" xfId="0" applyFont="1" applyFill="1" applyBorder="1" applyAlignment="1">
      <alignment wrapText="1"/>
    </xf>
    <xf numFmtId="0" fontId="1950" fillId="1947" borderId="1933" xfId="0" applyFont="1" applyFill="1" applyBorder="1" applyAlignment="1">
      <alignment wrapText="1"/>
    </xf>
    <xf numFmtId="0" fontId="1951" fillId="1948" borderId="1934" xfId="0" applyFont="1" applyFill="1" applyBorder="1" applyAlignment="1">
      <alignment wrapText="1"/>
    </xf>
    <xf numFmtId="0" fontId="1952" fillId="1949" borderId="1935" xfId="0" applyFont="1" applyFill="1" applyBorder="1" applyAlignment="1">
      <alignment wrapText="1"/>
    </xf>
    <xf numFmtId="0" fontId="1953" fillId="1950" borderId="1936" xfId="0" applyFont="1" applyFill="1" applyBorder="1" applyAlignment="1">
      <alignment wrapText="1"/>
    </xf>
    <xf numFmtId="0" fontId="1954" fillId="1951" borderId="1937" xfId="0" applyFont="1" applyFill="1" applyBorder="1" applyAlignment="1">
      <alignment horizontal="left" vertical="top" wrapText="1"/>
    </xf>
    <xf numFmtId="0" fontId="1955" fillId="1952" borderId="1938" xfId="0" applyFont="1" applyFill="1" applyBorder="1" applyAlignment="1">
      <alignment horizontal="left" vertical="top" wrapText="1"/>
    </xf>
    <xf numFmtId="0" fontId="1956" fillId="1953" borderId="1939" xfId="0" applyFont="1" applyFill="1" applyBorder="1" applyAlignment="1">
      <alignment wrapText="1"/>
    </xf>
    <xf numFmtId="0" fontId="1957" fillId="1954" borderId="1940" xfId="0" applyFont="1" applyFill="1" applyBorder="1" applyAlignment="1">
      <alignment wrapText="1"/>
    </xf>
    <xf numFmtId="0" fontId="1958" fillId="1955" borderId="1941" xfId="0" applyFont="1" applyFill="1" applyBorder="1" applyAlignment="1">
      <alignment wrapText="1"/>
    </xf>
    <xf numFmtId="0" fontId="1959" fillId="1956" borderId="1942" xfId="0" applyFont="1" applyFill="1" applyBorder="1" applyAlignment="1">
      <alignment wrapText="1"/>
    </xf>
    <xf numFmtId="0" fontId="1960" fillId="1957" borderId="1943" xfId="0" applyFont="1" applyFill="1" applyBorder="1" applyAlignment="1">
      <alignment wrapText="1"/>
    </xf>
    <xf numFmtId="0" fontId="1961" fillId="1958" borderId="1944" xfId="0" applyFont="1" applyFill="1" applyBorder="1" applyAlignment="1">
      <alignment wrapText="1"/>
    </xf>
    <xf numFmtId="0" fontId="1962" fillId="1959" borderId="1945" xfId="0" applyFont="1" applyFill="1" applyBorder="1" applyAlignment="1">
      <alignment wrapText="1"/>
    </xf>
    <xf numFmtId="0" fontId="1963" fillId="1960" borderId="1946" xfId="0" applyFont="1" applyFill="1" applyBorder="1" applyAlignment="1">
      <alignment wrapText="1"/>
    </xf>
    <xf numFmtId="0" fontId="1964" fillId="1961" borderId="1947" xfId="0" applyFont="1" applyFill="1" applyBorder="1" applyAlignment="1">
      <alignment wrapText="1"/>
    </xf>
    <xf numFmtId="0" fontId="1965" fillId="1962" borderId="1948" xfId="0" applyFont="1" applyFill="1" applyBorder="1" applyAlignment="1">
      <alignment wrapText="1"/>
    </xf>
    <xf numFmtId="0" fontId="1966" fillId="1963" borderId="1949" xfId="0" applyFont="1" applyFill="1" applyBorder="1" applyAlignment="1">
      <alignment wrapText="1"/>
    </xf>
    <xf numFmtId="0" fontId="1967" fillId="1964" borderId="1950" xfId="0" applyFont="1" applyFill="1" applyBorder="1" applyAlignment="1">
      <alignment wrapText="1"/>
    </xf>
    <xf numFmtId="0" fontId="1968" fillId="1965" borderId="1951" xfId="0" applyFont="1" applyFill="1" applyBorder="1" applyAlignment="1">
      <alignment wrapText="1"/>
    </xf>
    <xf numFmtId="0" fontId="1969" fillId="1966" borderId="1952" xfId="0" applyFont="1" applyFill="1" applyBorder="1" applyAlignment="1">
      <alignment wrapText="1"/>
    </xf>
    <xf numFmtId="0" fontId="1970" fillId="1967" borderId="1953" xfId="0" applyFont="1" applyFill="1" applyBorder="1" applyAlignment="1">
      <alignment wrapText="1"/>
    </xf>
    <xf numFmtId="0" fontId="1971" fillId="1968" borderId="1954" xfId="0" applyFont="1" applyFill="1" applyBorder="1" applyAlignment="1">
      <alignment wrapText="1"/>
    </xf>
    <xf numFmtId="0" fontId="1972" fillId="1969" borderId="1955" xfId="0" applyFont="1" applyFill="1" applyBorder="1" applyAlignment="1">
      <alignment wrapText="1"/>
    </xf>
    <xf numFmtId="0" fontId="1973" fillId="1970" borderId="1956" xfId="0" applyFont="1" applyFill="1" applyBorder="1" applyAlignment="1">
      <alignment wrapText="1"/>
    </xf>
    <xf numFmtId="0" fontId="1974" fillId="1971" borderId="1957" xfId="0" applyFont="1" applyFill="1" applyBorder="1" applyAlignment="1">
      <alignment wrapText="1"/>
    </xf>
    <xf numFmtId="0" fontId="1975" fillId="1972" borderId="1958" xfId="0" applyFont="1" applyFill="1" applyBorder="1" applyAlignment="1">
      <alignment wrapText="1"/>
    </xf>
    <xf numFmtId="0" fontId="1976" fillId="1973" borderId="1959" xfId="0" applyFont="1" applyFill="1" applyBorder="1" applyAlignment="1">
      <alignment wrapText="1"/>
    </xf>
    <xf numFmtId="0" fontId="1977" fillId="1974" borderId="1960" xfId="0" applyFont="1" applyFill="1" applyBorder="1" applyAlignment="1">
      <alignment wrapText="1"/>
    </xf>
    <xf numFmtId="0" fontId="1978" fillId="1975" borderId="1961" xfId="0" applyFont="1" applyFill="1" applyBorder="1" applyAlignment="1">
      <alignment wrapText="1"/>
    </xf>
    <xf numFmtId="0" fontId="1979" fillId="1976" borderId="1962" xfId="0" applyFont="1" applyFill="1" applyBorder="1" applyAlignment="1">
      <alignment wrapText="1"/>
    </xf>
    <xf numFmtId="0" fontId="1980" fillId="1977" borderId="1963" xfId="0" applyFont="1" applyFill="1" applyBorder="1" applyAlignment="1">
      <alignment horizontal="left" vertical="top"/>
    </xf>
    <xf numFmtId="0" fontId="1981" fillId="1978" borderId="1964" xfId="0" applyFont="1" applyFill="1" applyBorder="1" applyAlignment="1">
      <alignment horizontal="left" vertical="top"/>
    </xf>
    <xf numFmtId="0" fontId="1982" fillId="1979" borderId="1965" xfId="0" applyFont="1" applyFill="1" applyBorder="1" applyAlignment="1">
      <alignment wrapText="1"/>
    </xf>
    <xf numFmtId="0" fontId="1983" fillId="1980" borderId="1966" xfId="0" applyFont="1" applyFill="1" applyBorder="1" applyAlignment="1">
      <alignment wrapText="1"/>
    </xf>
    <xf numFmtId="0" fontId="1984" fillId="1981" borderId="1967" xfId="0" applyFont="1" applyFill="1" applyBorder="1" applyAlignment="1">
      <alignment horizontal="left" vertical="top"/>
    </xf>
    <xf numFmtId="0" fontId="1985" fillId="1982" borderId="1968" xfId="0" applyFont="1" applyFill="1" applyBorder="1" applyAlignment="1">
      <alignment horizontal="left" vertical="top"/>
    </xf>
    <xf numFmtId="0" fontId="1986" fillId="1983" borderId="1969" xfId="0" applyFont="1" applyFill="1" applyBorder="1" applyAlignment="1">
      <alignment wrapText="1"/>
    </xf>
    <xf numFmtId="0" fontId="1987" fillId="1984" borderId="1970" xfId="0" applyFont="1" applyFill="1" applyBorder="1" applyAlignment="1">
      <alignment wrapText="1"/>
    </xf>
    <xf numFmtId="0" fontId="1988" fillId="1985" borderId="1971" xfId="0" applyFont="1" applyFill="1" applyBorder="1" applyAlignment="1">
      <alignment wrapText="1"/>
    </xf>
    <xf numFmtId="0" fontId="1989" fillId="1986" borderId="1972" xfId="0" applyFont="1" applyFill="1" applyBorder="1" applyAlignment="1">
      <alignment wrapText="1"/>
    </xf>
    <xf numFmtId="0" fontId="1990" fillId="1987" borderId="1973" xfId="0" applyFont="1" applyFill="1" applyBorder="1" applyAlignment="1">
      <alignment wrapText="1"/>
    </xf>
    <xf numFmtId="0" fontId="1991" fillId="1988" borderId="1974" xfId="0" applyFont="1" applyFill="1" applyBorder="1" applyAlignment="1">
      <alignment wrapText="1"/>
    </xf>
    <xf numFmtId="0" fontId="1992" fillId="1989" borderId="1975" xfId="0" applyFont="1" applyFill="1" applyBorder="1" applyAlignment="1">
      <alignment wrapText="1"/>
    </xf>
    <xf numFmtId="0" fontId="1993" fillId="1990" borderId="1976" xfId="0" applyFont="1" applyFill="1" applyBorder="1" applyAlignment="1">
      <alignment wrapText="1"/>
    </xf>
    <xf numFmtId="0" fontId="1994" fillId="1991" borderId="1977" xfId="0" applyFont="1" applyFill="1" applyBorder="1" applyAlignment="1">
      <alignment wrapText="1"/>
    </xf>
    <xf numFmtId="0" fontId="1995" fillId="1992" borderId="1978" xfId="0" applyFont="1" applyFill="1" applyBorder="1" applyAlignment="1">
      <alignment wrapText="1"/>
    </xf>
    <xf numFmtId="0" fontId="1996" fillId="1993" borderId="1979" xfId="0" applyFont="1" applyFill="1" applyBorder="1" applyAlignment="1">
      <alignment horizontal="left" vertical="top" wrapText="1"/>
    </xf>
    <xf numFmtId="0" fontId="1997" fillId="1994" borderId="1980" xfId="0" applyFont="1" applyFill="1" applyBorder="1" applyAlignment="1">
      <alignment horizontal="left" vertical="top" wrapText="1"/>
    </xf>
    <xf numFmtId="0" fontId="1998" fillId="1995" borderId="1981" xfId="0" applyFont="1" applyFill="1" applyBorder="1" applyAlignment="1">
      <alignment wrapText="1"/>
    </xf>
    <xf numFmtId="0" fontId="1999" fillId="1996" borderId="1982" xfId="0" applyFont="1" applyFill="1" applyBorder="1" applyAlignment="1">
      <alignment wrapText="1"/>
    </xf>
    <xf numFmtId="0" fontId="2000" fillId="1997" borderId="1983" xfId="0" applyFont="1" applyFill="1" applyBorder="1" applyAlignment="1">
      <alignment wrapText="1"/>
    </xf>
    <xf numFmtId="0" fontId="2001" fillId="1998" borderId="1984" xfId="0" applyFont="1" applyFill="1" applyBorder="1" applyAlignment="1">
      <alignment wrapText="1"/>
    </xf>
    <xf numFmtId="0" fontId="2002" fillId="1999" borderId="1985" xfId="0" applyFont="1" applyFill="1" applyBorder="1" applyAlignment="1">
      <alignment wrapText="1"/>
    </xf>
    <xf numFmtId="0" fontId="2003" fillId="2000" borderId="1986" xfId="0" applyFont="1" applyFill="1" applyBorder="1" applyAlignment="1">
      <alignment wrapText="1"/>
    </xf>
    <xf numFmtId="0" fontId="2004" fillId="2001" borderId="1987" xfId="0" applyFont="1" applyFill="1" applyBorder="1" applyAlignment="1">
      <alignment wrapText="1"/>
    </xf>
    <xf numFmtId="0" fontId="2005" fillId="2002" borderId="1988" xfId="0" applyFont="1" applyFill="1" applyBorder="1" applyAlignment="1">
      <alignment wrapText="1"/>
    </xf>
    <xf numFmtId="0" fontId="2006" fillId="2003" borderId="1989" xfId="0" applyFont="1" applyFill="1" applyBorder="1" applyAlignment="1">
      <alignment wrapText="1"/>
    </xf>
    <xf numFmtId="0" fontId="2007" fillId="2004" borderId="1990" xfId="0" applyFont="1" applyFill="1" applyBorder="1" applyAlignment="1">
      <alignment wrapText="1"/>
    </xf>
    <xf numFmtId="0" fontId="2008" fillId="2005" borderId="1991" xfId="0" applyFont="1" applyFill="1" applyBorder="1" applyAlignment="1">
      <alignment wrapText="1"/>
    </xf>
    <xf numFmtId="0" fontId="2009" fillId="2006" borderId="1992" xfId="0" applyFont="1" applyFill="1" applyBorder="1" applyAlignment="1">
      <alignment wrapText="1"/>
    </xf>
    <xf numFmtId="0" fontId="2010" fillId="2007" borderId="1993" xfId="0" applyFont="1" applyFill="1" applyBorder="1" applyAlignment="1">
      <alignment wrapText="1"/>
    </xf>
    <xf numFmtId="0" fontId="2011" fillId="2008" borderId="1994" xfId="0" applyFont="1" applyFill="1" applyBorder="1" applyAlignment="1">
      <alignment wrapText="1"/>
    </xf>
    <xf numFmtId="0" fontId="2012" fillId="2009" borderId="1995" xfId="0" applyFont="1" applyFill="1" applyBorder="1" applyAlignment="1">
      <alignment wrapText="1"/>
    </xf>
    <xf numFmtId="0" fontId="2013" fillId="2010" borderId="1996" xfId="0" applyFont="1" applyFill="1" applyBorder="1" applyAlignment="1">
      <alignment wrapText="1"/>
    </xf>
    <xf numFmtId="0" fontId="2014" fillId="2011" borderId="1997" xfId="0" applyFont="1" applyFill="1" applyBorder="1" applyAlignment="1">
      <alignment horizontal="left" vertical="top"/>
    </xf>
    <xf numFmtId="0" fontId="2015" fillId="2012" borderId="1998" xfId="0" applyFont="1" applyFill="1" applyBorder="1" applyAlignment="1">
      <alignment horizontal="left" vertical="top"/>
    </xf>
    <xf numFmtId="0" fontId="2016" fillId="2013" borderId="1999" xfId="0" applyFont="1" applyFill="1" applyBorder="1" applyAlignment="1">
      <alignment wrapText="1"/>
    </xf>
    <xf numFmtId="0" fontId="2017" fillId="2014" borderId="2000" xfId="0" applyFont="1" applyFill="1" applyBorder="1" applyAlignment="1">
      <alignment wrapText="1"/>
    </xf>
    <xf numFmtId="0" fontId="2018" fillId="2015" borderId="2001" xfId="0" applyFont="1" applyFill="1" applyBorder="1" applyAlignment="1">
      <alignment wrapText="1"/>
    </xf>
    <xf numFmtId="0" fontId="2019" fillId="2016" borderId="2002" xfId="0" applyFont="1" applyFill="1" applyBorder="1" applyAlignment="1">
      <alignment wrapText="1"/>
    </xf>
    <xf numFmtId="0" fontId="2020" fillId="2017" borderId="2003" xfId="0" applyFont="1" applyFill="1" applyBorder="1" applyAlignment="1">
      <alignment horizontal="left" vertical="top"/>
    </xf>
    <xf numFmtId="0" fontId="2021" fillId="2018" borderId="2004" xfId="0" applyFont="1" applyFill="1" applyBorder="1" applyAlignment="1">
      <alignment horizontal="left" vertical="top"/>
    </xf>
    <xf numFmtId="0" fontId="2022" fillId="2019" borderId="2005" xfId="0" applyFont="1" applyFill="1" applyBorder="1" applyAlignment="1">
      <alignment wrapText="1"/>
    </xf>
    <xf numFmtId="0" fontId="2023" fillId="2020" borderId="2006" xfId="0" applyFont="1" applyFill="1" applyBorder="1" applyAlignment="1">
      <alignment wrapText="1"/>
    </xf>
    <xf numFmtId="0" fontId="2024" fillId="2021" borderId="2007" xfId="0" applyFont="1" applyFill="1" applyBorder="1" applyAlignment="1">
      <alignment wrapText="1"/>
    </xf>
    <xf numFmtId="0" fontId="2025" fillId="2022" borderId="2008" xfId="0" applyFont="1" applyFill="1" applyBorder="1" applyAlignment="1">
      <alignment wrapText="1"/>
    </xf>
    <xf numFmtId="0" fontId="2026" fillId="2023" borderId="2009" xfId="0" applyFont="1" applyFill="1" applyBorder="1" applyAlignment="1">
      <alignment wrapText="1"/>
    </xf>
    <xf numFmtId="0" fontId="2027" fillId="2024" borderId="2010" xfId="0" applyFont="1" applyFill="1" applyBorder="1" applyAlignment="1">
      <alignment wrapText="1"/>
    </xf>
    <xf numFmtId="0" fontId="2028" fillId="2025" borderId="2011" xfId="0" applyFont="1" applyFill="1" applyBorder="1" applyAlignment="1">
      <alignment horizontal="left" vertical="top" wrapText="1"/>
    </xf>
    <xf numFmtId="0" fontId="2029" fillId="2026" borderId="2012" xfId="0" applyFont="1" applyFill="1" applyBorder="1" applyAlignment="1">
      <alignment horizontal="left" vertical="top" wrapText="1"/>
    </xf>
    <xf numFmtId="0" fontId="2030" fillId="2027" borderId="2013" xfId="0" applyFont="1" applyFill="1" applyBorder="1" applyAlignment="1">
      <alignment horizontal="left" vertical="top"/>
    </xf>
    <xf numFmtId="0" fontId="2031" fillId="2028" borderId="2014" xfId="0" applyFont="1" applyFill="1" applyBorder="1" applyAlignment="1">
      <alignment horizontal="left" vertical="top"/>
    </xf>
    <xf numFmtId="0" fontId="2032" fillId="2029" borderId="2015" xfId="0" applyFont="1" applyFill="1" applyBorder="1" applyAlignment="1">
      <alignment horizontal="left" vertical="top"/>
    </xf>
    <xf numFmtId="0" fontId="2033" fillId="2030" borderId="2016" xfId="0" applyFont="1" applyFill="1" applyBorder="1" applyAlignment="1">
      <alignment horizontal="left" vertical="top"/>
    </xf>
    <xf numFmtId="0" fontId="2034" fillId="2031" borderId="2017" xfId="0" applyFont="1" applyFill="1" applyBorder="1" applyAlignment="1">
      <alignment wrapText="1"/>
    </xf>
    <xf numFmtId="0" fontId="2035" fillId="2032" borderId="2018" xfId="0" applyFont="1" applyFill="1" applyBorder="1" applyAlignment="1">
      <alignment wrapText="1"/>
    </xf>
    <xf numFmtId="0" fontId="2036" fillId="2033" borderId="2019" xfId="0" applyFont="1" applyFill="1" applyBorder="1" applyAlignment="1">
      <alignment wrapText="1"/>
    </xf>
    <xf numFmtId="0" fontId="2037" fillId="2034" borderId="2020" xfId="0" applyFont="1" applyFill="1" applyBorder="1" applyAlignment="1">
      <alignment wrapText="1"/>
    </xf>
    <xf numFmtId="0" fontId="2038" fillId="2035" borderId="2021" xfId="0" applyFont="1" applyFill="1" applyBorder="1" applyAlignment="1">
      <alignment wrapText="1"/>
    </xf>
    <xf numFmtId="0" fontId="2039" fillId="2036" borderId="2022" xfId="0" applyFont="1" applyFill="1" applyBorder="1" applyAlignment="1">
      <alignment wrapText="1"/>
    </xf>
    <xf numFmtId="0" fontId="2040" fillId="2037" borderId="2023" xfId="0" applyFont="1" applyFill="1" applyBorder="1" applyAlignment="1">
      <alignment horizontal="left" vertical="top"/>
    </xf>
    <xf numFmtId="0" fontId="2041" fillId="2038" borderId="2024" xfId="0" applyFont="1" applyFill="1" applyBorder="1" applyAlignment="1">
      <alignment horizontal="left" vertical="top"/>
    </xf>
    <xf numFmtId="0" fontId="1" fillId="2039" borderId="0" xfId="0" applyFont="1" applyFill="1" applyAlignment="1">
      <alignment horizontal="center" vertical="top"/>
    </xf>
    <xf numFmtId="0" fontId="1" fillId="2039" borderId="0" xfId="0" applyFont="1" applyFill="1" applyAlignment="1">
      <alignment vertical="top"/>
    </xf>
    <xf numFmtId="0" fontId="1" fillId="2039" borderId="1" xfId="0" applyFont="1" applyFill="1" applyBorder="1" applyAlignment="1">
      <alignment wrapText="1"/>
    </xf>
    <xf numFmtId="0" fontId="1" fillId="2039" borderId="0" xfId="0" applyFont="1" applyFill="1" applyAlignment="1">
      <alignment wrapText="1"/>
    </xf>
    <xf numFmtId="0" fontId="13" fillId="2039" borderId="0" xfId="0" applyFont="1" applyFill="1" applyAlignment="1">
      <alignment vertical="top" wrapText="1"/>
    </xf>
    <xf numFmtId="0" fontId="10" fillId="2039" borderId="0" xfId="0" applyFont="1" applyFill="1" applyAlignment="1">
      <alignment vertical="top" wrapText="1"/>
    </xf>
    <xf numFmtId="0" fontId="10" fillId="2039" borderId="0" xfId="0" applyFont="1" applyFill="1" applyAlignment="1">
      <alignment wrapText="1"/>
    </xf>
    <xf numFmtId="0" fontId="1" fillId="2039" borderId="0" xfId="0" applyFont="1" applyFill="1" applyAlignment="1">
      <alignment horizontal="left"/>
    </xf>
    <xf numFmtId="0" fontId="1" fillId="2039" borderId="0" xfId="0" applyFont="1" applyFill="1" applyAlignment="1">
      <alignment horizontal="left" wrapText="1"/>
    </xf>
    <xf numFmtId="165" fontId="1" fillId="2039" borderId="0" xfId="0" applyNumberFormat="1" applyFont="1" applyFill="1" applyAlignment="1">
      <alignment horizontal="left"/>
    </xf>
    <xf numFmtId="0" fontId="10" fillId="2039" borderId="0" xfId="0" applyFont="1" applyFill="1" applyAlignment="1">
      <alignment horizontal="left"/>
    </xf>
    <xf numFmtId="0" fontId="157" fillId="2039" borderId="0" xfId="0" applyFont="1" applyFill="1" applyAlignment="1">
      <alignment horizontal="left"/>
    </xf>
    <xf numFmtId="14" fontId="157" fillId="2039" borderId="0" xfId="0" applyNumberFormat="1" applyFont="1" applyFill="1" applyAlignment="1">
      <alignment horizontal="left"/>
    </xf>
    <xf numFmtId="14" fontId="10" fillId="2039" borderId="0" xfId="0" applyNumberFormat="1" applyFont="1" applyFill="1" applyAlignment="1">
      <alignment horizontal="left"/>
    </xf>
    <xf numFmtId="165" fontId="1" fillId="2039" borderId="0" xfId="0" applyNumberFormat="1" applyFont="1" applyFill="1" applyAlignment="1">
      <alignment horizontal="left" vertical="top"/>
    </xf>
    <xf numFmtId="0" fontId="16" fillId="2039" borderId="0" xfId="0" applyFont="1" applyFill="1" applyAlignment="1">
      <alignment horizontal="left" wrapText="1"/>
    </xf>
    <xf numFmtId="0" fontId="10" fillId="2039" borderId="0" xfId="0" applyFont="1" applyFill="1" applyAlignment="1">
      <alignment horizontal="left" wrapText="1"/>
    </xf>
    <xf numFmtId="0" fontId="2042" fillId="2040" borderId="2025" xfId="0" applyFont="1" applyFill="1" applyBorder="1" applyAlignment="1">
      <alignment vertical="top"/>
    </xf>
    <xf numFmtId="0" fontId="2043" fillId="2041" borderId="2026" xfId="0" applyFont="1" applyFill="1" applyBorder="1" applyAlignment="1">
      <alignment vertical="top"/>
    </xf>
    <xf numFmtId="0" fontId="2044" fillId="2042" borderId="2027" xfId="0" applyFont="1" applyFill="1" applyBorder="1" applyAlignment="1">
      <alignment wrapText="1"/>
    </xf>
    <xf numFmtId="0" fontId="2045" fillId="2043" borderId="2028" xfId="0" applyFont="1" applyFill="1" applyBorder="1" applyAlignment="1">
      <alignment wrapText="1"/>
    </xf>
    <xf numFmtId="0" fontId="2046" fillId="2044" borderId="2029" xfId="0" applyFont="1" applyFill="1" applyBorder="1" applyAlignment="1">
      <alignment vertical="top" wrapText="1"/>
    </xf>
    <xf numFmtId="0" fontId="2047" fillId="2045" borderId="2030" xfId="0" applyFont="1" applyFill="1" applyBorder="1" applyAlignment="1">
      <alignment vertical="top" wrapText="1"/>
    </xf>
    <xf numFmtId="0" fontId="2048" fillId="2046" borderId="2031" xfId="0" applyFont="1" applyFill="1" applyBorder="1" applyAlignment="1">
      <alignment wrapText="1"/>
    </xf>
    <xf numFmtId="0" fontId="2049" fillId="2047" borderId="2032" xfId="0" applyFont="1" applyFill="1" applyBorder="1" applyAlignment="1">
      <alignment wrapText="1"/>
    </xf>
    <xf numFmtId="0" fontId="2050" fillId="2048" borderId="2033" xfId="0" applyFont="1" applyFill="1" applyBorder="1" applyAlignment="1">
      <alignment wrapText="1"/>
    </xf>
    <xf numFmtId="0" fontId="2051" fillId="2049" borderId="2034" xfId="0" applyFont="1" applyFill="1" applyBorder="1" applyAlignment="1">
      <alignment wrapText="1"/>
    </xf>
    <xf numFmtId="0" fontId="2052" fillId="2050" borderId="2035" xfId="0" applyFont="1" applyFill="1" applyBorder="1" applyAlignment="1">
      <alignment wrapText="1"/>
    </xf>
    <xf numFmtId="0" fontId="2053" fillId="2051" borderId="2036" xfId="0" applyFont="1" applyFill="1" applyBorder="1" applyAlignment="1">
      <alignment wrapText="1"/>
    </xf>
    <xf numFmtId="0" fontId="2054" fillId="2052" borderId="2037" xfId="0" applyFont="1" applyFill="1" applyBorder="1" applyAlignment="1">
      <alignment horizontal="left" wrapText="1"/>
    </xf>
    <xf numFmtId="0" fontId="2055" fillId="2053" borderId="2038" xfId="0" applyFont="1" applyFill="1" applyBorder="1" applyAlignment="1">
      <alignment horizontal="left" wrapText="1"/>
    </xf>
    <xf numFmtId="0" fontId="2056" fillId="2054" borderId="2039" xfId="0" applyFont="1" applyFill="1" applyBorder="1" applyAlignment="1">
      <alignment wrapText="1"/>
    </xf>
    <xf numFmtId="0" fontId="2057" fillId="2055" borderId="2040" xfId="0" applyFont="1" applyFill="1" applyBorder="1" applyAlignment="1">
      <alignment wrapText="1"/>
    </xf>
    <xf numFmtId="0" fontId="2058" fillId="2056" borderId="2041" xfId="0" applyFont="1" applyFill="1" applyBorder="1" applyAlignment="1">
      <alignment horizontal="left" vertical="top"/>
    </xf>
    <xf numFmtId="0" fontId="2059" fillId="2057" borderId="2042" xfId="0" applyFont="1" applyFill="1" applyBorder="1" applyAlignment="1">
      <alignment horizontal="left" vertical="top"/>
    </xf>
    <xf numFmtId="0" fontId="2060" fillId="2058" borderId="2043" xfId="0" applyFont="1" applyFill="1" applyBorder="1" applyAlignment="1">
      <alignment horizontal="left" vertical="top"/>
    </xf>
    <xf numFmtId="0" fontId="2061" fillId="2059" borderId="2044" xfId="0" applyFont="1" applyFill="1" applyBorder="1" applyAlignment="1">
      <alignment horizontal="left" vertical="top"/>
    </xf>
    <xf numFmtId="0" fontId="2062" fillId="2060" borderId="2045" xfId="0" applyFont="1" applyFill="1" applyBorder="1" applyAlignment="1">
      <alignment horizontal="left" vertical="top"/>
    </xf>
    <xf numFmtId="0" fontId="2063" fillId="2061" borderId="2046" xfId="0" applyFont="1" applyFill="1" applyBorder="1" applyAlignment="1">
      <alignment horizontal="left" vertical="top"/>
    </xf>
    <xf numFmtId="0" fontId="2064" fillId="2062" borderId="2047" xfId="0" applyFont="1" applyFill="1" applyBorder="1" applyAlignment="1">
      <alignment wrapText="1"/>
    </xf>
    <xf numFmtId="0" fontId="2065" fillId="2063" borderId="2048" xfId="0" applyFont="1" applyFill="1" applyBorder="1" applyAlignment="1">
      <alignment wrapText="1"/>
    </xf>
    <xf numFmtId="0" fontId="2066" fillId="2064" borderId="2049" xfId="0" applyFont="1" applyFill="1" applyBorder="1" applyAlignment="1">
      <alignment wrapText="1"/>
    </xf>
    <xf numFmtId="0" fontId="2067" fillId="2065" borderId="2050" xfId="0" applyFont="1" applyFill="1" applyBorder="1" applyAlignment="1">
      <alignment wrapText="1"/>
    </xf>
    <xf numFmtId="0" fontId="2068" fillId="2066" borderId="2051" xfId="0" applyFont="1" applyFill="1" applyBorder="1" applyAlignment="1">
      <alignment vertical="top" wrapText="1"/>
    </xf>
    <xf numFmtId="0" fontId="2069" fillId="2067" borderId="2052" xfId="0" applyFont="1" applyFill="1" applyBorder="1" applyAlignment="1">
      <alignment vertical="top" wrapText="1"/>
    </xf>
    <xf numFmtId="0" fontId="2070" fillId="2068" borderId="2053" xfId="0" applyFont="1" applyFill="1" applyBorder="1" applyAlignment="1">
      <alignment horizontal="left" wrapText="1"/>
    </xf>
    <xf numFmtId="0" fontId="2071" fillId="2069" borderId="2054" xfId="0" applyFont="1" applyFill="1" applyBorder="1" applyAlignment="1">
      <alignment horizontal="left" wrapText="1"/>
    </xf>
    <xf numFmtId="0" fontId="2072" fillId="2070" borderId="2055" xfId="0" applyFont="1" applyFill="1" applyBorder="1" applyAlignment="1">
      <alignment horizontal="left" wrapText="1"/>
    </xf>
    <xf numFmtId="0" fontId="2073" fillId="2071" borderId="2056" xfId="0" applyFont="1" applyFill="1" applyBorder="1" applyAlignment="1">
      <alignment horizontal="left" wrapText="1"/>
    </xf>
    <xf numFmtId="0" fontId="2074" fillId="2072" borderId="2057" xfId="0" applyFont="1" applyFill="1" applyBorder="1" applyAlignment="1">
      <alignment horizontal="left" wrapText="1"/>
    </xf>
    <xf numFmtId="0" fontId="2075" fillId="2073" borderId="2058" xfId="0" applyFont="1" applyFill="1" applyBorder="1" applyAlignment="1">
      <alignment horizontal="left" wrapText="1"/>
    </xf>
    <xf numFmtId="0" fontId="2076" fillId="2074" borderId="2059" xfId="0" applyFont="1" applyFill="1" applyBorder="1" applyAlignment="1">
      <alignment horizontal="left" wrapText="1"/>
    </xf>
    <xf numFmtId="0" fontId="2077" fillId="2075" borderId="2060" xfId="0" applyFont="1" applyFill="1" applyBorder="1" applyAlignment="1">
      <alignment horizontal="left" wrapText="1"/>
    </xf>
    <xf numFmtId="0" fontId="2078" fillId="2076" borderId="2061" xfId="0" applyFont="1" applyFill="1" applyBorder="1" applyAlignment="1">
      <alignment horizontal="left" vertical="top"/>
    </xf>
    <xf numFmtId="0" fontId="2079" fillId="2077" borderId="2062" xfId="0" applyFont="1" applyFill="1" applyBorder="1" applyAlignment="1">
      <alignment horizontal="left" vertical="top"/>
    </xf>
    <xf numFmtId="0" fontId="2080" fillId="2078" borderId="2063" xfId="0" applyFont="1" applyFill="1" applyBorder="1" applyAlignment="1">
      <alignment horizontal="left" wrapText="1"/>
    </xf>
    <xf numFmtId="0" fontId="2081" fillId="2079" borderId="2064" xfId="0" applyFont="1" applyFill="1" applyBorder="1" applyAlignment="1">
      <alignment horizontal="left" wrapText="1"/>
    </xf>
    <xf numFmtId="0" fontId="2082" fillId="2080" borderId="2065" xfId="0" applyFont="1" applyFill="1" applyBorder="1" applyAlignment="1">
      <alignment wrapText="1"/>
    </xf>
    <xf numFmtId="0" fontId="2083" fillId="2081" borderId="2066" xfId="0" applyFont="1" applyFill="1" applyBorder="1" applyAlignment="1">
      <alignment wrapText="1"/>
    </xf>
    <xf numFmtId="0" fontId="2084" fillId="2082" borderId="2067" xfId="0" applyFont="1" applyFill="1" applyBorder="1" applyAlignment="1">
      <alignment horizontal="left" vertical="top"/>
    </xf>
    <xf numFmtId="0" fontId="2085" fillId="2083" borderId="2068" xfId="0" applyFont="1" applyFill="1" applyBorder="1" applyAlignment="1">
      <alignment horizontal="left" vertical="top"/>
    </xf>
    <xf numFmtId="0" fontId="2086" fillId="2084" borderId="2069" xfId="0" applyFont="1" applyFill="1" applyBorder="1" applyAlignment="1">
      <alignment wrapText="1"/>
    </xf>
    <xf numFmtId="0" fontId="2087" fillId="2085" borderId="2070" xfId="0" applyFont="1" applyFill="1" applyBorder="1" applyAlignment="1">
      <alignment wrapText="1"/>
    </xf>
    <xf numFmtId="0" fontId="2088" fillId="2086" borderId="2071" xfId="0" applyFont="1" applyFill="1" applyBorder="1" applyAlignment="1">
      <alignment horizontal="left" vertical="top"/>
    </xf>
    <xf numFmtId="0" fontId="2089" fillId="2087" borderId="2072" xfId="0" applyFont="1" applyFill="1" applyBorder="1" applyAlignment="1">
      <alignment horizontal="left" vertical="top"/>
    </xf>
    <xf numFmtId="0" fontId="2090" fillId="2088" borderId="2073" xfId="0" applyFont="1" applyFill="1" applyBorder="1" applyAlignment="1">
      <alignment horizontal="left" wrapText="1"/>
    </xf>
    <xf numFmtId="0" fontId="2091" fillId="2089" borderId="2074" xfId="0" applyFont="1" applyFill="1" applyBorder="1" applyAlignment="1">
      <alignment horizontal="left" wrapText="1"/>
    </xf>
    <xf numFmtId="0" fontId="2092" fillId="2090" borderId="2075" xfId="0" applyFont="1" applyFill="1" applyBorder="1" applyAlignment="1">
      <alignment horizontal="left" vertical="top"/>
    </xf>
    <xf numFmtId="0" fontId="2093" fillId="2091" borderId="2076" xfId="0" applyFont="1" applyFill="1" applyBorder="1" applyAlignment="1">
      <alignment horizontal="left" vertical="top"/>
    </xf>
    <xf numFmtId="0" fontId="2094" fillId="2092" borderId="2077" xfId="0" applyFont="1" applyFill="1" applyBorder="1" applyAlignment="1">
      <alignment horizontal="left" wrapText="1"/>
    </xf>
    <xf numFmtId="0" fontId="2095" fillId="2093" borderId="2078" xfId="0" applyFont="1" applyFill="1" applyBorder="1" applyAlignment="1">
      <alignment horizontal="left" wrapText="1"/>
    </xf>
    <xf numFmtId="0" fontId="2096" fillId="2094" borderId="2079" xfId="0" applyFont="1" applyFill="1" applyBorder="1" applyAlignment="1">
      <alignment horizontal="left" wrapText="1"/>
    </xf>
    <xf numFmtId="0" fontId="2097" fillId="2095" borderId="2080" xfId="0" applyFont="1" applyFill="1" applyBorder="1" applyAlignment="1">
      <alignment horizontal="left" wrapText="1"/>
    </xf>
    <xf numFmtId="0" fontId="2098" fillId="2096" borderId="2081" xfId="0" applyFont="1" applyFill="1" applyBorder="1" applyAlignment="1">
      <alignment horizontal="left" wrapText="1"/>
    </xf>
    <xf numFmtId="0" fontId="2099" fillId="2097" borderId="2082" xfId="0" applyFont="1" applyFill="1" applyBorder="1" applyAlignment="1">
      <alignment horizontal="left" wrapText="1"/>
    </xf>
    <xf numFmtId="0" fontId="2100" fillId="2098" borderId="2083" xfId="0" applyFont="1" applyFill="1" applyBorder="1" applyAlignment="1">
      <alignment vertical="top"/>
    </xf>
    <xf numFmtId="0" fontId="2101" fillId="2099" borderId="2084" xfId="0" applyFont="1" applyFill="1" applyBorder="1" applyAlignment="1">
      <alignment vertical="top"/>
    </xf>
    <xf numFmtId="0" fontId="2102" fillId="2100" borderId="2085" xfId="0" applyFont="1" applyFill="1" applyBorder="1" applyAlignment="1">
      <alignment wrapText="1"/>
    </xf>
    <xf numFmtId="0" fontId="2103" fillId="2101" borderId="2086" xfId="0" applyFont="1" applyFill="1" applyBorder="1" applyAlignment="1">
      <alignment wrapText="1"/>
    </xf>
    <xf numFmtId="0" fontId="2104" fillId="2102" borderId="2087" xfId="0" applyFont="1" applyFill="1" applyBorder="1" applyAlignment="1">
      <alignment horizontal="left" vertical="top" wrapText="1"/>
    </xf>
    <xf numFmtId="0" fontId="2105" fillId="2103" borderId="2088" xfId="0" applyFont="1" applyFill="1" applyBorder="1" applyAlignment="1">
      <alignment horizontal="left" vertical="top" wrapText="1"/>
    </xf>
    <xf numFmtId="0" fontId="2106" fillId="2104" borderId="2089" xfId="0" applyFont="1" applyFill="1" applyBorder="1" applyAlignment="1">
      <alignment horizontal="left" vertical="top"/>
    </xf>
    <xf numFmtId="0" fontId="2107" fillId="2105" borderId="2090" xfId="0" applyFont="1" applyFill="1" applyBorder="1" applyAlignment="1">
      <alignment horizontal="left" vertical="top"/>
    </xf>
    <xf numFmtId="0" fontId="2108" fillId="2106" borderId="2091" xfId="0" applyFont="1" applyFill="1" applyBorder="1" applyAlignment="1">
      <alignment wrapText="1"/>
    </xf>
    <xf numFmtId="0" fontId="2109" fillId="2107" borderId="2092" xfId="0" applyFont="1" applyFill="1" applyBorder="1" applyAlignment="1">
      <alignment wrapText="1"/>
    </xf>
    <xf numFmtId="0" fontId="2110" fillId="2108" borderId="2093" xfId="0" applyFont="1" applyFill="1" applyBorder="1" applyAlignment="1">
      <alignment wrapText="1"/>
    </xf>
    <xf numFmtId="0" fontId="2111" fillId="2109" borderId="2094" xfId="0" applyFont="1" applyFill="1" applyBorder="1" applyAlignment="1">
      <alignment wrapText="1"/>
    </xf>
    <xf numFmtId="0" fontId="2112" fillId="2110" borderId="2095" xfId="0" applyFont="1" applyFill="1" applyBorder="1" applyAlignment="1">
      <alignment wrapText="1"/>
    </xf>
    <xf numFmtId="0" fontId="2113" fillId="2111" borderId="2096" xfId="0" applyFont="1" applyFill="1" applyBorder="1" applyAlignment="1">
      <alignment wrapText="1"/>
    </xf>
    <xf numFmtId="0" fontId="2114" fillId="2112" borderId="2097" xfId="0" applyFont="1" applyFill="1" applyBorder="1" applyAlignment="1">
      <alignment wrapText="1"/>
    </xf>
    <xf numFmtId="0" fontId="2115" fillId="2113" borderId="2098" xfId="0" applyFont="1" applyFill="1" applyBorder="1" applyAlignment="1">
      <alignment wrapText="1"/>
    </xf>
    <xf numFmtId="0" fontId="2116" fillId="2114" borderId="2099" xfId="0" applyFont="1" applyFill="1" applyBorder="1" applyAlignment="1">
      <alignment wrapText="1"/>
    </xf>
    <xf numFmtId="0" fontId="2117" fillId="2115" borderId="2100" xfId="0" applyFont="1" applyFill="1" applyBorder="1" applyAlignment="1">
      <alignment wrapText="1"/>
    </xf>
    <xf numFmtId="0" fontId="2118" fillId="2116" borderId="2101" xfId="0" applyFont="1" applyFill="1" applyBorder="1" applyAlignment="1">
      <alignment wrapText="1"/>
    </xf>
    <xf numFmtId="0" fontId="2119" fillId="2117" borderId="2102" xfId="0" applyFont="1" applyFill="1" applyBorder="1" applyAlignment="1">
      <alignment wrapText="1"/>
    </xf>
    <xf numFmtId="0" fontId="2120" fillId="2118" borderId="2103" xfId="0" applyFont="1" applyFill="1" applyBorder="1" applyAlignment="1">
      <alignment wrapText="1"/>
    </xf>
    <xf numFmtId="0" fontId="2121" fillId="2119" borderId="2104" xfId="0" applyFont="1" applyFill="1" applyBorder="1" applyAlignment="1">
      <alignment wrapText="1"/>
    </xf>
    <xf numFmtId="0" fontId="2122" fillId="2120" borderId="2105" xfId="0" applyFont="1" applyFill="1" applyBorder="1" applyAlignment="1">
      <alignment horizontal="left" vertical="top" wrapText="1"/>
    </xf>
    <xf numFmtId="0" fontId="2123" fillId="2121" borderId="2106" xfId="0" applyFont="1" applyFill="1" applyBorder="1" applyAlignment="1">
      <alignment horizontal="left" vertical="top" wrapText="1"/>
    </xf>
    <xf numFmtId="0" fontId="2124" fillId="2122" borderId="2107" xfId="0" applyFont="1" applyFill="1" applyBorder="1" applyAlignment="1">
      <alignment wrapText="1"/>
    </xf>
    <xf numFmtId="0" fontId="2125" fillId="2123" borderId="2108" xfId="0" applyFont="1" applyFill="1" applyBorder="1" applyAlignment="1">
      <alignment wrapText="1"/>
    </xf>
    <xf numFmtId="0" fontId="2126" fillId="2124" borderId="2109" xfId="0" applyFont="1" applyFill="1" applyBorder="1" applyAlignment="1">
      <alignment wrapText="1"/>
    </xf>
    <xf numFmtId="0" fontId="2127" fillId="2125" borderId="2110" xfId="0" applyFont="1" applyFill="1" applyBorder="1" applyAlignment="1">
      <alignment wrapText="1"/>
    </xf>
    <xf numFmtId="0" fontId="2128" fillId="2126" borderId="2111" xfId="0" applyFont="1" applyFill="1" applyBorder="1" applyAlignment="1">
      <alignment wrapText="1"/>
    </xf>
    <xf numFmtId="0" fontId="2129" fillId="2127" borderId="2112" xfId="0" applyFont="1" applyFill="1" applyBorder="1" applyAlignment="1">
      <alignment wrapText="1"/>
    </xf>
    <xf numFmtId="0" fontId="2130" fillId="2128" borderId="2113" xfId="0" applyFont="1" applyFill="1" applyBorder="1" applyAlignment="1">
      <alignment wrapText="1"/>
    </xf>
    <xf numFmtId="0" fontId="2131" fillId="2129" borderId="2114" xfId="0" applyFont="1" applyFill="1" applyBorder="1" applyAlignment="1">
      <alignment wrapText="1"/>
    </xf>
    <xf numFmtId="0" fontId="2132" fillId="2130" borderId="2115" xfId="0" applyFont="1" applyFill="1" applyBorder="1" applyAlignment="1">
      <alignment wrapText="1"/>
    </xf>
    <xf numFmtId="0" fontId="2133" fillId="2131" borderId="2116" xfId="0" applyFont="1" applyFill="1" applyBorder="1" applyAlignment="1">
      <alignment wrapText="1"/>
    </xf>
    <xf numFmtId="0" fontId="2134" fillId="2132" borderId="2117" xfId="0" applyFont="1" applyFill="1" applyBorder="1" applyAlignment="1">
      <alignment wrapText="1"/>
    </xf>
    <xf numFmtId="0" fontId="2135" fillId="2133" borderId="2118" xfId="0" applyFont="1" applyFill="1" applyBorder="1" applyAlignment="1">
      <alignment wrapText="1"/>
    </xf>
    <xf numFmtId="0" fontId="2136" fillId="2134" borderId="2119" xfId="0" applyFont="1" applyFill="1" applyBorder="1" applyAlignment="1">
      <alignment wrapText="1"/>
    </xf>
    <xf numFmtId="0" fontId="2137" fillId="2135" borderId="2120" xfId="0" applyFont="1" applyFill="1" applyBorder="1" applyAlignment="1">
      <alignment wrapText="1"/>
    </xf>
    <xf numFmtId="0" fontId="2138" fillId="2136" borderId="2121" xfId="0" applyFont="1" applyFill="1" applyBorder="1" applyAlignment="1">
      <alignment wrapText="1"/>
    </xf>
    <xf numFmtId="0" fontId="2139" fillId="2137" borderId="2122" xfId="0" applyFont="1" applyFill="1" applyBorder="1" applyAlignment="1">
      <alignment wrapText="1"/>
    </xf>
    <xf numFmtId="0" fontId="2140" fillId="2138" borderId="2123" xfId="0" applyFont="1" applyFill="1" applyBorder="1" applyAlignment="1">
      <alignment wrapText="1"/>
    </xf>
    <xf numFmtId="0" fontId="2141" fillId="2139" borderId="2124" xfId="0" applyFont="1" applyFill="1" applyBorder="1" applyAlignment="1">
      <alignment wrapText="1"/>
    </xf>
    <xf numFmtId="0" fontId="2142" fillId="2140" borderId="2125" xfId="0" applyFont="1" applyFill="1" applyBorder="1" applyAlignment="1">
      <alignment wrapText="1"/>
    </xf>
    <xf numFmtId="0" fontId="2143" fillId="2141" borderId="2126" xfId="0" applyFont="1" applyFill="1" applyBorder="1" applyAlignment="1">
      <alignment wrapText="1"/>
    </xf>
    <xf numFmtId="0" fontId="2144" fillId="2142" borderId="2127" xfId="0" applyFont="1" applyFill="1" applyBorder="1" applyAlignment="1">
      <alignment wrapText="1"/>
    </xf>
    <xf numFmtId="0" fontId="2145" fillId="2143" borderId="2128" xfId="0" applyFont="1" applyFill="1" applyBorder="1" applyAlignment="1">
      <alignment wrapText="1"/>
    </xf>
    <xf numFmtId="0" fontId="2146" fillId="2144" borderId="2129" xfId="0" applyFont="1" applyFill="1" applyBorder="1" applyAlignment="1">
      <alignment wrapText="1"/>
    </xf>
    <xf numFmtId="0" fontId="2147" fillId="2145" borderId="2130" xfId="0" applyFont="1" applyFill="1" applyBorder="1" applyAlignment="1">
      <alignment wrapText="1"/>
    </xf>
    <xf numFmtId="0" fontId="2148" fillId="2146" borderId="2131" xfId="0" applyFont="1" applyFill="1" applyBorder="1" applyAlignment="1">
      <alignment horizontal="left" vertical="top"/>
    </xf>
    <xf numFmtId="0" fontId="2149" fillId="2147" borderId="2132" xfId="0" applyFont="1" applyFill="1" applyBorder="1" applyAlignment="1">
      <alignment horizontal="left" vertical="top"/>
    </xf>
    <xf numFmtId="0" fontId="2150" fillId="2148" borderId="2133" xfId="0" applyFont="1" applyFill="1" applyBorder="1" applyAlignment="1">
      <alignment wrapText="1"/>
    </xf>
    <xf numFmtId="0" fontId="2151" fillId="2149" borderId="2134" xfId="0" applyFont="1" applyFill="1" applyBorder="1" applyAlignment="1">
      <alignment wrapText="1"/>
    </xf>
    <xf numFmtId="0" fontId="2152" fillId="2150" borderId="2135" xfId="0" applyFont="1" applyFill="1" applyBorder="1" applyAlignment="1">
      <alignment horizontal="left" vertical="top"/>
    </xf>
    <xf numFmtId="0" fontId="2153" fillId="2151" borderId="2136" xfId="0" applyFont="1" applyFill="1" applyBorder="1" applyAlignment="1">
      <alignment horizontal="left" vertical="top"/>
    </xf>
    <xf numFmtId="0" fontId="2154" fillId="2152" borderId="2137" xfId="0" applyFont="1" applyFill="1" applyBorder="1" applyAlignment="1">
      <alignment horizontal="left" vertical="top"/>
    </xf>
    <xf numFmtId="0" fontId="2155" fillId="2153" borderId="2138" xfId="0" applyFont="1" applyFill="1" applyBorder="1" applyAlignment="1">
      <alignment horizontal="left" vertical="top"/>
    </xf>
    <xf numFmtId="0" fontId="2156" fillId="2154" borderId="2139" xfId="0" applyFont="1" applyFill="1" applyBorder="1" applyAlignment="1">
      <alignment wrapText="1"/>
    </xf>
    <xf numFmtId="0" fontId="2157" fillId="2155" borderId="2140" xfId="0" applyFont="1" applyFill="1" applyBorder="1" applyAlignment="1">
      <alignment wrapText="1"/>
    </xf>
    <xf numFmtId="0" fontId="2158" fillId="2156" borderId="2141" xfId="0" applyFont="1" applyFill="1" applyBorder="1" applyAlignment="1">
      <alignment horizontal="left" vertical="top"/>
    </xf>
    <xf numFmtId="0" fontId="2159" fillId="2157" borderId="2142" xfId="0" applyFont="1" applyFill="1" applyBorder="1" applyAlignment="1">
      <alignment horizontal="left" vertical="top"/>
    </xf>
    <xf numFmtId="0" fontId="2160" fillId="2158" borderId="2143" xfId="0" applyFont="1" applyFill="1" applyBorder="1" applyAlignment="1">
      <alignment wrapText="1"/>
    </xf>
    <xf numFmtId="0" fontId="2161" fillId="2159" borderId="2144" xfId="0" applyFont="1" applyFill="1" applyBorder="1" applyAlignment="1">
      <alignment wrapText="1"/>
    </xf>
    <xf numFmtId="0" fontId="2162" fillId="2160" borderId="2145" xfId="0" applyFont="1" applyFill="1" applyBorder="1" applyAlignment="1">
      <alignment wrapText="1"/>
    </xf>
    <xf numFmtId="0" fontId="2163" fillId="2161" borderId="2146" xfId="0" applyFont="1" applyFill="1" applyBorder="1" applyAlignment="1">
      <alignment wrapText="1"/>
    </xf>
    <xf numFmtId="0" fontId="2164" fillId="2162" borderId="2147" xfId="0" applyFont="1" applyFill="1" applyBorder="1" applyAlignment="1">
      <alignment wrapText="1"/>
    </xf>
    <xf numFmtId="0" fontId="2165" fillId="2163" borderId="2148" xfId="0" applyFont="1" applyFill="1" applyBorder="1" applyAlignment="1">
      <alignment wrapText="1"/>
    </xf>
    <xf numFmtId="0" fontId="2166" fillId="2164" borderId="2149" xfId="0" applyFont="1" applyFill="1" applyBorder="1" applyAlignment="1">
      <alignment wrapText="1"/>
    </xf>
    <xf numFmtId="0" fontId="2167" fillId="2165" borderId="2150" xfId="0" applyFont="1" applyFill="1" applyBorder="1" applyAlignment="1">
      <alignment wrapText="1"/>
    </xf>
    <xf numFmtId="0" fontId="2168" fillId="2166" borderId="2151" xfId="0" applyFont="1" applyFill="1" applyBorder="1" applyAlignment="1">
      <alignment horizontal="left" vertical="top" wrapText="1"/>
    </xf>
    <xf numFmtId="0" fontId="2169" fillId="2167" borderId="2152" xfId="0" applyFont="1" applyFill="1" applyBorder="1" applyAlignment="1">
      <alignment horizontal="left" vertical="top" wrapText="1"/>
    </xf>
    <xf numFmtId="0" fontId="2170" fillId="2168" borderId="2153" xfId="0" applyFont="1" applyFill="1" applyBorder="1" applyAlignment="1">
      <alignment wrapText="1"/>
    </xf>
    <xf numFmtId="0" fontId="2171" fillId="2169" borderId="2154" xfId="0" applyFont="1" applyFill="1" applyBorder="1" applyAlignment="1">
      <alignment wrapText="1"/>
    </xf>
    <xf numFmtId="0" fontId="2172" fillId="2170" borderId="2155" xfId="0" applyFont="1" applyFill="1" applyBorder="1" applyAlignment="1">
      <alignment wrapText="1"/>
    </xf>
    <xf numFmtId="0" fontId="2173" fillId="2171" borderId="2156" xfId="0" applyFont="1" applyFill="1" applyBorder="1" applyAlignment="1">
      <alignment wrapText="1"/>
    </xf>
    <xf numFmtId="0" fontId="2174" fillId="2172" borderId="2157" xfId="0" applyFont="1" applyFill="1" applyBorder="1" applyAlignment="1">
      <alignment wrapText="1"/>
    </xf>
    <xf numFmtId="0" fontId="2175" fillId="2173" borderId="2158" xfId="0" applyFont="1" applyFill="1" applyBorder="1" applyAlignment="1">
      <alignment wrapText="1"/>
    </xf>
    <xf numFmtId="0" fontId="2176" fillId="2174" borderId="2159" xfId="0" applyFont="1" applyFill="1" applyBorder="1" applyAlignment="1">
      <alignment wrapText="1"/>
    </xf>
    <xf numFmtId="0" fontId="2177" fillId="2175" borderId="2160" xfId="0" applyFont="1" applyFill="1" applyBorder="1" applyAlignment="1">
      <alignment wrapText="1"/>
    </xf>
    <xf numFmtId="0" fontId="2178" fillId="2176" borderId="2161" xfId="0" applyFont="1" applyFill="1" applyBorder="1" applyAlignment="1">
      <alignment wrapText="1"/>
    </xf>
    <xf numFmtId="0" fontId="2179" fillId="2177" borderId="2162" xfId="0" applyFont="1" applyFill="1" applyBorder="1" applyAlignment="1">
      <alignment wrapText="1"/>
    </xf>
    <xf numFmtId="0" fontId="2180" fillId="2178" borderId="2163" xfId="0" applyFont="1" applyFill="1" applyBorder="1" applyAlignment="1">
      <alignment wrapText="1"/>
    </xf>
    <xf numFmtId="0" fontId="2181" fillId="2179" borderId="2164" xfId="0" applyFont="1" applyFill="1" applyBorder="1" applyAlignment="1">
      <alignment wrapText="1"/>
    </xf>
    <xf numFmtId="0" fontId="2182" fillId="2180" borderId="2165" xfId="0" applyFont="1" applyFill="1" applyBorder="1" applyAlignment="1">
      <alignment wrapText="1"/>
    </xf>
    <xf numFmtId="0" fontId="2183" fillId="2181" borderId="2166" xfId="0" applyFont="1" applyFill="1" applyBorder="1" applyAlignment="1">
      <alignment wrapText="1"/>
    </xf>
    <xf numFmtId="0" fontId="2184" fillId="2182" borderId="2167" xfId="0" applyFont="1" applyFill="1" applyBorder="1" applyAlignment="1">
      <alignment wrapText="1"/>
    </xf>
    <xf numFmtId="0" fontId="2185" fillId="2183" borderId="2168" xfId="0" applyFont="1" applyFill="1" applyBorder="1" applyAlignment="1">
      <alignment wrapText="1"/>
    </xf>
    <xf numFmtId="0" fontId="2186" fillId="2184" borderId="2169" xfId="0" applyFont="1" applyFill="1" applyBorder="1" applyAlignment="1">
      <alignment horizontal="left" vertical="top"/>
    </xf>
    <xf numFmtId="0" fontId="2187" fillId="2185" borderId="2170" xfId="0" applyFont="1" applyFill="1" applyBorder="1" applyAlignment="1">
      <alignment horizontal="left" vertical="top"/>
    </xf>
    <xf numFmtId="0" fontId="2188" fillId="2186" borderId="2171" xfId="0" applyFont="1" applyFill="1" applyBorder="1" applyAlignment="1">
      <alignment wrapText="1"/>
    </xf>
    <xf numFmtId="0" fontId="2189" fillId="2187" borderId="2172" xfId="0" applyFont="1" applyFill="1" applyBorder="1" applyAlignment="1">
      <alignment wrapText="1"/>
    </xf>
    <xf numFmtId="0" fontId="2190" fillId="2188" borderId="2173" xfId="0" applyFont="1" applyFill="1" applyBorder="1" applyAlignment="1">
      <alignment wrapText="1"/>
    </xf>
    <xf numFmtId="0" fontId="2191" fillId="2189" borderId="2174" xfId="0" applyFont="1" applyFill="1" applyBorder="1" applyAlignment="1">
      <alignment wrapText="1"/>
    </xf>
    <xf numFmtId="0" fontId="2192" fillId="2190" borderId="2175" xfId="0" applyFont="1" applyFill="1" applyBorder="1" applyAlignment="1">
      <alignment wrapText="1"/>
    </xf>
    <xf numFmtId="0" fontId="2193" fillId="2191" borderId="2176" xfId="0" applyFont="1" applyFill="1" applyBorder="1" applyAlignment="1">
      <alignment wrapText="1"/>
    </xf>
    <xf numFmtId="0" fontId="2194" fillId="2192" borderId="2177" xfId="0" applyFont="1" applyFill="1" applyBorder="1" applyAlignment="1">
      <alignment wrapText="1"/>
    </xf>
    <xf numFmtId="0" fontId="2195" fillId="2193" borderId="2178" xfId="0" applyFont="1" applyFill="1" applyBorder="1" applyAlignment="1">
      <alignment wrapText="1"/>
    </xf>
    <xf numFmtId="0" fontId="2196" fillId="2194" borderId="2179" xfId="0" applyFont="1" applyFill="1" applyBorder="1" applyAlignment="1">
      <alignment wrapText="1"/>
    </xf>
    <xf numFmtId="0" fontId="2197" fillId="2195" borderId="2180" xfId="0" applyFont="1" applyFill="1" applyBorder="1" applyAlignment="1">
      <alignment wrapText="1"/>
    </xf>
    <xf numFmtId="0" fontId="2198" fillId="2196" borderId="2181" xfId="0" applyFont="1" applyFill="1" applyBorder="1" applyAlignment="1">
      <alignment horizontal="left" vertical="top" wrapText="1"/>
    </xf>
    <xf numFmtId="0" fontId="2199" fillId="2197" borderId="2182" xfId="0" applyFont="1" applyFill="1" applyBorder="1" applyAlignment="1">
      <alignment horizontal="left" vertical="top" wrapText="1"/>
    </xf>
    <xf numFmtId="0" fontId="2200" fillId="2198" borderId="2183" xfId="0" applyFont="1" applyFill="1" applyBorder="1" applyAlignment="1">
      <alignment horizontal="left" vertical="top"/>
    </xf>
    <xf numFmtId="0" fontId="2201" fillId="2199" borderId="2184" xfId="0" applyFont="1" applyFill="1" applyBorder="1" applyAlignment="1">
      <alignment horizontal="left" vertical="top"/>
    </xf>
    <xf numFmtId="0" fontId="2202" fillId="2200" borderId="2185" xfId="0" applyFont="1" applyFill="1" applyBorder="1" applyAlignment="1">
      <alignment wrapText="1"/>
    </xf>
    <xf numFmtId="0" fontId="2203" fillId="2201" borderId="2186" xfId="0" applyFont="1" applyFill="1" applyBorder="1" applyAlignment="1">
      <alignment wrapText="1"/>
    </xf>
    <xf numFmtId="0" fontId="2204" fillId="2202" borderId="2187" xfId="0" applyFont="1" applyFill="1" applyBorder="1" applyAlignment="1">
      <alignment wrapText="1"/>
    </xf>
    <xf numFmtId="0" fontId="2205" fillId="2203" borderId="2188" xfId="0" applyFont="1" applyFill="1" applyBorder="1" applyAlignment="1">
      <alignment wrapText="1"/>
    </xf>
    <xf numFmtId="0" fontId="2206" fillId="2204" borderId="2189" xfId="0" applyFont="1" applyFill="1" applyBorder="1" applyAlignment="1">
      <alignment wrapText="1"/>
    </xf>
    <xf numFmtId="0" fontId="2207" fillId="2205" borderId="2190" xfId="0" applyFont="1" applyFill="1" applyBorder="1" applyAlignment="1">
      <alignment wrapText="1"/>
    </xf>
    <xf numFmtId="0" fontId="2208" fillId="2206" borderId="2191" xfId="0" applyFont="1" applyFill="1" applyBorder="1" applyAlignment="1">
      <alignment horizontal="left" vertical="top"/>
    </xf>
    <xf numFmtId="0" fontId="2209" fillId="2207" borderId="2192" xfId="0" applyFont="1" applyFill="1" applyBorder="1" applyAlignment="1">
      <alignment horizontal="left" vertical="top"/>
    </xf>
    <xf numFmtId="0" fontId="2210" fillId="2208" borderId="2193" xfId="0" applyFont="1" applyFill="1" applyBorder="1" applyAlignment="1">
      <alignment vertical="top"/>
    </xf>
    <xf numFmtId="0" fontId="2211" fillId="2209" borderId="2194" xfId="0" applyFont="1" applyFill="1" applyBorder="1" applyAlignment="1">
      <alignment vertical="top"/>
    </xf>
    <xf numFmtId="0" fontId="2212" fillId="2210" borderId="2195" xfId="0" applyFont="1" applyFill="1" applyBorder="1" applyAlignment="1">
      <alignment wrapText="1"/>
    </xf>
    <xf numFmtId="0" fontId="2213" fillId="2211" borderId="2196" xfId="0" applyFont="1" applyFill="1" applyBorder="1" applyAlignment="1">
      <alignment wrapText="1"/>
    </xf>
    <xf numFmtId="0" fontId="2214" fillId="2212" borderId="2197" xfId="0" applyFont="1" applyFill="1" applyBorder="1" applyAlignment="1">
      <alignment vertical="top" wrapText="1"/>
    </xf>
    <xf numFmtId="0" fontId="2215" fillId="2213" borderId="2198" xfId="0" applyFont="1" applyFill="1" applyBorder="1" applyAlignment="1">
      <alignment vertical="top" wrapText="1"/>
    </xf>
    <xf numFmtId="0" fontId="2216" fillId="2214" borderId="2199" xfId="0" applyFont="1" applyFill="1" applyBorder="1" applyAlignment="1">
      <alignment horizontal="left" vertical="top"/>
    </xf>
    <xf numFmtId="0" fontId="2217" fillId="2215" borderId="2200" xfId="0" applyFont="1" applyFill="1" applyBorder="1" applyAlignment="1">
      <alignment horizontal="left" vertical="top"/>
    </xf>
    <xf numFmtId="0" fontId="2218" fillId="2216" borderId="2201" xfId="0" applyFont="1" applyFill="1" applyBorder="1" applyAlignment="1">
      <alignment wrapText="1"/>
    </xf>
    <xf numFmtId="0" fontId="2219" fillId="2217" borderId="2202" xfId="0" applyFont="1" applyFill="1" applyBorder="1" applyAlignment="1">
      <alignment wrapText="1"/>
    </xf>
    <xf numFmtId="0" fontId="2220" fillId="2218" borderId="2203" xfId="0" applyFont="1" applyFill="1" applyBorder="1" applyAlignment="1">
      <alignment wrapText="1"/>
    </xf>
    <xf numFmtId="0" fontId="2221" fillId="2219" borderId="2204" xfId="0" applyFont="1" applyFill="1" applyBorder="1" applyAlignment="1">
      <alignment wrapText="1"/>
    </xf>
    <xf numFmtId="0" fontId="2222" fillId="2220" borderId="2205" xfId="0" applyFont="1" applyFill="1" applyBorder="1" applyAlignment="1">
      <alignment horizontal="left" vertical="top"/>
    </xf>
    <xf numFmtId="0" fontId="2223" fillId="2221" borderId="2206" xfId="0" applyFont="1" applyFill="1" applyBorder="1" applyAlignment="1">
      <alignment horizontal="left" vertical="top"/>
    </xf>
    <xf numFmtId="0" fontId="2224" fillId="2222" borderId="2207" xfId="0" applyFont="1" applyFill="1" applyBorder="1" applyAlignment="1">
      <alignment wrapText="1"/>
    </xf>
    <xf numFmtId="0" fontId="2225" fillId="2223" borderId="2208" xfId="0" applyFont="1" applyFill="1" applyBorder="1" applyAlignment="1">
      <alignment wrapText="1"/>
    </xf>
    <xf numFmtId="0" fontId="2226" fillId="2224" borderId="2209" xfId="0" applyFont="1" applyFill="1" applyBorder="1" applyAlignment="1">
      <alignment horizontal="left" vertical="top"/>
    </xf>
    <xf numFmtId="0" fontId="2227" fillId="2225" borderId="2210" xfId="0" applyFont="1" applyFill="1" applyBorder="1" applyAlignment="1">
      <alignment horizontal="left" vertical="top"/>
    </xf>
    <xf numFmtId="0" fontId="2228" fillId="2226" borderId="2211" xfId="0" applyFont="1" applyFill="1" applyBorder="1" applyAlignment="1">
      <alignment horizontal="left" wrapText="1"/>
    </xf>
    <xf numFmtId="0" fontId="2229" fillId="2227" borderId="2212" xfId="0" applyFont="1" applyFill="1" applyBorder="1" applyAlignment="1">
      <alignment horizontal="left" wrapText="1"/>
    </xf>
    <xf numFmtId="0" fontId="2230" fillId="2228" borderId="2213" xfId="0" applyFont="1" applyFill="1" applyBorder="1" applyAlignment="1">
      <alignment wrapText="1"/>
    </xf>
    <xf numFmtId="0" fontId="2231" fillId="2229" borderId="2214" xfId="0" applyFont="1" applyFill="1" applyBorder="1" applyAlignment="1">
      <alignment wrapText="1"/>
    </xf>
    <xf numFmtId="0" fontId="2232" fillId="2230" borderId="2215" xfId="0" applyFont="1" applyFill="1" applyBorder="1" applyAlignment="1">
      <alignment horizontal="left" vertical="top"/>
    </xf>
    <xf numFmtId="0" fontId="2233" fillId="2231" borderId="2216" xfId="0" applyFont="1" applyFill="1" applyBorder="1" applyAlignment="1">
      <alignment horizontal="left" vertical="top"/>
    </xf>
    <xf numFmtId="0" fontId="2234" fillId="2232" borderId="2217" xfId="0" applyFont="1" applyFill="1" applyBorder="1" applyAlignment="1">
      <alignment horizontal="left" vertical="top"/>
    </xf>
    <xf numFmtId="0" fontId="2235" fillId="2233" borderId="2218" xfId="0" applyFont="1" applyFill="1" applyBorder="1" applyAlignment="1">
      <alignment horizontal="left" vertical="top"/>
    </xf>
    <xf numFmtId="0" fontId="2236" fillId="2234" borderId="2219" xfId="0" applyFont="1" applyFill="1" applyBorder="1" applyAlignment="1">
      <alignment horizontal="left" vertical="top"/>
    </xf>
    <xf numFmtId="0" fontId="2237" fillId="2235" borderId="2220" xfId="0" applyFont="1" applyFill="1" applyBorder="1" applyAlignment="1">
      <alignment horizontal="left" vertical="top"/>
    </xf>
    <xf numFmtId="0" fontId="2238" fillId="2236" borderId="2221" xfId="0" applyFont="1" applyFill="1" applyBorder="1" applyAlignment="1">
      <alignment wrapText="1"/>
    </xf>
    <xf numFmtId="0" fontId="2239" fillId="2237" borderId="2222" xfId="0" applyFont="1" applyFill="1" applyBorder="1" applyAlignment="1">
      <alignment wrapText="1"/>
    </xf>
    <xf numFmtId="0" fontId="2240" fillId="2238" borderId="2223" xfId="0" applyFont="1" applyFill="1" applyBorder="1" applyAlignment="1">
      <alignment wrapText="1"/>
    </xf>
    <xf numFmtId="0" fontId="2241" fillId="2239" borderId="2224" xfId="0" applyFont="1" applyFill="1" applyBorder="1" applyAlignment="1">
      <alignment wrapText="1"/>
    </xf>
    <xf numFmtId="0" fontId="2242" fillId="2240" borderId="2225" xfId="0" applyFont="1" applyFill="1" applyBorder="1" applyAlignment="1">
      <alignment vertical="top" wrapText="1"/>
    </xf>
    <xf numFmtId="0" fontId="2243" fillId="2241" borderId="2226" xfId="0" applyFont="1" applyFill="1" applyBorder="1" applyAlignment="1">
      <alignment vertical="top" wrapText="1"/>
    </xf>
    <xf numFmtId="0" fontId="2244" fillId="2242" borderId="2227" xfId="0" applyFont="1" applyFill="1" applyBorder="1" applyAlignment="1">
      <alignment vertical="top"/>
    </xf>
    <xf numFmtId="0" fontId="2245" fillId="2243" borderId="2228" xfId="0" applyFont="1" applyFill="1" applyBorder="1" applyAlignment="1">
      <alignment vertical="top"/>
    </xf>
    <xf numFmtId="0" fontId="2246" fillId="2244" borderId="2229" xfId="0" applyFont="1" applyFill="1" applyBorder="1" applyAlignment="1">
      <alignment horizontal="left" wrapText="1"/>
    </xf>
    <xf numFmtId="0" fontId="2247" fillId="2245" borderId="2230" xfId="0" applyFont="1" applyFill="1" applyBorder="1" applyAlignment="1">
      <alignment horizontal="left" wrapText="1"/>
    </xf>
    <xf numFmtId="0" fontId="2248" fillId="2246" borderId="2231" xfId="0" applyFont="1" applyFill="1" applyBorder="1" applyAlignment="1">
      <alignment horizontal="left" wrapText="1"/>
    </xf>
    <xf numFmtId="0" fontId="2249" fillId="2247" borderId="2232" xfId="0" applyFont="1" applyFill="1" applyBorder="1" applyAlignment="1">
      <alignment horizontal="left" wrapText="1"/>
    </xf>
    <xf numFmtId="0" fontId="2250" fillId="2248" borderId="2233" xfId="0" applyFont="1" applyFill="1" applyBorder="1" applyAlignment="1">
      <alignment horizontal="left" wrapText="1"/>
    </xf>
    <xf numFmtId="0" fontId="2251" fillId="2249" borderId="2234" xfId="0" applyFont="1" applyFill="1" applyBorder="1" applyAlignment="1">
      <alignment horizontal="left" wrapText="1"/>
    </xf>
    <xf numFmtId="0" fontId="2252" fillId="2250" borderId="2235" xfId="0" applyFont="1" applyFill="1" applyBorder="1" applyAlignment="1">
      <alignment horizontal="left"/>
    </xf>
    <xf numFmtId="0" fontId="2253" fillId="2251" borderId="2236" xfId="0" applyFont="1" applyFill="1" applyBorder="1" applyAlignment="1">
      <alignment horizontal="left"/>
    </xf>
    <xf numFmtId="0" fontId="2254" fillId="2252" borderId="2237" xfId="0" applyFont="1" applyFill="1" applyBorder="1" applyAlignment="1">
      <alignment horizontal="left" wrapText="1"/>
    </xf>
    <xf numFmtId="0" fontId="2255" fillId="2253" borderId="2238" xfId="0" applyFont="1" applyFill="1" applyBorder="1" applyAlignment="1">
      <alignment horizontal="left" wrapText="1"/>
    </xf>
    <xf numFmtId="0" fontId="2256" fillId="2254" borderId="2239" xfId="0" applyFont="1" applyFill="1" applyBorder="1" applyAlignment="1">
      <alignment horizontal="left" vertical="top"/>
    </xf>
    <xf numFmtId="0" fontId="2257" fillId="2255" borderId="2240" xfId="0" applyFont="1" applyFill="1" applyBorder="1" applyAlignment="1">
      <alignment horizontal="left" vertical="top"/>
    </xf>
    <xf numFmtId="0" fontId="2258" fillId="2256" borderId="2241" xfId="0" applyFont="1" applyFill="1" applyBorder="1" applyAlignment="1">
      <alignment horizontal="left" wrapText="1"/>
    </xf>
    <xf numFmtId="0" fontId="2259" fillId="2257" borderId="2242" xfId="0" applyFont="1" applyFill="1" applyBorder="1" applyAlignment="1">
      <alignment horizontal="left" wrapText="1"/>
    </xf>
    <xf numFmtId="0" fontId="2260" fillId="2258" borderId="2243" xfId="0" applyFont="1" applyFill="1" applyBorder="1" applyAlignment="1">
      <alignment wrapText="1"/>
    </xf>
    <xf numFmtId="0" fontId="2261" fillId="2259" borderId="2244" xfId="0" applyFont="1" applyFill="1" applyBorder="1" applyAlignment="1">
      <alignment wrapText="1"/>
    </xf>
    <xf numFmtId="0" fontId="2262" fillId="2260" borderId="2245" xfId="0" applyFont="1" applyFill="1" applyBorder="1" applyAlignment="1">
      <alignment horizontal="left" vertical="top"/>
    </xf>
    <xf numFmtId="0" fontId="2263" fillId="2261" borderId="2246" xfId="0" applyFont="1" applyFill="1" applyBorder="1" applyAlignment="1">
      <alignment horizontal="left" vertical="top"/>
    </xf>
    <xf numFmtId="0" fontId="2264" fillId="2262" borderId="2247" xfId="0" applyFont="1" applyFill="1" applyBorder="1" applyAlignment="1">
      <alignment horizontal="left" vertical="top"/>
    </xf>
    <xf numFmtId="0" fontId="2265" fillId="2263" borderId="2248" xfId="0" applyFont="1" applyFill="1" applyBorder="1" applyAlignment="1">
      <alignment horizontal="left" vertical="top"/>
    </xf>
    <xf numFmtId="0" fontId="2266" fillId="2264" borderId="2249" xfId="0" applyFont="1" applyFill="1" applyBorder="1" applyAlignment="1">
      <alignment vertical="top"/>
    </xf>
    <xf numFmtId="0" fontId="2267" fillId="2265" borderId="2250" xfId="0" applyFont="1" applyFill="1" applyBorder="1" applyAlignment="1">
      <alignment vertical="top"/>
    </xf>
    <xf numFmtId="0" fontId="2268" fillId="2266" borderId="2251" xfId="0" applyFont="1" applyFill="1" applyBorder="1" applyAlignment="1">
      <alignment wrapText="1"/>
    </xf>
    <xf numFmtId="0" fontId="2269" fillId="2267" borderId="2252" xfId="0" applyFont="1" applyFill="1" applyBorder="1" applyAlignment="1">
      <alignment wrapText="1"/>
    </xf>
    <xf numFmtId="0" fontId="2270" fillId="2268" borderId="2253" xfId="0" applyFont="1" applyFill="1" applyBorder="1" applyAlignment="1">
      <alignment horizontal="left" vertical="top"/>
    </xf>
    <xf numFmtId="0" fontId="2271" fillId="2269" borderId="2254" xfId="0" applyFont="1" applyFill="1" applyBorder="1" applyAlignment="1">
      <alignment horizontal="left" vertical="top"/>
    </xf>
    <xf numFmtId="0" fontId="2272" fillId="2270" borderId="2255" xfId="0" applyFont="1" applyFill="1" applyBorder="1" applyAlignment="1">
      <alignment horizontal="left" vertical="top"/>
    </xf>
    <xf numFmtId="0" fontId="2273" fillId="2271" borderId="2256" xfId="0" applyFont="1" applyFill="1" applyBorder="1" applyAlignment="1">
      <alignment horizontal="left" vertical="top"/>
    </xf>
    <xf numFmtId="0" fontId="2274" fillId="2272" borderId="2257" xfId="0" applyFont="1" applyFill="1" applyBorder="1" applyAlignment="1">
      <alignment horizontal="left" wrapText="1"/>
    </xf>
    <xf numFmtId="0" fontId="2275" fillId="2273" borderId="2258" xfId="0" applyFont="1" applyFill="1" applyBorder="1" applyAlignment="1">
      <alignment horizontal="left" wrapText="1"/>
    </xf>
    <xf numFmtId="0" fontId="2276" fillId="2274" borderId="2259" xfId="0" applyFont="1" applyFill="1" applyBorder="1" applyAlignment="1">
      <alignment horizontal="left" vertical="top"/>
    </xf>
    <xf numFmtId="0" fontId="2277" fillId="2275" borderId="2260" xfId="0" applyFont="1" applyFill="1" applyBorder="1" applyAlignment="1">
      <alignment horizontal="left" vertical="top"/>
    </xf>
    <xf numFmtId="0" fontId="2278" fillId="2276" borderId="2261" xfId="0" applyFont="1" applyFill="1" applyBorder="1" applyAlignment="1">
      <alignment horizontal="left" wrapText="1"/>
    </xf>
    <xf numFmtId="0" fontId="2279" fillId="2277" borderId="2262" xfId="0" applyFont="1" applyFill="1" applyBorder="1" applyAlignment="1">
      <alignment horizontal="left" wrapText="1"/>
    </xf>
    <xf numFmtId="0" fontId="2280" fillId="2278" borderId="2263" xfId="0" applyFont="1" applyFill="1" applyBorder="1" applyAlignment="1">
      <alignment horizontal="left" wrapText="1"/>
    </xf>
    <xf numFmtId="0" fontId="2281" fillId="2279" borderId="2264" xfId="0" applyFont="1" applyFill="1" applyBorder="1" applyAlignment="1">
      <alignment horizontal="left" wrapText="1"/>
    </xf>
    <xf numFmtId="0" fontId="2282" fillId="2280" borderId="2265" xfId="0" applyFont="1" applyFill="1" applyBorder="1" applyAlignment="1">
      <alignment horizontal="left" wrapText="1"/>
    </xf>
    <xf numFmtId="0" fontId="2283" fillId="2281" borderId="2266" xfId="0" applyFont="1" applyFill="1" applyBorder="1" applyAlignment="1">
      <alignment horizontal="left" wrapText="1"/>
    </xf>
    <xf numFmtId="0" fontId="2284" fillId="2282" borderId="2267" xfId="0" applyFont="1" applyFill="1" applyBorder="1" applyAlignment="1">
      <alignment wrapText="1"/>
    </xf>
    <xf numFmtId="0" fontId="2285" fillId="2283" borderId="2268" xfId="0" applyFont="1" applyFill="1" applyBorder="1" applyAlignment="1">
      <alignment wrapText="1"/>
    </xf>
    <xf numFmtId="0" fontId="2286" fillId="2284" borderId="2269" xfId="0" applyFont="1" applyFill="1" applyBorder="1" applyAlignment="1">
      <alignment horizontal="left" vertical="top" wrapText="1"/>
    </xf>
    <xf numFmtId="0" fontId="2287" fillId="2285" borderId="2270" xfId="0" applyFont="1" applyFill="1" applyBorder="1" applyAlignment="1">
      <alignment horizontal="left" vertical="top" wrapText="1"/>
    </xf>
    <xf numFmtId="0" fontId="2288" fillId="2286" borderId="2271" xfId="0" applyFont="1" applyFill="1" applyBorder="1" applyAlignment="1">
      <alignment horizontal="left" vertical="top"/>
    </xf>
    <xf numFmtId="0" fontId="2289" fillId="2287" borderId="2272" xfId="0" applyFont="1" applyFill="1" applyBorder="1" applyAlignment="1">
      <alignment horizontal="left" vertical="top"/>
    </xf>
    <xf numFmtId="0" fontId="2290" fillId="2288" borderId="2273" xfId="0" applyFont="1" applyFill="1" applyBorder="1" applyAlignment="1">
      <alignment wrapText="1"/>
    </xf>
    <xf numFmtId="0" fontId="2291" fillId="2289" borderId="2274" xfId="0" applyFont="1" applyFill="1" applyBorder="1" applyAlignment="1">
      <alignment wrapText="1"/>
    </xf>
    <xf numFmtId="0" fontId="2292" fillId="2290" borderId="2275" xfId="0" applyFont="1" applyFill="1" applyBorder="1" applyAlignment="1">
      <alignment wrapText="1"/>
    </xf>
    <xf numFmtId="0" fontId="2293" fillId="2291" borderId="2276" xfId="0" applyFont="1" applyFill="1" applyBorder="1" applyAlignment="1">
      <alignment wrapText="1"/>
    </xf>
    <xf numFmtId="0" fontId="2294" fillId="2292" borderId="2277" xfId="0" applyFont="1" applyFill="1" applyBorder="1" applyAlignment="1">
      <alignment wrapText="1"/>
    </xf>
    <xf numFmtId="0" fontId="2295" fillId="2293" borderId="2278" xfId="0" applyFont="1" applyFill="1" applyBorder="1" applyAlignment="1">
      <alignment wrapText="1"/>
    </xf>
    <xf numFmtId="0" fontId="2296" fillId="2294" borderId="2279" xfId="0" applyFont="1" applyFill="1" applyBorder="1" applyAlignment="1">
      <alignment wrapText="1"/>
    </xf>
    <xf numFmtId="0" fontId="2297" fillId="2295" borderId="2280" xfId="0" applyFont="1" applyFill="1" applyBorder="1" applyAlignment="1">
      <alignment wrapText="1"/>
    </xf>
    <xf numFmtId="0" fontId="2298" fillId="2296" borderId="2281" xfId="0" applyFont="1" applyFill="1" applyBorder="1" applyAlignment="1">
      <alignment wrapText="1"/>
    </xf>
    <xf numFmtId="0" fontId="2299" fillId="2297" borderId="2282" xfId="0" applyFont="1" applyFill="1" applyBorder="1" applyAlignment="1">
      <alignment wrapText="1"/>
    </xf>
    <xf numFmtId="0" fontId="2300" fillId="2298" borderId="2283" xfId="0" applyFont="1" applyFill="1" applyBorder="1" applyAlignment="1">
      <alignment wrapText="1"/>
    </xf>
    <xf numFmtId="0" fontId="2301" fillId="2299" borderId="2284" xfId="0" applyFont="1" applyFill="1" applyBorder="1" applyAlignment="1">
      <alignment wrapText="1"/>
    </xf>
    <xf numFmtId="0" fontId="2302" fillId="2300" borderId="2285" xfId="0" applyFont="1" applyFill="1" applyBorder="1" applyAlignment="1">
      <alignment wrapText="1"/>
    </xf>
    <xf numFmtId="0" fontId="2303" fillId="2301" borderId="2286" xfId="0" applyFont="1" applyFill="1" applyBorder="1" applyAlignment="1">
      <alignment wrapText="1"/>
    </xf>
    <xf numFmtId="0" fontId="2304" fillId="2302" borderId="2287" xfId="0" applyFont="1" applyFill="1" applyBorder="1" applyAlignment="1">
      <alignment horizontal="left" vertical="top" wrapText="1"/>
    </xf>
    <xf numFmtId="0" fontId="2305" fillId="2303" borderId="2288" xfId="0" applyFont="1" applyFill="1" applyBorder="1" applyAlignment="1">
      <alignment horizontal="left" vertical="top" wrapText="1"/>
    </xf>
    <xf numFmtId="0" fontId="2306" fillId="2304" borderId="2289" xfId="0" applyFont="1" applyFill="1" applyBorder="1" applyAlignment="1">
      <alignment wrapText="1"/>
    </xf>
    <xf numFmtId="0" fontId="2307" fillId="2305" borderId="2290" xfId="0" applyFont="1" applyFill="1" applyBorder="1" applyAlignment="1">
      <alignment wrapText="1"/>
    </xf>
    <xf numFmtId="0" fontId="2308" fillId="2306" borderId="2291" xfId="0" applyFont="1" applyFill="1" applyBorder="1" applyAlignment="1">
      <alignment wrapText="1"/>
    </xf>
    <xf numFmtId="0" fontId="2309" fillId="2307" borderId="2292" xfId="0" applyFont="1" applyFill="1" applyBorder="1" applyAlignment="1">
      <alignment wrapText="1"/>
    </xf>
    <xf numFmtId="0" fontId="2310" fillId="2308" borderId="2293" xfId="0" applyFont="1" applyFill="1" applyBorder="1" applyAlignment="1">
      <alignment wrapText="1"/>
    </xf>
    <xf numFmtId="0" fontId="2311" fillId="2309" borderId="2294" xfId="0" applyFont="1" applyFill="1" applyBorder="1" applyAlignment="1">
      <alignment wrapText="1"/>
    </xf>
    <xf numFmtId="0" fontId="2312" fillId="2310" borderId="2295" xfId="0" applyFont="1" applyFill="1" applyBorder="1" applyAlignment="1">
      <alignment wrapText="1"/>
    </xf>
    <xf numFmtId="0" fontId="2313" fillId="2311" borderId="2296" xfId="0" applyFont="1" applyFill="1" applyBorder="1" applyAlignment="1">
      <alignment wrapText="1"/>
    </xf>
    <xf numFmtId="0" fontId="2314" fillId="2312" borderId="2297" xfId="0" applyFont="1" applyFill="1" applyBorder="1" applyAlignment="1">
      <alignment wrapText="1"/>
    </xf>
    <xf numFmtId="0" fontId="2315" fillId="2313" borderId="2298" xfId="0" applyFont="1" applyFill="1" applyBorder="1" applyAlignment="1">
      <alignment wrapText="1"/>
    </xf>
    <xf numFmtId="0" fontId="2316" fillId="2314" borderId="2299" xfId="0" applyFont="1" applyFill="1" applyBorder="1" applyAlignment="1">
      <alignment wrapText="1"/>
    </xf>
    <xf numFmtId="0" fontId="2317" fillId="2315" borderId="2300" xfId="0" applyFont="1" applyFill="1" applyBorder="1" applyAlignment="1">
      <alignment wrapText="1"/>
    </xf>
    <xf numFmtId="0" fontId="2318" fillId="2316" borderId="2301" xfId="0" applyFont="1" applyFill="1" applyBorder="1" applyAlignment="1">
      <alignment wrapText="1"/>
    </xf>
    <xf numFmtId="0" fontId="2319" fillId="2317" borderId="2302" xfId="0" applyFont="1" applyFill="1" applyBorder="1" applyAlignment="1">
      <alignment wrapText="1"/>
    </xf>
    <xf numFmtId="0" fontId="2320" fillId="2318" borderId="2303" xfId="0" applyFont="1" applyFill="1" applyBorder="1" applyAlignment="1">
      <alignment wrapText="1"/>
    </xf>
    <xf numFmtId="0" fontId="2321" fillId="2319" borderId="2304" xfId="0" applyFont="1" applyFill="1" applyBorder="1" applyAlignment="1">
      <alignment wrapText="1"/>
    </xf>
    <xf numFmtId="0" fontId="2322" fillId="2320" borderId="2305" xfId="0" applyFont="1" applyFill="1" applyBorder="1" applyAlignment="1">
      <alignment wrapText="1"/>
    </xf>
    <xf numFmtId="0" fontId="2323" fillId="2321" borderId="2306" xfId="0" applyFont="1" applyFill="1" applyBorder="1" applyAlignment="1">
      <alignment wrapText="1"/>
    </xf>
    <xf numFmtId="0" fontId="2324" fillId="2322" borderId="2307" xfId="0" applyFont="1" applyFill="1" applyBorder="1" applyAlignment="1">
      <alignment wrapText="1"/>
    </xf>
    <xf numFmtId="0" fontId="2325" fillId="2323" borderId="2308" xfId="0" applyFont="1" applyFill="1" applyBorder="1" applyAlignment="1">
      <alignment wrapText="1"/>
    </xf>
    <xf numFmtId="0" fontId="2326" fillId="2324" borderId="2309" xfId="0" applyFont="1" applyFill="1" applyBorder="1" applyAlignment="1">
      <alignment wrapText="1"/>
    </xf>
    <xf numFmtId="0" fontId="2327" fillId="2325" borderId="2310" xfId="0" applyFont="1" applyFill="1" applyBorder="1" applyAlignment="1">
      <alignment wrapText="1"/>
    </xf>
    <xf numFmtId="0" fontId="2328" fillId="2326" borderId="2311" xfId="0" applyFont="1" applyFill="1" applyBorder="1" applyAlignment="1">
      <alignment horizontal="left" vertical="top"/>
    </xf>
    <xf numFmtId="0" fontId="2329" fillId="2327" borderId="2312" xfId="0" applyFont="1" applyFill="1" applyBorder="1" applyAlignment="1">
      <alignment horizontal="left" vertical="top"/>
    </xf>
    <xf numFmtId="0" fontId="2330" fillId="2328" borderId="2313" xfId="0" applyFont="1" applyFill="1" applyBorder="1" applyAlignment="1">
      <alignment wrapText="1"/>
    </xf>
    <xf numFmtId="0" fontId="2331" fillId="2329" borderId="2314" xfId="0" applyFont="1" applyFill="1" applyBorder="1" applyAlignment="1">
      <alignment wrapText="1"/>
    </xf>
    <xf numFmtId="0" fontId="2332" fillId="2330" borderId="2315" xfId="0" applyFont="1" applyFill="1" applyBorder="1" applyAlignment="1">
      <alignment horizontal="left" vertical="top"/>
    </xf>
    <xf numFmtId="0" fontId="2333" fillId="2331" borderId="2316" xfId="0" applyFont="1" applyFill="1" applyBorder="1" applyAlignment="1">
      <alignment horizontal="left" vertical="top"/>
    </xf>
    <xf numFmtId="0" fontId="2334" fillId="2332" borderId="2317" xfId="0" applyFont="1" applyFill="1" applyBorder="1" applyAlignment="1">
      <alignment wrapText="1"/>
    </xf>
    <xf numFmtId="0" fontId="2335" fillId="2333" borderId="2318" xfId="0" applyFont="1" applyFill="1" applyBorder="1" applyAlignment="1">
      <alignment wrapText="1"/>
    </xf>
    <xf numFmtId="0" fontId="2336" fillId="2334" borderId="2319" xfId="0" applyFont="1" applyFill="1" applyBorder="1" applyAlignment="1">
      <alignment horizontal="left" vertical="top"/>
    </xf>
    <xf numFmtId="0" fontId="2337" fillId="2335" borderId="2320" xfId="0" applyFont="1" applyFill="1" applyBorder="1" applyAlignment="1">
      <alignment horizontal="left" vertical="top"/>
    </xf>
    <xf numFmtId="0" fontId="2338" fillId="2336" borderId="2321" xfId="0" applyFont="1" applyFill="1" applyBorder="1" applyAlignment="1">
      <alignment horizontal="left" vertical="top"/>
    </xf>
    <xf numFmtId="0" fontId="2339" fillId="2337" borderId="2322" xfId="0" applyFont="1" applyFill="1" applyBorder="1" applyAlignment="1">
      <alignment horizontal="left" vertical="top"/>
    </xf>
    <xf numFmtId="0" fontId="2340" fillId="2338" borderId="2323" xfId="0" applyFont="1" applyFill="1" applyBorder="1" applyAlignment="1">
      <alignment wrapText="1"/>
    </xf>
    <xf numFmtId="0" fontId="2341" fillId="2339" borderId="2324" xfId="0" applyFont="1" applyFill="1" applyBorder="1" applyAlignment="1">
      <alignment wrapText="1"/>
    </xf>
    <xf numFmtId="0" fontId="2342" fillId="2340" borderId="2325" xfId="0" applyFont="1" applyFill="1" applyBorder="1" applyAlignment="1">
      <alignment horizontal="left" vertical="top"/>
    </xf>
    <xf numFmtId="0" fontId="2343" fillId="2341" borderId="2326" xfId="0" applyFont="1" applyFill="1" applyBorder="1" applyAlignment="1">
      <alignment horizontal="left" vertical="top"/>
    </xf>
    <xf numFmtId="0" fontId="2344" fillId="2342" borderId="2327" xfId="0" applyFont="1" applyFill="1" applyBorder="1" applyAlignment="1">
      <alignment wrapText="1"/>
    </xf>
    <xf numFmtId="0" fontId="2345" fillId="2343" borderId="2328" xfId="0" applyFont="1" applyFill="1" applyBorder="1" applyAlignment="1">
      <alignment wrapText="1"/>
    </xf>
    <xf numFmtId="0" fontId="2346" fillId="2344" borderId="2329" xfId="0" applyFont="1" applyFill="1" applyBorder="1" applyAlignment="1">
      <alignment wrapText="1"/>
    </xf>
    <xf numFmtId="0" fontId="2347" fillId="2345" borderId="2330" xfId="0" applyFont="1" applyFill="1" applyBorder="1" applyAlignment="1">
      <alignment wrapText="1"/>
    </xf>
    <xf numFmtId="0" fontId="2348" fillId="2346" borderId="2331" xfId="0" applyFont="1" applyFill="1" applyBorder="1" applyAlignment="1">
      <alignment wrapText="1"/>
    </xf>
    <xf numFmtId="0" fontId="2349" fillId="2347" borderId="2332" xfId="0" applyFont="1" applyFill="1" applyBorder="1" applyAlignment="1">
      <alignment wrapText="1"/>
    </xf>
    <xf numFmtId="0" fontId="2350" fillId="2348" borderId="2333" xfId="0" applyFont="1" applyFill="1" applyBorder="1" applyAlignment="1">
      <alignment wrapText="1"/>
    </xf>
    <xf numFmtId="0" fontId="2351" fillId="2349" borderId="2334" xfId="0" applyFont="1" applyFill="1" applyBorder="1" applyAlignment="1">
      <alignment wrapText="1"/>
    </xf>
    <xf numFmtId="0" fontId="2352" fillId="2350" borderId="2335" xfId="0" applyFont="1" applyFill="1" applyBorder="1" applyAlignment="1">
      <alignment horizontal="left" vertical="top" wrapText="1"/>
    </xf>
    <xf numFmtId="0" fontId="2353" fillId="2351" borderId="2336" xfId="0" applyFont="1" applyFill="1" applyBorder="1" applyAlignment="1">
      <alignment horizontal="left" vertical="top" wrapText="1"/>
    </xf>
    <xf numFmtId="0" fontId="2354" fillId="2352" borderId="2337" xfId="0" applyFont="1" applyFill="1" applyBorder="1" applyAlignment="1">
      <alignment wrapText="1"/>
    </xf>
    <xf numFmtId="0" fontId="2355" fillId="2353" borderId="2338" xfId="0" applyFont="1" applyFill="1" applyBorder="1" applyAlignment="1">
      <alignment wrapText="1"/>
    </xf>
    <xf numFmtId="0" fontId="2356" fillId="2354" borderId="2339" xfId="0" applyFont="1" applyFill="1" applyBorder="1" applyAlignment="1">
      <alignment wrapText="1"/>
    </xf>
    <xf numFmtId="0" fontId="2357" fillId="2355" borderId="2340" xfId="0" applyFont="1" applyFill="1" applyBorder="1" applyAlignment="1">
      <alignment wrapText="1"/>
    </xf>
    <xf numFmtId="0" fontId="2358" fillId="2356" borderId="2341" xfId="0" applyFont="1" applyFill="1" applyBorder="1" applyAlignment="1">
      <alignment wrapText="1"/>
    </xf>
    <xf numFmtId="0" fontId="2359" fillId="2357" borderId="2342" xfId="0" applyFont="1" applyFill="1" applyBorder="1" applyAlignment="1">
      <alignment wrapText="1"/>
    </xf>
    <xf numFmtId="0" fontId="2360" fillId="2358" borderId="2343" xfId="0" applyFont="1" applyFill="1" applyBorder="1" applyAlignment="1">
      <alignment wrapText="1"/>
    </xf>
    <xf numFmtId="0" fontId="2361" fillId="2359" borderId="2344" xfId="0" applyFont="1" applyFill="1" applyBorder="1" applyAlignment="1">
      <alignment wrapText="1"/>
    </xf>
    <xf numFmtId="0" fontId="2362" fillId="2360" borderId="2345" xfId="0" applyFont="1" applyFill="1" applyBorder="1" applyAlignment="1">
      <alignment wrapText="1"/>
    </xf>
    <xf numFmtId="0" fontId="2363" fillId="2361" borderId="2346" xfId="0" applyFont="1" applyFill="1" applyBorder="1" applyAlignment="1">
      <alignment wrapText="1"/>
    </xf>
    <xf numFmtId="0" fontId="2364" fillId="2362" borderId="2347" xfId="0" applyFont="1" applyFill="1" applyBorder="1" applyAlignment="1">
      <alignment wrapText="1"/>
    </xf>
    <xf numFmtId="0" fontId="2365" fillId="2363" borderId="2348" xfId="0" applyFont="1" applyFill="1" applyBorder="1" applyAlignment="1">
      <alignment wrapText="1"/>
    </xf>
    <xf numFmtId="0" fontId="2366" fillId="2364" borderId="2349" xfId="0" applyFont="1" applyFill="1" applyBorder="1" applyAlignment="1">
      <alignment wrapText="1"/>
    </xf>
    <xf numFmtId="0" fontId="2367" fillId="2365" borderId="2350" xfId="0" applyFont="1" applyFill="1" applyBorder="1" applyAlignment="1">
      <alignment wrapText="1"/>
    </xf>
    <xf numFmtId="0" fontId="2368" fillId="2366" borderId="2351" xfId="0" applyFont="1" applyFill="1" applyBorder="1" applyAlignment="1">
      <alignment wrapText="1"/>
    </xf>
    <xf numFmtId="0" fontId="2369" fillId="2367" borderId="2352" xfId="0" applyFont="1" applyFill="1" applyBorder="1" applyAlignment="1">
      <alignment wrapText="1"/>
    </xf>
    <xf numFmtId="0" fontId="2370" fillId="2368" borderId="2353" xfId="0" applyFont="1" applyFill="1" applyBorder="1" applyAlignment="1">
      <alignment horizontal="left" vertical="top"/>
    </xf>
    <xf numFmtId="0" fontId="2371" fillId="2369" borderId="2354" xfId="0" applyFont="1" applyFill="1" applyBorder="1" applyAlignment="1">
      <alignment horizontal="left" vertical="top"/>
    </xf>
    <xf numFmtId="0" fontId="2372" fillId="2370" borderId="2355" xfId="0" applyFont="1" applyFill="1" applyBorder="1" applyAlignment="1">
      <alignment wrapText="1"/>
    </xf>
    <xf numFmtId="0" fontId="2373" fillId="2371" borderId="2356" xfId="0" applyFont="1" applyFill="1" applyBorder="1" applyAlignment="1">
      <alignment wrapText="1"/>
    </xf>
    <xf numFmtId="0" fontId="2374" fillId="2372" borderId="2357" xfId="0" applyFont="1" applyFill="1" applyBorder="1" applyAlignment="1">
      <alignment wrapText="1"/>
    </xf>
    <xf numFmtId="0" fontId="2375" fillId="2373" borderId="2358" xfId="0" applyFont="1" applyFill="1" applyBorder="1" applyAlignment="1">
      <alignment wrapText="1"/>
    </xf>
    <xf numFmtId="0" fontId="2376" fillId="2374" borderId="2359" xfId="0" applyFont="1" applyFill="1" applyBorder="1" applyAlignment="1">
      <alignment horizontal="left" vertical="top"/>
    </xf>
    <xf numFmtId="0" fontId="2377" fillId="2375" borderId="2360" xfId="0" applyFont="1" applyFill="1" applyBorder="1" applyAlignment="1">
      <alignment horizontal="left" vertical="top"/>
    </xf>
    <xf numFmtId="0" fontId="2378" fillId="2376" borderId="2361" xfId="0" applyFont="1" applyFill="1" applyBorder="1" applyAlignment="1">
      <alignment wrapText="1"/>
    </xf>
    <xf numFmtId="0" fontId="2379" fillId="2377" borderId="2362" xfId="0" applyFont="1" applyFill="1" applyBorder="1" applyAlignment="1">
      <alignment wrapText="1"/>
    </xf>
    <xf numFmtId="0" fontId="2380" fillId="2378" borderId="2363" xfId="0" applyFont="1" applyFill="1" applyBorder="1" applyAlignment="1">
      <alignment wrapText="1"/>
    </xf>
    <xf numFmtId="0" fontId="2381" fillId="2379" borderId="2364" xfId="0" applyFont="1" applyFill="1" applyBorder="1" applyAlignment="1">
      <alignment wrapText="1"/>
    </xf>
    <xf numFmtId="0" fontId="2382" fillId="2380" borderId="2365" xfId="0" applyFont="1" applyFill="1" applyBorder="1" applyAlignment="1">
      <alignment wrapText="1"/>
    </xf>
    <xf numFmtId="0" fontId="2383" fillId="2381" borderId="2366" xfId="0" applyFont="1" applyFill="1" applyBorder="1" applyAlignment="1">
      <alignment wrapText="1"/>
    </xf>
    <xf numFmtId="0" fontId="2384" fillId="2382" borderId="2367" xfId="0" applyFont="1" applyFill="1" applyBorder="1" applyAlignment="1">
      <alignment horizontal="left" vertical="top" wrapText="1"/>
    </xf>
    <xf numFmtId="0" fontId="2385" fillId="2383" borderId="2368" xfId="0" applyFont="1" applyFill="1" applyBorder="1" applyAlignment="1">
      <alignment horizontal="left" vertical="top" wrapText="1"/>
    </xf>
    <xf numFmtId="0" fontId="2386" fillId="2384" borderId="2369" xfId="0" applyFont="1" applyFill="1" applyBorder="1" applyAlignment="1">
      <alignment horizontal="left" vertical="top"/>
    </xf>
    <xf numFmtId="0" fontId="2387" fillId="2385" borderId="2370" xfId="0" applyFont="1" applyFill="1" applyBorder="1" applyAlignment="1">
      <alignment horizontal="left" vertical="top"/>
    </xf>
    <xf numFmtId="0" fontId="2388" fillId="2386" borderId="2371" xfId="0" applyFont="1" applyFill="1" applyBorder="1" applyAlignment="1">
      <alignment horizontal="left" vertical="top"/>
    </xf>
    <xf numFmtId="0" fontId="2389" fillId="2387" borderId="2372" xfId="0" applyFont="1" applyFill="1" applyBorder="1" applyAlignment="1">
      <alignment horizontal="left" vertical="top"/>
    </xf>
    <xf numFmtId="0" fontId="2390" fillId="2388" borderId="2373" xfId="0" applyFont="1" applyFill="1" applyBorder="1" applyAlignment="1">
      <alignment wrapText="1"/>
    </xf>
    <xf numFmtId="0" fontId="2391" fillId="2389" borderId="2374" xfId="0" applyFont="1" applyFill="1" applyBorder="1" applyAlignment="1">
      <alignment wrapText="1"/>
    </xf>
    <xf numFmtId="0" fontId="2392" fillId="2390" borderId="2375" xfId="0" applyFont="1" applyFill="1" applyBorder="1" applyAlignment="1">
      <alignment wrapText="1"/>
    </xf>
    <xf numFmtId="0" fontId="2393" fillId="2391" borderId="2376" xfId="0" applyFont="1" applyFill="1" applyBorder="1" applyAlignment="1">
      <alignment wrapText="1"/>
    </xf>
    <xf numFmtId="0" fontId="2394" fillId="2392" borderId="2377" xfId="0" applyFont="1" applyFill="1" applyBorder="1" applyAlignment="1">
      <alignment horizontal="left" vertical="top"/>
    </xf>
    <xf numFmtId="0" fontId="2395" fillId="2393" borderId="2378" xfId="0" applyFont="1" applyFill="1" applyBorder="1" applyAlignment="1">
      <alignment horizontal="left" vertical="top"/>
    </xf>
    <xf numFmtId="0" fontId="2396" fillId="2394" borderId="2379" xfId="0" applyFont="1" applyFill="1" applyBorder="1" applyAlignment="1">
      <alignment wrapText="1"/>
    </xf>
    <xf numFmtId="0" fontId="2397" fillId="2395" borderId="2380" xfId="0" applyFont="1" applyFill="1" applyBorder="1" applyAlignment="1">
      <alignment wrapText="1"/>
    </xf>
    <xf numFmtId="0" fontId="2398" fillId="2396" borderId="2381" xfId="0" applyFont="1" applyFill="1" applyBorder="1" applyAlignment="1">
      <alignment horizontal="left" vertical="top"/>
    </xf>
    <xf numFmtId="0" fontId="2399" fillId="2397" borderId="2382" xfId="0" applyFont="1" applyFill="1" applyBorder="1" applyAlignment="1">
      <alignment horizontal="left" vertical="top"/>
    </xf>
    <xf numFmtId="0" fontId="2400" fillId="2398" borderId="2383" xfId="0" applyFont="1" applyFill="1" applyBorder="1" applyAlignment="1">
      <alignment vertical="top"/>
    </xf>
    <xf numFmtId="0" fontId="2401" fillId="2399" borderId="2384" xfId="0" applyFont="1" applyFill="1" applyBorder="1" applyAlignment="1">
      <alignment vertical="top"/>
    </xf>
    <xf numFmtId="0" fontId="2402" fillId="2400" borderId="2385" xfId="0" applyFont="1" applyFill="1" applyBorder="1" applyAlignment="1">
      <alignment wrapText="1"/>
    </xf>
    <xf numFmtId="0" fontId="2403" fillId="2401" borderId="2386" xfId="0" applyFont="1" applyFill="1" applyBorder="1" applyAlignment="1">
      <alignment wrapText="1"/>
    </xf>
    <xf numFmtId="0" fontId="2404" fillId="2402" borderId="2387" xfId="0" applyFont="1" applyFill="1" applyBorder="1" applyAlignment="1">
      <alignment vertical="top" wrapText="1"/>
    </xf>
    <xf numFmtId="0" fontId="2405" fillId="2403" borderId="2388" xfId="0" applyFont="1" applyFill="1" applyBorder="1" applyAlignment="1">
      <alignment vertical="top" wrapText="1"/>
    </xf>
    <xf numFmtId="0" fontId="2406" fillId="2404" borderId="2389" xfId="0" applyFont="1" applyFill="1" applyBorder="1" applyAlignment="1">
      <alignment horizontal="left" vertical="top"/>
    </xf>
    <xf numFmtId="0" fontId="2407" fillId="2405" borderId="2390" xfId="0" applyFont="1" applyFill="1" applyBorder="1" applyAlignment="1">
      <alignment horizontal="left" vertical="top"/>
    </xf>
    <xf numFmtId="0" fontId="2408" fillId="2406" borderId="2391" xfId="0" applyFont="1" applyFill="1" applyBorder="1" applyAlignment="1">
      <alignment wrapText="1"/>
    </xf>
    <xf numFmtId="0" fontId="2409" fillId="2407" borderId="2392" xfId="0" applyFont="1" applyFill="1" applyBorder="1" applyAlignment="1">
      <alignment wrapText="1"/>
    </xf>
    <xf numFmtId="0" fontId="2410" fillId="2408" borderId="2393" xfId="0" applyFont="1" applyFill="1" applyBorder="1" applyAlignment="1">
      <alignment wrapText="1"/>
    </xf>
    <xf numFmtId="0" fontId="2411" fillId="2409" borderId="2394" xfId="0" applyFont="1" applyFill="1" applyBorder="1" applyAlignment="1">
      <alignment wrapText="1"/>
    </xf>
    <xf numFmtId="0" fontId="2412" fillId="2410" borderId="2395" xfId="0" applyFont="1" applyFill="1" applyBorder="1" applyAlignment="1">
      <alignment wrapText="1"/>
    </xf>
    <xf numFmtId="0" fontId="2413" fillId="2411" borderId="2396" xfId="0" applyFont="1" applyFill="1" applyBorder="1" applyAlignment="1">
      <alignment wrapText="1"/>
    </xf>
    <xf numFmtId="0" fontId="2414" fillId="2412" borderId="2397" xfId="0" applyFont="1" applyFill="1" applyBorder="1" applyAlignment="1">
      <alignment horizontal="left" vertical="top"/>
    </xf>
    <xf numFmtId="0" fontId="2415" fillId="2413" borderId="2398" xfId="0" applyFont="1" applyFill="1" applyBorder="1" applyAlignment="1">
      <alignment horizontal="left" vertical="top"/>
    </xf>
    <xf numFmtId="0" fontId="2416" fillId="2414" borderId="2399" xfId="0" applyFont="1" applyFill="1" applyBorder="1" applyAlignment="1">
      <alignment horizontal="left" wrapText="1"/>
    </xf>
    <xf numFmtId="0" fontId="2417" fillId="2415" borderId="2400" xfId="0" applyFont="1" applyFill="1" applyBorder="1" applyAlignment="1">
      <alignment horizontal="left" wrapText="1"/>
    </xf>
    <xf numFmtId="0" fontId="2418" fillId="2416" borderId="2401" xfId="0" applyFont="1" applyFill="1" applyBorder="1" applyAlignment="1">
      <alignment wrapText="1"/>
    </xf>
    <xf numFmtId="0" fontId="2419" fillId="2417" borderId="2402" xfId="0" applyFont="1" applyFill="1" applyBorder="1" applyAlignment="1">
      <alignment wrapText="1"/>
    </xf>
    <xf numFmtId="0" fontId="2420" fillId="2418" borderId="2403" xfId="0" applyFont="1" applyFill="1" applyBorder="1" applyAlignment="1">
      <alignment horizontal="left" vertical="top"/>
    </xf>
    <xf numFmtId="0" fontId="2421" fillId="2419" borderId="2404" xfId="0" applyFont="1" applyFill="1" applyBorder="1" applyAlignment="1">
      <alignment horizontal="left" vertical="top"/>
    </xf>
    <xf numFmtId="0" fontId="2422" fillId="2420" borderId="2405" xfId="0" applyFont="1" applyFill="1" applyBorder="1" applyAlignment="1">
      <alignment horizontal="left" vertical="top"/>
    </xf>
    <xf numFmtId="0" fontId="2423" fillId="2421" borderId="2406" xfId="0" applyFont="1" applyFill="1" applyBorder="1" applyAlignment="1">
      <alignment horizontal="left" vertical="top"/>
    </xf>
    <xf numFmtId="0" fontId="2424" fillId="2422" borderId="2407" xfId="0" applyFont="1" applyFill="1" applyBorder="1" applyAlignment="1">
      <alignment horizontal="left" vertical="top"/>
    </xf>
    <xf numFmtId="0" fontId="2425" fillId="2423" borderId="2408" xfId="0" applyFont="1" applyFill="1" applyBorder="1" applyAlignment="1">
      <alignment horizontal="left" vertical="top"/>
    </xf>
    <xf numFmtId="0" fontId="2426" fillId="2424" borderId="2409" xfId="0" applyFont="1" applyFill="1" applyBorder="1" applyAlignment="1">
      <alignment wrapText="1"/>
    </xf>
    <xf numFmtId="0" fontId="2427" fillId="2425" borderId="2410" xfId="0" applyFont="1" applyFill="1" applyBorder="1" applyAlignment="1">
      <alignment wrapText="1"/>
    </xf>
    <xf numFmtId="0" fontId="2428" fillId="2426" borderId="2411" xfId="0" applyFont="1" applyFill="1" applyBorder="1" applyAlignment="1">
      <alignment wrapText="1"/>
    </xf>
    <xf numFmtId="0" fontId="2429" fillId="2427" borderId="2412" xfId="0" applyFont="1" applyFill="1" applyBorder="1" applyAlignment="1">
      <alignment wrapText="1"/>
    </xf>
    <xf numFmtId="0" fontId="2430" fillId="2428" borderId="2413" xfId="0" applyFont="1" applyFill="1" applyBorder="1" applyAlignment="1">
      <alignment horizontal="left" vertical="top"/>
    </xf>
    <xf numFmtId="0" fontId="2431" fillId="2429" borderId="2414" xfId="0" applyFont="1" applyFill="1" applyBorder="1" applyAlignment="1">
      <alignment horizontal="left" vertical="top"/>
    </xf>
    <xf numFmtId="0" fontId="2432" fillId="2430" borderId="2415" xfId="0" applyFont="1" applyFill="1" applyBorder="1" applyAlignment="1">
      <alignment vertical="top" wrapText="1"/>
    </xf>
    <xf numFmtId="0" fontId="2433" fillId="2431" borderId="2416" xfId="0" applyFont="1" applyFill="1" applyBorder="1" applyAlignment="1">
      <alignment vertical="top" wrapText="1"/>
    </xf>
    <xf numFmtId="0" fontId="2434" fillId="2432" borderId="2417" xfId="0" applyFont="1" applyFill="1" applyBorder="1" applyAlignment="1">
      <alignment vertical="top"/>
    </xf>
    <xf numFmtId="0" fontId="2435" fillId="2433" borderId="2418" xfId="0" applyFont="1" applyFill="1" applyBorder="1" applyAlignment="1">
      <alignment vertical="top"/>
    </xf>
    <xf numFmtId="0" fontId="2436" fillId="2434" borderId="2419" xfId="0" applyFont="1" applyFill="1" applyBorder="1" applyAlignment="1">
      <alignment horizontal="left" wrapText="1"/>
    </xf>
    <xf numFmtId="0" fontId="2437" fillId="2435" borderId="2420" xfId="0" applyFont="1" applyFill="1" applyBorder="1" applyAlignment="1">
      <alignment horizontal="left" wrapText="1"/>
    </xf>
    <xf numFmtId="0" fontId="2438" fillId="2436" borderId="2421" xfId="0" applyFont="1" applyFill="1" applyBorder="1" applyAlignment="1">
      <alignment horizontal="left" vertical="top"/>
    </xf>
    <xf numFmtId="0" fontId="2439" fillId="2437" borderId="2422" xfId="0" applyFont="1" applyFill="1" applyBorder="1" applyAlignment="1">
      <alignment horizontal="left" vertical="top"/>
    </xf>
    <xf numFmtId="0" fontId="2440" fillId="2438" borderId="2423" xfId="0" applyFont="1" applyFill="1" applyBorder="1" applyAlignment="1">
      <alignment horizontal="left" wrapText="1"/>
    </xf>
    <xf numFmtId="0" fontId="2441" fillId="2439" borderId="2424" xfId="0" applyFont="1" applyFill="1" applyBorder="1" applyAlignment="1">
      <alignment horizontal="left" wrapText="1"/>
    </xf>
    <xf numFmtId="0" fontId="2442" fillId="2440" borderId="2425" xfId="0" applyFont="1" applyFill="1" applyBorder="1" applyAlignment="1">
      <alignment horizontal="left" wrapText="1"/>
    </xf>
    <xf numFmtId="0" fontId="2443" fillId="2441" borderId="2426" xfId="0" applyFont="1" applyFill="1" applyBorder="1" applyAlignment="1">
      <alignment horizontal="left" wrapText="1"/>
    </xf>
    <xf numFmtId="0" fontId="2444" fillId="2442" borderId="2427" xfId="0" applyFont="1" applyFill="1" applyBorder="1" applyAlignment="1">
      <alignment horizontal="left" wrapText="1"/>
    </xf>
    <xf numFmtId="0" fontId="2445" fillId="2443" borderId="2428" xfId="0" applyFont="1" applyFill="1" applyBorder="1" applyAlignment="1">
      <alignment horizontal="left" wrapText="1"/>
    </xf>
    <xf numFmtId="0" fontId="2446" fillId="2444" borderId="2429" xfId="0" applyFont="1" applyFill="1" applyBorder="1" applyAlignment="1">
      <alignment horizontal="left" vertical="top"/>
    </xf>
    <xf numFmtId="0" fontId="2447" fillId="2445" borderId="2430" xfId="0" applyFont="1" applyFill="1" applyBorder="1" applyAlignment="1">
      <alignment horizontal="left" vertical="top"/>
    </xf>
    <xf numFmtId="0" fontId="2448" fillId="2446" borderId="2431" xfId="0" applyFont="1" applyFill="1" applyBorder="1" applyAlignment="1">
      <alignment horizontal="left" wrapText="1"/>
    </xf>
    <xf numFmtId="0" fontId="2449" fillId="2447" borderId="2432" xfId="0" applyFont="1" applyFill="1" applyBorder="1" applyAlignment="1">
      <alignment horizontal="left" wrapText="1"/>
    </xf>
    <xf numFmtId="0" fontId="2450" fillId="2448" borderId="2433" xfId="0" applyFont="1" applyFill="1" applyBorder="1" applyAlignment="1">
      <alignment wrapText="1"/>
    </xf>
    <xf numFmtId="0" fontId="2451" fillId="2449" borderId="2434" xfId="0" applyFont="1" applyFill="1" applyBorder="1" applyAlignment="1">
      <alignment wrapText="1"/>
    </xf>
    <xf numFmtId="0" fontId="2452" fillId="2450" borderId="2435" xfId="0" applyFont="1" applyFill="1" applyBorder="1" applyAlignment="1">
      <alignment horizontal="left" vertical="top"/>
    </xf>
    <xf numFmtId="0" fontId="2453" fillId="2451" borderId="2436" xfId="0" applyFont="1" applyFill="1" applyBorder="1" applyAlignment="1">
      <alignment horizontal="left" vertical="top"/>
    </xf>
    <xf numFmtId="0" fontId="2454" fillId="2452" borderId="2437" xfId="0" applyFont="1" applyFill="1" applyBorder="1" applyAlignment="1">
      <alignment vertical="top"/>
    </xf>
    <xf numFmtId="0" fontId="2455" fillId="2453" borderId="2438" xfId="0" applyFont="1" applyFill="1" applyBorder="1" applyAlignment="1">
      <alignment vertical="top"/>
    </xf>
    <xf numFmtId="0" fontId="2456" fillId="2454" borderId="2439" xfId="0" applyFont="1" applyFill="1" applyBorder="1" applyAlignment="1">
      <alignment wrapText="1"/>
    </xf>
    <xf numFmtId="0" fontId="2457" fillId="2455" borderId="2440" xfId="0" applyFont="1" applyFill="1" applyBorder="1" applyAlignment="1">
      <alignment wrapText="1"/>
    </xf>
    <xf numFmtId="0" fontId="2458" fillId="2456" borderId="2441" xfId="0" applyFont="1" applyFill="1" applyBorder="1" applyAlignment="1">
      <alignment horizontal="left" vertical="top"/>
    </xf>
    <xf numFmtId="0" fontId="2459" fillId="2457" borderId="2442" xfId="0" applyFont="1" applyFill="1" applyBorder="1" applyAlignment="1">
      <alignment horizontal="left" vertical="top"/>
    </xf>
    <xf numFmtId="0" fontId="2460" fillId="2458" borderId="2443" xfId="0" applyFont="1" applyFill="1" applyBorder="1" applyAlignment="1">
      <alignment horizontal="left" vertical="top"/>
    </xf>
    <xf numFmtId="0" fontId="2461" fillId="2459" borderId="2444" xfId="0" applyFont="1" applyFill="1" applyBorder="1" applyAlignment="1">
      <alignment horizontal="left" vertical="top"/>
    </xf>
    <xf numFmtId="0" fontId="2462" fillId="2460" borderId="2445" xfId="0" applyFont="1" applyFill="1" applyBorder="1" applyAlignment="1">
      <alignment horizontal="left" wrapText="1"/>
    </xf>
    <xf numFmtId="0" fontId="2463" fillId="2461" borderId="2446" xfId="0" applyFont="1" applyFill="1" applyBorder="1" applyAlignment="1">
      <alignment horizontal="left" wrapText="1"/>
    </xf>
    <xf numFmtId="0" fontId="2464" fillId="2462" borderId="2447" xfId="0" applyFont="1" applyFill="1" applyBorder="1" applyAlignment="1">
      <alignment horizontal="left" vertical="top"/>
    </xf>
    <xf numFmtId="0" fontId="2465" fillId="2463" borderId="2448" xfId="0" applyFont="1" applyFill="1" applyBorder="1" applyAlignment="1">
      <alignment horizontal="left" vertical="top"/>
    </xf>
    <xf numFmtId="0" fontId="2466" fillId="2464" borderId="2449" xfId="0" applyFont="1" applyFill="1" applyBorder="1" applyAlignment="1">
      <alignment horizontal="left" wrapText="1"/>
    </xf>
    <xf numFmtId="0" fontId="2467" fillId="2465" borderId="2450" xfId="0" applyFont="1" applyFill="1" applyBorder="1" applyAlignment="1">
      <alignment horizontal="left" wrapText="1"/>
    </xf>
    <xf numFmtId="0" fontId="2468" fillId="2466" borderId="2451" xfId="0" applyFont="1" applyFill="1" applyBorder="1" applyAlignment="1">
      <alignment horizontal="left" wrapText="1"/>
    </xf>
    <xf numFmtId="0" fontId="2469" fillId="2467" borderId="2452" xfId="0" applyFont="1" applyFill="1" applyBorder="1" applyAlignment="1">
      <alignment horizontal="left" wrapText="1"/>
    </xf>
    <xf numFmtId="0" fontId="2470" fillId="2468" borderId="2453" xfId="0" applyFont="1" applyFill="1" applyBorder="1" applyAlignment="1">
      <alignment horizontal="left" wrapText="1"/>
    </xf>
    <xf numFmtId="0" fontId="2471" fillId="2469" borderId="2454" xfId="0" applyFont="1" applyFill="1" applyBorder="1" applyAlignment="1">
      <alignment horizontal="left" wrapText="1"/>
    </xf>
    <xf numFmtId="0" fontId="2472" fillId="2470" borderId="2455" xfId="0" applyFont="1" applyFill="1" applyBorder="1" applyAlignment="1">
      <alignment wrapText="1"/>
    </xf>
    <xf numFmtId="0" fontId="2473" fillId="2471" borderId="2456" xfId="0" applyFont="1" applyFill="1" applyBorder="1" applyAlignment="1">
      <alignment wrapText="1"/>
    </xf>
    <xf numFmtId="0" fontId="2474" fillId="2472" borderId="2457" xfId="0" applyFont="1" applyFill="1" applyBorder="1" applyAlignment="1">
      <alignment horizontal="left" vertical="top" wrapText="1"/>
    </xf>
    <xf numFmtId="0" fontId="2475" fillId="2473" borderId="2458" xfId="0" applyFont="1" applyFill="1" applyBorder="1" applyAlignment="1">
      <alignment horizontal="left" vertical="top" wrapText="1"/>
    </xf>
    <xf numFmtId="0" fontId="2476" fillId="2474" borderId="2459" xfId="0" applyFont="1" applyFill="1" applyBorder="1" applyAlignment="1">
      <alignment horizontal="left" vertical="top"/>
    </xf>
    <xf numFmtId="0" fontId="2477" fillId="2475" borderId="2460" xfId="0" applyFont="1" applyFill="1" applyBorder="1" applyAlignment="1">
      <alignment horizontal="left" vertical="top"/>
    </xf>
    <xf numFmtId="0" fontId="2478" fillId="2476" borderId="2461" xfId="0" applyFont="1" applyFill="1" applyBorder="1" applyAlignment="1">
      <alignment wrapText="1"/>
    </xf>
    <xf numFmtId="0" fontId="2479" fillId="2477" borderId="2462" xfId="0" applyFont="1" applyFill="1" applyBorder="1" applyAlignment="1">
      <alignment wrapText="1"/>
    </xf>
    <xf numFmtId="0" fontId="2480" fillId="2478" borderId="2463" xfId="0" applyFont="1" applyFill="1" applyBorder="1" applyAlignment="1">
      <alignment wrapText="1"/>
    </xf>
    <xf numFmtId="0" fontId="2481" fillId="2479" borderId="2464" xfId="0" applyFont="1" applyFill="1" applyBorder="1" applyAlignment="1">
      <alignment wrapText="1"/>
    </xf>
    <xf numFmtId="0" fontId="2482" fillId="2480" borderId="2465" xfId="0" applyFont="1" applyFill="1" applyBorder="1" applyAlignment="1">
      <alignment wrapText="1"/>
    </xf>
    <xf numFmtId="0" fontId="2483" fillId="2481" borderId="2466" xfId="0" applyFont="1" applyFill="1" applyBorder="1" applyAlignment="1">
      <alignment wrapText="1"/>
    </xf>
    <xf numFmtId="0" fontId="2484" fillId="2482" borderId="2467" xfId="0" applyFont="1" applyFill="1" applyBorder="1" applyAlignment="1">
      <alignment wrapText="1"/>
    </xf>
    <xf numFmtId="0" fontId="2485" fillId="2483" borderId="2468" xfId="0" applyFont="1" applyFill="1" applyBorder="1" applyAlignment="1">
      <alignment wrapText="1"/>
    </xf>
    <xf numFmtId="0" fontId="2486" fillId="2484" borderId="2469" xfId="0" applyFont="1" applyFill="1" applyBorder="1" applyAlignment="1">
      <alignment wrapText="1"/>
    </xf>
    <xf numFmtId="0" fontId="2487" fillId="2485" borderId="2470" xfId="0" applyFont="1" applyFill="1" applyBorder="1" applyAlignment="1">
      <alignment wrapText="1"/>
    </xf>
    <xf numFmtId="0" fontId="2488" fillId="2486" borderId="2471" xfId="0" applyFont="1" applyFill="1" applyBorder="1" applyAlignment="1">
      <alignment wrapText="1"/>
    </xf>
    <xf numFmtId="0" fontId="2489" fillId="2487" borderId="2472" xfId="0" applyFont="1" applyFill="1" applyBorder="1" applyAlignment="1">
      <alignment wrapText="1"/>
    </xf>
    <xf numFmtId="0" fontId="2490" fillId="2488" borderId="2473" xfId="0" applyFont="1" applyFill="1" applyBorder="1" applyAlignment="1">
      <alignment wrapText="1"/>
    </xf>
    <xf numFmtId="0" fontId="2491" fillId="2489" borderId="2474" xfId="0" applyFont="1" applyFill="1" applyBorder="1" applyAlignment="1">
      <alignment wrapText="1"/>
    </xf>
    <xf numFmtId="0" fontId="2492" fillId="2490" borderId="2475" xfId="0" applyFont="1" applyFill="1" applyBorder="1" applyAlignment="1">
      <alignment horizontal="left" vertical="top" wrapText="1"/>
    </xf>
    <xf numFmtId="0" fontId="2493" fillId="2491" borderId="2476" xfId="0" applyFont="1" applyFill="1" applyBorder="1" applyAlignment="1">
      <alignment horizontal="left" vertical="top" wrapText="1"/>
    </xf>
    <xf numFmtId="0" fontId="2494" fillId="2492" borderId="2477" xfId="0" applyFont="1" applyFill="1" applyBorder="1" applyAlignment="1">
      <alignment wrapText="1"/>
    </xf>
    <xf numFmtId="0" fontId="2495" fillId="2493" borderId="2478" xfId="0" applyFont="1" applyFill="1" applyBorder="1" applyAlignment="1">
      <alignment wrapText="1"/>
    </xf>
    <xf numFmtId="0" fontId="2496" fillId="2494" borderId="2479" xfId="0" applyFont="1" applyFill="1" applyBorder="1" applyAlignment="1">
      <alignment wrapText="1"/>
    </xf>
    <xf numFmtId="0" fontId="2497" fillId="2495" borderId="2480" xfId="0" applyFont="1" applyFill="1" applyBorder="1" applyAlignment="1">
      <alignment wrapText="1"/>
    </xf>
    <xf numFmtId="0" fontId="2498" fillId="2496" borderId="2481" xfId="0" applyFont="1" applyFill="1" applyBorder="1" applyAlignment="1">
      <alignment wrapText="1"/>
    </xf>
    <xf numFmtId="0" fontId="2499" fillId="2497" borderId="2482" xfId="0" applyFont="1" applyFill="1" applyBorder="1" applyAlignment="1">
      <alignment wrapText="1"/>
    </xf>
    <xf numFmtId="0" fontId="2500" fillId="2498" borderId="2483" xfId="0" applyFont="1" applyFill="1" applyBorder="1" applyAlignment="1">
      <alignment horizontal="left" vertical="top"/>
    </xf>
    <xf numFmtId="0" fontId="2501" fillId="2499" borderId="2484" xfId="0" applyFont="1" applyFill="1" applyBorder="1" applyAlignment="1">
      <alignment horizontal="left" vertical="top"/>
    </xf>
    <xf numFmtId="0" fontId="2502" fillId="2500" borderId="2485" xfId="0" applyFont="1" applyFill="1" applyBorder="1" applyAlignment="1">
      <alignment wrapText="1"/>
    </xf>
    <xf numFmtId="0" fontId="2503" fillId="2501" borderId="2486" xfId="0" applyFont="1" applyFill="1" applyBorder="1" applyAlignment="1">
      <alignment wrapText="1"/>
    </xf>
    <xf numFmtId="0" fontId="2504" fillId="2502" borderId="2487" xfId="0" applyFont="1" applyFill="1" applyBorder="1" applyAlignment="1">
      <alignment wrapText="1"/>
    </xf>
    <xf numFmtId="0" fontId="2505" fillId="2503" borderId="2488" xfId="0" applyFont="1" applyFill="1" applyBorder="1" applyAlignment="1">
      <alignment wrapText="1"/>
    </xf>
    <xf numFmtId="0" fontId="2506" fillId="2504" borderId="2489" xfId="0" applyFont="1" applyFill="1" applyBorder="1" applyAlignment="1">
      <alignment wrapText="1"/>
    </xf>
    <xf numFmtId="0" fontId="2507" fillId="2505" borderId="2490" xfId="0" applyFont="1" applyFill="1" applyBorder="1" applyAlignment="1">
      <alignment wrapText="1"/>
    </xf>
    <xf numFmtId="0" fontId="2508" fillId="2506" borderId="2491" xfId="0" applyFont="1" applyFill="1" applyBorder="1" applyAlignment="1">
      <alignment wrapText="1"/>
    </xf>
    <xf numFmtId="0" fontId="2509" fillId="2507" borderId="2492" xfId="0" applyFont="1" applyFill="1" applyBorder="1" applyAlignment="1">
      <alignment wrapText="1"/>
    </xf>
    <xf numFmtId="0" fontId="2510" fillId="2508" borderId="2493" xfId="0" applyFont="1" applyFill="1" applyBorder="1" applyAlignment="1">
      <alignment wrapText="1"/>
    </xf>
    <xf numFmtId="0" fontId="2511" fillId="2509" borderId="2494" xfId="0" applyFont="1" applyFill="1" applyBorder="1" applyAlignment="1">
      <alignment wrapText="1"/>
    </xf>
    <xf numFmtId="0" fontId="2512" fillId="2510" borderId="2495" xfId="0" applyFont="1" applyFill="1" applyBorder="1" applyAlignment="1">
      <alignment wrapText="1"/>
    </xf>
    <xf numFmtId="0" fontId="2513" fillId="2511" borderId="2496" xfId="0" applyFont="1" applyFill="1" applyBorder="1" applyAlignment="1">
      <alignment wrapText="1"/>
    </xf>
    <xf numFmtId="0" fontId="2514" fillId="2512" borderId="2497" xfId="0" applyFont="1" applyFill="1" applyBorder="1" applyAlignment="1">
      <alignment wrapText="1"/>
    </xf>
    <xf numFmtId="0" fontId="2515" fillId="2513" borderId="2498" xfId="0" applyFont="1" applyFill="1" applyBorder="1" applyAlignment="1">
      <alignment wrapText="1"/>
    </xf>
    <xf numFmtId="0" fontId="2516" fillId="2514" borderId="2499" xfId="0" applyFont="1" applyFill="1" applyBorder="1" applyAlignment="1">
      <alignment wrapText="1"/>
    </xf>
    <xf numFmtId="0" fontId="2517" fillId="2515" borderId="2500" xfId="0" applyFont="1" applyFill="1" applyBorder="1" applyAlignment="1">
      <alignment wrapText="1"/>
    </xf>
    <xf numFmtId="0" fontId="2518" fillId="2516" borderId="2501" xfId="0" applyFont="1" applyFill="1" applyBorder="1" applyAlignment="1">
      <alignment horizontal="left" vertical="top"/>
    </xf>
    <xf numFmtId="0" fontId="2519" fillId="2517" borderId="2502" xfId="0" applyFont="1" applyFill="1" applyBorder="1" applyAlignment="1">
      <alignment horizontal="left" vertical="top"/>
    </xf>
    <xf numFmtId="0" fontId="2520" fillId="2518" borderId="2503" xfId="0" applyFont="1" applyFill="1" applyBorder="1" applyAlignment="1">
      <alignment wrapText="1"/>
    </xf>
    <xf numFmtId="0" fontId="2521" fillId="2519" borderId="2504" xfId="0" applyFont="1" applyFill="1" applyBorder="1" applyAlignment="1">
      <alignment wrapText="1"/>
    </xf>
    <xf numFmtId="0" fontId="2522" fillId="2520" borderId="2505" xfId="0" applyFont="1" applyFill="1" applyBorder="1" applyAlignment="1">
      <alignment horizontal="left" vertical="top"/>
    </xf>
    <xf numFmtId="0" fontId="2523" fillId="2521" borderId="2506" xfId="0" applyFont="1" applyFill="1" applyBorder="1" applyAlignment="1">
      <alignment horizontal="left" vertical="top"/>
    </xf>
    <xf numFmtId="0" fontId="2524" fillId="2522" borderId="2507" xfId="0" applyFont="1" applyFill="1" applyBorder="1" applyAlignment="1">
      <alignment wrapText="1"/>
    </xf>
    <xf numFmtId="0" fontId="2525" fillId="2523" borderId="2508" xfId="0" applyFont="1" applyFill="1" applyBorder="1" applyAlignment="1">
      <alignment wrapText="1"/>
    </xf>
    <xf numFmtId="0" fontId="2526" fillId="2524" borderId="2509" xfId="0" applyFont="1" applyFill="1" applyBorder="1" applyAlignment="1">
      <alignment horizontal="left" vertical="top"/>
    </xf>
    <xf numFmtId="0" fontId="2527" fillId="2525" borderId="2510" xfId="0" applyFont="1" applyFill="1" applyBorder="1" applyAlignment="1">
      <alignment horizontal="left" vertical="top"/>
    </xf>
    <xf numFmtId="0" fontId="2528" fillId="2526" borderId="2511" xfId="0" applyFont="1" applyFill="1" applyBorder="1" applyAlignment="1">
      <alignment wrapText="1"/>
    </xf>
    <xf numFmtId="0" fontId="2529" fillId="2527" borderId="2512" xfId="0" applyFont="1" applyFill="1" applyBorder="1" applyAlignment="1">
      <alignment wrapText="1"/>
    </xf>
    <xf numFmtId="0" fontId="2530" fillId="2528" borderId="2513" xfId="0" applyFont="1" applyFill="1" applyBorder="1" applyAlignment="1">
      <alignment horizontal="left" vertical="top"/>
    </xf>
    <xf numFmtId="0" fontId="2531" fillId="2529" borderId="2514" xfId="0" applyFont="1" applyFill="1" applyBorder="1" applyAlignment="1">
      <alignment horizontal="left" vertical="top"/>
    </xf>
    <xf numFmtId="0" fontId="2532" fillId="2530" borderId="2515" xfId="0" applyFont="1" applyFill="1" applyBorder="1" applyAlignment="1">
      <alignment wrapText="1"/>
    </xf>
    <xf numFmtId="0" fontId="2533" fillId="2531" borderId="2516" xfId="0" applyFont="1" applyFill="1" applyBorder="1" applyAlignment="1">
      <alignment wrapText="1"/>
    </xf>
    <xf numFmtId="0" fontId="2534" fillId="2532" borderId="2517" xfId="0" applyFont="1" applyFill="1" applyBorder="1" applyAlignment="1">
      <alignment wrapText="1"/>
    </xf>
    <xf numFmtId="0" fontId="2535" fillId="2533" borderId="2518" xfId="0" applyFont="1" applyFill="1" applyBorder="1" applyAlignment="1">
      <alignment wrapText="1"/>
    </xf>
    <xf numFmtId="0" fontId="2536" fillId="2534" borderId="2519" xfId="0" applyFont="1" applyFill="1" applyBorder="1" applyAlignment="1">
      <alignment wrapText="1"/>
    </xf>
    <xf numFmtId="0" fontId="2537" fillId="2535" borderId="2520" xfId="0" applyFont="1" applyFill="1" applyBorder="1" applyAlignment="1">
      <alignment wrapText="1"/>
    </xf>
    <xf numFmtId="0" fontId="2538" fillId="2536" borderId="2521" xfId="0" applyFont="1" applyFill="1" applyBorder="1" applyAlignment="1">
      <alignment wrapText="1"/>
    </xf>
    <xf numFmtId="0" fontId="2539" fillId="2537" borderId="2522" xfId="0" applyFont="1" applyFill="1" applyBorder="1" applyAlignment="1">
      <alignment wrapText="1"/>
    </xf>
    <xf numFmtId="0" fontId="2540" fillId="2538" borderId="2523" xfId="0" applyFont="1" applyFill="1" applyBorder="1" applyAlignment="1">
      <alignment wrapText="1"/>
    </xf>
    <xf numFmtId="0" fontId="2541" fillId="2539" borderId="2524" xfId="0" applyFont="1" applyFill="1" applyBorder="1" applyAlignment="1">
      <alignment wrapText="1"/>
    </xf>
    <xf numFmtId="0" fontId="2542" fillId="2540" borderId="2525" xfId="0" applyFont="1" applyFill="1" applyBorder="1" applyAlignment="1">
      <alignment wrapText="1"/>
    </xf>
    <xf numFmtId="0" fontId="2543" fillId="2541" borderId="2526" xfId="0" applyFont="1" applyFill="1" applyBorder="1" applyAlignment="1">
      <alignment wrapText="1"/>
    </xf>
    <xf numFmtId="0" fontId="2544" fillId="2542" borderId="2527" xfId="0" applyFont="1" applyFill="1" applyBorder="1" applyAlignment="1">
      <alignment wrapText="1"/>
    </xf>
    <xf numFmtId="0" fontId="2545" fillId="2543" borderId="2528" xfId="0" applyFont="1" applyFill="1" applyBorder="1" applyAlignment="1">
      <alignment wrapText="1"/>
    </xf>
    <xf numFmtId="0" fontId="2546" fillId="2544" borderId="2529" xfId="0" applyFont="1" applyFill="1" applyBorder="1" applyAlignment="1">
      <alignment wrapText="1"/>
    </xf>
    <xf numFmtId="0" fontId="2547" fillId="2545" borderId="2530" xfId="0" applyFont="1" applyFill="1" applyBorder="1" applyAlignment="1">
      <alignment wrapText="1"/>
    </xf>
    <xf numFmtId="0" fontId="2548" fillId="2546" borderId="2531" xfId="0" applyFont="1" applyFill="1" applyBorder="1" applyAlignment="1">
      <alignment wrapText="1"/>
    </xf>
    <xf numFmtId="0" fontId="2549" fillId="2547" borderId="2532" xfId="0" applyFont="1" applyFill="1" applyBorder="1" applyAlignment="1">
      <alignment wrapText="1"/>
    </xf>
    <xf numFmtId="0" fontId="2550" fillId="2548" borderId="2533" xfId="0" applyFont="1" applyFill="1" applyBorder="1" applyAlignment="1">
      <alignment wrapText="1"/>
    </xf>
    <xf numFmtId="0" fontId="2551" fillId="2549" borderId="2534" xfId="0" applyFont="1" applyFill="1" applyBorder="1" applyAlignment="1">
      <alignment wrapText="1"/>
    </xf>
    <xf numFmtId="0" fontId="2552" fillId="2550" borderId="2535" xfId="0" applyFont="1" applyFill="1" applyBorder="1" applyAlignment="1">
      <alignment wrapText="1"/>
    </xf>
    <xf numFmtId="0" fontId="2553" fillId="2551" borderId="2536" xfId="0" applyFont="1" applyFill="1" applyBorder="1" applyAlignment="1">
      <alignment wrapText="1"/>
    </xf>
    <xf numFmtId="0" fontId="2554" fillId="2552" borderId="2537" xfId="0" applyFont="1" applyFill="1" applyBorder="1" applyAlignment="1">
      <alignment horizontal="left" vertical="top"/>
    </xf>
    <xf numFmtId="0" fontId="2555" fillId="2553" borderId="2538" xfId="0" applyFont="1" applyFill="1" applyBorder="1" applyAlignment="1">
      <alignment horizontal="left" vertical="top"/>
    </xf>
    <xf numFmtId="0" fontId="2556" fillId="2554" borderId="2539" xfId="0" applyFont="1" applyFill="1" applyBorder="1" applyAlignment="1">
      <alignment horizontal="left" vertical="top"/>
    </xf>
    <xf numFmtId="0" fontId="2557" fillId="2555" borderId="2540" xfId="0" applyFont="1" applyFill="1" applyBorder="1" applyAlignment="1">
      <alignment horizontal="left" vertical="top"/>
    </xf>
    <xf numFmtId="0" fontId="2558" fillId="2556" borderId="2541" xfId="0" applyFont="1" applyFill="1" applyBorder="1" applyAlignment="1">
      <alignment wrapText="1"/>
    </xf>
    <xf numFmtId="0" fontId="2559" fillId="2557" borderId="2542" xfId="0" applyFont="1" applyFill="1" applyBorder="1" applyAlignment="1">
      <alignment wrapText="1"/>
    </xf>
    <xf numFmtId="0" fontId="2560" fillId="2558" borderId="2543" xfId="0" applyFont="1" applyFill="1" applyBorder="1" applyAlignment="1">
      <alignment wrapText="1"/>
    </xf>
    <xf numFmtId="0" fontId="2561" fillId="2559" borderId="2544" xfId="0" applyFont="1" applyFill="1" applyBorder="1" applyAlignment="1">
      <alignment wrapText="1"/>
    </xf>
    <xf numFmtId="0" fontId="2562" fillId="2560" borderId="2545" xfId="0" applyFont="1" applyFill="1" applyBorder="1" applyAlignment="1">
      <alignment wrapText="1"/>
    </xf>
    <xf numFmtId="0" fontId="2563" fillId="2561" borderId="2546" xfId="0" applyFont="1" applyFill="1" applyBorder="1" applyAlignment="1">
      <alignment wrapText="1"/>
    </xf>
    <xf numFmtId="0" fontId="2564" fillId="2562" borderId="2547" xfId="0" applyFont="1" applyFill="1" applyBorder="1" applyAlignment="1">
      <alignment wrapText="1"/>
    </xf>
    <xf numFmtId="0" fontId="2565" fillId="2563" borderId="2548" xfId="0" applyFont="1" applyFill="1" applyBorder="1" applyAlignment="1">
      <alignment wrapText="1"/>
    </xf>
    <xf numFmtId="0" fontId="2566" fillId="2564" borderId="2549" xfId="0" applyFont="1" applyFill="1" applyBorder="1" applyAlignment="1">
      <alignment wrapText="1"/>
    </xf>
    <xf numFmtId="0" fontId="2567" fillId="2565" borderId="2550" xfId="0" applyFont="1" applyFill="1" applyBorder="1" applyAlignment="1">
      <alignment wrapText="1"/>
    </xf>
    <xf numFmtId="0" fontId="2568" fillId="2566" borderId="2551" xfId="0" applyFont="1" applyFill="1" applyBorder="1" applyAlignment="1">
      <alignment horizontal="left" vertical="top" wrapText="1"/>
    </xf>
    <xf numFmtId="0" fontId="2569" fillId="2567" borderId="2552" xfId="0" applyFont="1" applyFill="1" applyBorder="1" applyAlignment="1">
      <alignment horizontal="left" vertical="top" wrapText="1"/>
    </xf>
    <xf numFmtId="0" fontId="2570" fillId="2568" borderId="2553" xfId="0" applyFont="1" applyFill="1" applyBorder="1" applyAlignment="1">
      <alignment horizontal="left" vertical="top"/>
    </xf>
    <xf numFmtId="0" fontId="2571" fillId="2569" borderId="2554" xfId="0" applyFont="1" applyFill="1" applyBorder="1" applyAlignment="1">
      <alignment horizontal="left" vertical="top"/>
    </xf>
    <xf numFmtId="0" fontId="2572" fillId="2570" borderId="2555" xfId="0" applyFont="1" applyFill="1" applyBorder="1" applyAlignment="1">
      <alignment horizontal="left" vertical="top"/>
    </xf>
    <xf numFmtId="0" fontId="2573" fillId="2571" borderId="2556" xfId="0" applyFont="1" applyFill="1" applyBorder="1" applyAlignment="1">
      <alignment horizontal="left" vertical="top"/>
    </xf>
    <xf numFmtId="0" fontId="2574" fillId="2572" borderId="2557" xfId="0" applyFont="1" applyFill="1" applyBorder="1" applyAlignment="1">
      <alignment wrapText="1"/>
    </xf>
    <xf numFmtId="0" fontId="2575" fillId="2573" borderId="2558" xfId="0" applyFont="1" applyFill="1" applyBorder="1" applyAlignment="1">
      <alignment wrapText="1"/>
    </xf>
    <xf numFmtId="0" fontId="2576" fillId="2574" borderId="2559" xfId="0" applyFont="1" applyFill="1" applyBorder="1" applyAlignment="1">
      <alignment wrapText="1"/>
    </xf>
    <xf numFmtId="0" fontId="2577" fillId="2575" borderId="2560" xfId="0" applyFont="1" applyFill="1" applyBorder="1" applyAlignment="1">
      <alignment wrapText="1"/>
    </xf>
    <xf numFmtId="0" fontId="2578" fillId="2576" borderId="2561" xfId="0" applyFont="1" applyFill="1" applyBorder="1" applyAlignment="1">
      <alignment wrapText="1"/>
    </xf>
    <xf numFmtId="0" fontId="2579" fillId="2577" borderId="2562" xfId="0" applyFont="1" applyFill="1" applyBorder="1" applyAlignment="1">
      <alignment wrapText="1"/>
    </xf>
    <xf numFmtId="0" fontId="2580" fillId="2578" borderId="2563" xfId="0" applyFont="1" applyFill="1" applyBorder="1" applyAlignment="1">
      <alignment horizontal="left" vertical="top"/>
    </xf>
    <xf numFmtId="0" fontId="2581" fillId="2579" borderId="2564" xfId="0" applyFont="1" applyFill="1" applyBorder="1" applyAlignment="1">
      <alignment horizontal="left" vertical="top"/>
    </xf>
    <xf numFmtId="0" fontId="2582" fillId="2580" borderId="2565" xfId="0" applyFont="1" applyFill="1" applyBorder="1" applyAlignment="1">
      <alignment vertical="top"/>
    </xf>
    <xf numFmtId="0" fontId="2583" fillId="2581" borderId="2566" xfId="0" applyFont="1" applyFill="1" applyBorder="1" applyAlignment="1">
      <alignment vertical="top"/>
    </xf>
    <xf numFmtId="0" fontId="2584" fillId="2582" borderId="2567" xfId="0" applyFont="1" applyFill="1" applyBorder="1" applyAlignment="1">
      <alignment wrapText="1"/>
    </xf>
    <xf numFmtId="0" fontId="2585" fillId="2583" borderId="2568" xfId="0" applyFont="1" applyFill="1" applyBorder="1" applyAlignment="1">
      <alignment wrapText="1"/>
    </xf>
    <xf numFmtId="0" fontId="2586" fillId="2584" borderId="2569" xfId="0" applyFont="1" applyFill="1" applyBorder="1" applyAlignment="1">
      <alignment vertical="top" wrapText="1"/>
    </xf>
    <xf numFmtId="0" fontId="2587" fillId="2585" borderId="2570" xfId="0" applyFont="1" applyFill="1" applyBorder="1" applyAlignment="1">
      <alignment vertical="top" wrapText="1"/>
    </xf>
    <xf numFmtId="0" fontId="2588" fillId="2586" borderId="2571" xfId="0" applyFont="1" applyFill="1" applyBorder="1" applyAlignment="1">
      <alignment horizontal="left" vertical="top"/>
    </xf>
    <xf numFmtId="0" fontId="2589" fillId="2587" borderId="2572" xfId="0" applyFont="1" applyFill="1" applyBorder="1" applyAlignment="1">
      <alignment horizontal="left" vertical="top"/>
    </xf>
    <xf numFmtId="0" fontId="2590" fillId="2588" borderId="2573" xfId="0" applyFont="1" applyFill="1" applyBorder="1" applyAlignment="1">
      <alignment wrapText="1"/>
    </xf>
    <xf numFmtId="0" fontId="2591" fillId="2589" borderId="2574" xfId="0" applyFont="1" applyFill="1" applyBorder="1" applyAlignment="1">
      <alignment wrapText="1"/>
    </xf>
    <xf numFmtId="0" fontId="2592" fillId="2590" borderId="2575" xfId="0" applyFont="1" applyFill="1" applyBorder="1" applyAlignment="1">
      <alignment wrapText="1"/>
    </xf>
    <xf numFmtId="0" fontId="2593" fillId="2591" borderId="2576" xfId="0" applyFont="1" applyFill="1" applyBorder="1" applyAlignment="1">
      <alignment wrapText="1"/>
    </xf>
    <xf numFmtId="0" fontId="2594" fillId="2592" borderId="2577" xfId="0" applyFont="1" applyFill="1" applyBorder="1" applyAlignment="1">
      <alignment wrapText="1"/>
    </xf>
    <xf numFmtId="0" fontId="2595" fillId="2593" borderId="2578" xfId="0" applyFont="1" applyFill="1" applyBorder="1" applyAlignment="1">
      <alignment wrapText="1"/>
    </xf>
    <xf numFmtId="0" fontId="2596" fillId="2594" borderId="2579" xfId="0" applyFont="1" applyFill="1" applyBorder="1" applyAlignment="1">
      <alignment horizontal="left" vertical="top"/>
    </xf>
    <xf numFmtId="0" fontId="2597" fillId="2595" borderId="2580" xfId="0" applyFont="1" applyFill="1" applyBorder="1" applyAlignment="1">
      <alignment horizontal="left" vertical="top"/>
    </xf>
    <xf numFmtId="0" fontId="2598" fillId="2596" borderId="2581" xfId="0" applyFont="1" applyFill="1" applyBorder="1" applyAlignment="1">
      <alignment horizontal="left" wrapText="1"/>
    </xf>
    <xf numFmtId="0" fontId="2599" fillId="2597" borderId="2582" xfId="0" applyFont="1" applyFill="1" applyBorder="1" applyAlignment="1">
      <alignment horizontal="left" wrapText="1"/>
    </xf>
    <xf numFmtId="0" fontId="2600" fillId="2598" borderId="2583" xfId="0" applyFont="1" applyFill="1" applyBorder="1" applyAlignment="1">
      <alignment wrapText="1"/>
    </xf>
    <xf numFmtId="0" fontId="2601" fillId="2599" borderId="2584" xfId="0" applyFont="1" applyFill="1" applyBorder="1" applyAlignment="1">
      <alignment wrapText="1"/>
    </xf>
    <xf numFmtId="0" fontId="2602" fillId="2600" borderId="2585" xfId="0" applyFont="1" applyFill="1" applyBorder="1" applyAlignment="1">
      <alignment horizontal="left" vertical="top"/>
    </xf>
    <xf numFmtId="0" fontId="2603" fillId="2601" borderId="2586" xfId="0" applyFont="1" applyFill="1" applyBorder="1" applyAlignment="1">
      <alignment horizontal="left" vertical="top"/>
    </xf>
    <xf numFmtId="0" fontId="2604" fillId="2602" borderId="2587" xfId="0" applyFont="1" applyFill="1" applyBorder="1" applyAlignment="1">
      <alignment wrapText="1"/>
    </xf>
    <xf numFmtId="0" fontId="2605" fillId="2603" borderId="2588" xfId="0" applyFont="1" applyFill="1" applyBorder="1" applyAlignment="1">
      <alignment wrapText="1"/>
    </xf>
    <xf numFmtId="0" fontId="2606" fillId="2604" borderId="2589" xfId="0" applyFont="1" applyFill="1" applyBorder="1" applyAlignment="1">
      <alignment wrapText="1"/>
    </xf>
    <xf numFmtId="0" fontId="2607" fillId="2605" borderId="2590" xfId="0" applyFont="1" applyFill="1" applyBorder="1" applyAlignment="1">
      <alignment wrapText="1"/>
    </xf>
    <xf numFmtId="0" fontId="2608" fillId="2606" borderId="2591" xfId="0" applyFont="1" applyFill="1" applyBorder="1" applyAlignment="1">
      <alignment horizontal="left" vertical="top"/>
    </xf>
    <xf numFmtId="0" fontId="2609" fillId="2607" borderId="2592" xfId="0" applyFont="1" applyFill="1" applyBorder="1" applyAlignment="1">
      <alignment horizontal="left" vertical="top"/>
    </xf>
    <xf numFmtId="0" fontId="2610" fillId="2608" borderId="2593" xfId="0" applyFont="1" applyFill="1" applyBorder="1" applyAlignment="1">
      <alignment vertical="top" wrapText="1"/>
    </xf>
    <xf numFmtId="0" fontId="2611" fillId="2609" borderId="2594" xfId="0" applyFont="1" applyFill="1" applyBorder="1" applyAlignment="1">
      <alignment vertical="top" wrapText="1"/>
    </xf>
    <xf numFmtId="0" fontId="2612" fillId="2610" borderId="2595" xfId="0" applyFont="1" applyFill="1" applyBorder="1" applyAlignment="1">
      <alignment vertical="top"/>
    </xf>
    <xf numFmtId="0" fontId="2613" fillId="2611" borderId="2596" xfId="0" applyFont="1" applyFill="1" applyBorder="1" applyAlignment="1">
      <alignment vertical="top"/>
    </xf>
    <xf numFmtId="0" fontId="2614" fillId="2612" borderId="2597" xfId="0" applyFont="1" applyFill="1" applyBorder="1" applyAlignment="1">
      <alignment horizontal="left" wrapText="1"/>
    </xf>
    <xf numFmtId="0" fontId="2615" fillId="2613" borderId="2598" xfId="0" applyFont="1" applyFill="1" applyBorder="1" applyAlignment="1">
      <alignment horizontal="left" wrapText="1"/>
    </xf>
    <xf numFmtId="0" fontId="2616" fillId="2614" borderId="2599" xfId="0" applyFont="1" applyFill="1" applyBorder="1" applyAlignment="1">
      <alignment horizontal="left" vertical="top"/>
    </xf>
    <xf numFmtId="0" fontId="2617" fillId="2615" borderId="2600" xfId="0" applyFont="1" applyFill="1" applyBorder="1" applyAlignment="1">
      <alignment horizontal="left" vertical="top"/>
    </xf>
    <xf numFmtId="0" fontId="2618" fillId="2616" borderId="2601" xfId="0" applyFont="1" applyFill="1" applyBorder="1" applyAlignment="1">
      <alignment horizontal="left" wrapText="1"/>
    </xf>
    <xf numFmtId="0" fontId="2619" fillId="2617" borderId="2602" xfId="0" applyFont="1" applyFill="1" applyBorder="1" applyAlignment="1">
      <alignment horizontal="left" wrapText="1"/>
    </xf>
    <xf numFmtId="0" fontId="2620" fillId="2618" borderId="2603" xfId="0" applyFont="1" applyFill="1" applyBorder="1" applyAlignment="1">
      <alignment horizontal="left" wrapText="1"/>
    </xf>
    <xf numFmtId="0" fontId="2621" fillId="2619" borderId="2604" xfId="0" applyFont="1" applyFill="1" applyBorder="1" applyAlignment="1">
      <alignment horizontal="left" wrapText="1"/>
    </xf>
    <xf numFmtId="0" fontId="2622" fillId="2620" borderId="2605" xfId="0" applyFont="1" applyFill="1" applyBorder="1" applyAlignment="1">
      <alignment horizontal="left" wrapText="1"/>
    </xf>
    <xf numFmtId="0" fontId="2623" fillId="2621" borderId="2606" xfId="0" applyFont="1" applyFill="1" applyBorder="1" applyAlignment="1">
      <alignment horizontal="left" wrapText="1"/>
    </xf>
    <xf numFmtId="0" fontId="2624" fillId="2622" borderId="2607" xfId="0" applyFont="1" applyFill="1" applyBorder="1" applyAlignment="1">
      <alignment horizontal="left" vertical="top"/>
    </xf>
    <xf numFmtId="0" fontId="2625" fillId="2623" borderId="2608" xfId="0" applyFont="1" applyFill="1" applyBorder="1" applyAlignment="1">
      <alignment horizontal="left" vertical="top"/>
    </xf>
    <xf numFmtId="0" fontId="2626" fillId="2624" borderId="2609" xfId="0" applyFont="1" applyFill="1" applyBorder="1" applyAlignment="1">
      <alignment horizontal="left" wrapText="1"/>
    </xf>
    <xf numFmtId="0" fontId="2627" fillId="2625" borderId="2610" xfId="0" applyFont="1" applyFill="1" applyBorder="1" applyAlignment="1">
      <alignment horizontal="left" wrapText="1"/>
    </xf>
    <xf numFmtId="0" fontId="2628" fillId="2626" borderId="2611" xfId="0" applyFont="1" applyFill="1" applyBorder="1" applyAlignment="1">
      <alignment wrapText="1"/>
    </xf>
    <xf numFmtId="0" fontId="2629" fillId="2627" borderId="2612" xfId="0" applyFont="1" applyFill="1" applyBorder="1" applyAlignment="1">
      <alignment wrapText="1"/>
    </xf>
    <xf numFmtId="0" fontId="2630" fillId="2628" borderId="2613" xfId="0" applyFont="1" applyFill="1" applyBorder="1" applyAlignment="1">
      <alignment horizontal="left" vertical="top"/>
    </xf>
    <xf numFmtId="0" fontId="2631" fillId="2629" borderId="2614" xfId="0" applyFont="1" applyFill="1" applyBorder="1" applyAlignment="1">
      <alignment horizontal="left" vertical="top"/>
    </xf>
    <xf numFmtId="0" fontId="2632" fillId="2630" borderId="2615" xfId="0" applyFont="1" applyFill="1" applyBorder="1" applyAlignment="1">
      <alignment wrapText="1"/>
    </xf>
    <xf numFmtId="0" fontId="2633" fillId="2631" borderId="2616" xfId="0" applyFont="1" applyFill="1" applyBorder="1" applyAlignment="1">
      <alignment wrapText="1"/>
    </xf>
    <xf numFmtId="0" fontId="2634" fillId="2632" borderId="2617" xfId="0" applyFont="1" applyFill="1" applyBorder="1" applyAlignment="1">
      <alignment horizontal="left" vertical="top"/>
    </xf>
    <xf numFmtId="0" fontId="2635" fillId="2633" borderId="2618" xfId="0" applyFont="1" applyFill="1" applyBorder="1" applyAlignment="1">
      <alignment horizontal="left" vertical="top"/>
    </xf>
    <xf numFmtId="0" fontId="2636" fillId="2634" borderId="2619" xfId="0" applyFont="1" applyFill="1" applyBorder="1" applyAlignment="1">
      <alignment horizontal="left" vertical="top"/>
    </xf>
    <xf numFmtId="0" fontId="2637" fillId="2635" borderId="2620" xfId="0" applyFont="1" applyFill="1" applyBorder="1" applyAlignment="1">
      <alignment horizontal="left" vertical="top"/>
    </xf>
    <xf numFmtId="0" fontId="2638" fillId="2636" borderId="2621" xfId="0" applyFont="1" applyFill="1" applyBorder="1" applyAlignment="1">
      <alignment horizontal="left" wrapText="1"/>
    </xf>
    <xf numFmtId="0" fontId="2639" fillId="2637" borderId="2622" xfId="0" applyFont="1" applyFill="1" applyBorder="1" applyAlignment="1">
      <alignment horizontal="left" wrapText="1"/>
    </xf>
    <xf numFmtId="0" fontId="2640" fillId="2638" borderId="2623" xfId="0" applyFont="1" applyFill="1" applyBorder="1" applyAlignment="1">
      <alignment horizontal="left" vertical="top"/>
    </xf>
    <xf numFmtId="0" fontId="2641" fillId="2639" borderId="2624" xfId="0" applyFont="1" applyFill="1" applyBorder="1" applyAlignment="1">
      <alignment horizontal="left" vertical="top"/>
    </xf>
    <xf numFmtId="0" fontId="2642" fillId="2640" borderId="2625" xfId="0" applyFont="1" applyFill="1" applyBorder="1" applyAlignment="1">
      <alignment horizontal="left" wrapText="1"/>
    </xf>
    <xf numFmtId="0" fontId="2643" fillId="2641" borderId="2626" xfId="0" applyFont="1" applyFill="1" applyBorder="1" applyAlignment="1">
      <alignment horizontal="left" wrapText="1"/>
    </xf>
    <xf numFmtId="0" fontId="2644" fillId="2642" borderId="2627" xfId="0" applyFont="1" applyFill="1" applyBorder="1" applyAlignment="1">
      <alignment horizontal="left" wrapText="1"/>
    </xf>
    <xf numFmtId="0" fontId="2645" fillId="2643" borderId="2628" xfId="0" applyFont="1" applyFill="1" applyBorder="1" applyAlignment="1">
      <alignment horizontal="left" wrapText="1"/>
    </xf>
    <xf numFmtId="0" fontId="2646" fillId="2644" borderId="2629" xfId="0" applyFont="1" applyFill="1" applyBorder="1" applyAlignment="1">
      <alignment horizontal="left" wrapText="1"/>
    </xf>
    <xf numFmtId="0" fontId="2647" fillId="2645" borderId="2630" xfId="0" applyFont="1" applyFill="1" applyBorder="1" applyAlignment="1">
      <alignment horizontal="left" wrapText="1"/>
    </xf>
    <xf numFmtId="0" fontId="2648" fillId="2646" borderId="2631" xfId="0" applyFont="1" applyFill="1" applyBorder="1" applyAlignment="1">
      <alignment vertical="top"/>
    </xf>
    <xf numFmtId="0" fontId="2649" fillId="2647" borderId="2632" xfId="0" applyFont="1" applyFill="1" applyBorder="1" applyAlignment="1">
      <alignment vertical="top"/>
    </xf>
    <xf numFmtId="0" fontId="2650" fillId="2648" borderId="2633" xfId="0" applyFont="1" applyFill="1" applyBorder="1" applyAlignment="1">
      <alignment wrapText="1"/>
    </xf>
    <xf numFmtId="0" fontId="2651" fillId="2649" borderId="2634" xfId="0" applyFont="1" applyFill="1" applyBorder="1" applyAlignment="1">
      <alignment wrapText="1"/>
    </xf>
    <xf numFmtId="0" fontId="2652" fillId="2650" borderId="2635" xfId="0" applyFont="1" applyFill="1" applyBorder="1" applyAlignment="1">
      <alignment horizontal="left" vertical="top" wrapText="1"/>
    </xf>
    <xf numFmtId="0" fontId="2653" fillId="2651" borderId="2636" xfId="0" applyFont="1" applyFill="1" applyBorder="1" applyAlignment="1">
      <alignment horizontal="left" vertical="top" wrapText="1"/>
    </xf>
    <xf numFmtId="0" fontId="2654" fillId="2652" borderId="2637" xfId="0" applyFont="1" applyFill="1" applyBorder="1" applyAlignment="1">
      <alignment wrapText="1"/>
    </xf>
    <xf numFmtId="0" fontId="2655" fillId="2653" borderId="2638" xfId="0" applyFont="1" applyFill="1" applyBorder="1" applyAlignment="1">
      <alignment wrapText="1"/>
    </xf>
    <xf numFmtId="0" fontId="2656" fillId="2654" borderId="2639" xfId="0" applyFont="1" applyFill="1" applyBorder="1" applyAlignment="1">
      <alignment wrapText="1"/>
    </xf>
    <xf numFmtId="0" fontId="2657" fillId="2655" borderId="2640" xfId="0" applyFont="1" applyFill="1" applyBorder="1" applyAlignment="1">
      <alignment wrapText="1"/>
    </xf>
    <xf numFmtId="0" fontId="2658" fillId="2656" borderId="2641" xfId="0" applyFont="1" applyFill="1" applyBorder="1" applyAlignment="1">
      <alignment wrapText="1"/>
    </xf>
    <xf numFmtId="0" fontId="2659" fillId="2657" borderId="2642" xfId="0" applyFont="1" applyFill="1" applyBorder="1" applyAlignment="1">
      <alignment wrapText="1"/>
    </xf>
    <xf numFmtId="0" fontId="2660" fillId="2658" borderId="2643" xfId="0" applyFont="1" applyFill="1" applyBorder="1" applyAlignment="1">
      <alignment wrapText="1"/>
    </xf>
    <xf numFmtId="0" fontId="2661" fillId="2659" borderId="2644" xfId="0" applyFont="1" applyFill="1" applyBorder="1" applyAlignment="1">
      <alignment wrapText="1"/>
    </xf>
    <xf numFmtId="0" fontId="2662" fillId="2660" borderId="2645" xfId="0" applyFont="1" applyFill="1" applyBorder="1" applyAlignment="1">
      <alignment wrapText="1"/>
    </xf>
    <xf numFmtId="0" fontId="2663" fillId="2661" borderId="2646" xfId="0" applyFont="1" applyFill="1" applyBorder="1" applyAlignment="1">
      <alignment wrapText="1"/>
    </xf>
    <xf numFmtId="0" fontId="2664" fillId="2662" borderId="2647" xfId="0" applyFont="1" applyFill="1" applyBorder="1" applyAlignment="1">
      <alignment wrapText="1"/>
    </xf>
    <xf numFmtId="0" fontId="2665" fillId="2663" borderId="2648" xfId="0" applyFont="1" applyFill="1" applyBorder="1" applyAlignment="1">
      <alignment wrapText="1"/>
    </xf>
    <xf numFmtId="0" fontId="2666" fillId="2664" borderId="2649" xfId="0" applyFont="1" applyFill="1" applyBorder="1" applyAlignment="1">
      <alignment wrapText="1"/>
    </xf>
    <xf numFmtId="0" fontId="2667" fillId="2665" borderId="2650" xfId="0" applyFont="1" applyFill="1" applyBorder="1" applyAlignment="1">
      <alignment wrapText="1"/>
    </xf>
    <xf numFmtId="0" fontId="2668" fillId="2666" borderId="2651" xfId="0" applyFont="1" applyFill="1" applyBorder="1" applyAlignment="1">
      <alignment horizontal="left" vertical="top" wrapText="1"/>
    </xf>
    <xf numFmtId="0" fontId="2669" fillId="2667" borderId="2652" xfId="0" applyFont="1" applyFill="1" applyBorder="1" applyAlignment="1">
      <alignment horizontal="left" vertical="top" wrapText="1"/>
    </xf>
    <xf numFmtId="0" fontId="2670" fillId="2668" borderId="2653" xfId="0" applyFont="1" applyFill="1" applyBorder="1" applyAlignment="1">
      <alignment wrapText="1"/>
    </xf>
    <xf numFmtId="0" fontId="2671" fillId="2669" borderId="2654" xfId="0" applyFont="1" applyFill="1" applyBorder="1" applyAlignment="1">
      <alignment wrapText="1"/>
    </xf>
    <xf numFmtId="0" fontId="2672" fillId="2670" borderId="2655" xfId="0" applyFont="1" applyFill="1" applyBorder="1" applyAlignment="1">
      <alignment wrapText="1"/>
    </xf>
    <xf numFmtId="0" fontId="2673" fillId="2671" borderId="2656" xfId="0" applyFont="1" applyFill="1" applyBorder="1" applyAlignment="1">
      <alignment wrapText="1"/>
    </xf>
    <xf numFmtId="0" fontId="2674" fillId="2672" borderId="2657" xfId="0" applyFont="1" applyFill="1" applyBorder="1" applyAlignment="1">
      <alignment wrapText="1"/>
    </xf>
    <xf numFmtId="0" fontId="2675" fillId="2673" borderId="2658" xfId="0" applyFont="1" applyFill="1" applyBorder="1" applyAlignment="1">
      <alignment wrapText="1"/>
    </xf>
    <xf numFmtId="0" fontId="2676" fillId="2674" borderId="2659" xfId="0" applyFont="1" applyFill="1" applyBorder="1" applyAlignment="1">
      <alignment wrapText="1"/>
    </xf>
    <xf numFmtId="0" fontId="2677" fillId="2675" borderId="2660" xfId="0" applyFont="1" applyFill="1" applyBorder="1" applyAlignment="1">
      <alignment wrapText="1"/>
    </xf>
    <xf numFmtId="0" fontId="2678" fillId="2676" borderId="2661" xfId="0" applyFont="1" applyFill="1" applyBorder="1" applyAlignment="1">
      <alignment wrapText="1"/>
    </xf>
    <xf numFmtId="0" fontId="2679" fillId="2677" borderId="2662" xfId="0" applyFont="1" applyFill="1" applyBorder="1" applyAlignment="1">
      <alignment wrapText="1"/>
    </xf>
    <xf numFmtId="0" fontId="2680" fillId="2678" borderId="2663" xfId="0" applyFont="1" applyFill="1" applyBorder="1" applyAlignment="1">
      <alignment wrapText="1"/>
    </xf>
    <xf numFmtId="0" fontId="2681" fillId="2679" borderId="2664" xfId="0" applyFont="1" applyFill="1" applyBorder="1" applyAlignment="1">
      <alignment wrapText="1"/>
    </xf>
    <xf numFmtId="0" fontId="2682" fillId="2680" borderId="2665" xfId="0" applyFont="1" applyFill="1" applyBorder="1" applyAlignment="1">
      <alignment wrapText="1"/>
    </xf>
    <xf numFmtId="0" fontId="2683" fillId="2681" borderId="2666" xfId="0" applyFont="1" applyFill="1" applyBorder="1" applyAlignment="1">
      <alignment wrapText="1"/>
    </xf>
    <xf numFmtId="0" fontId="2684" fillId="2682" borderId="2667" xfId="0" applyFont="1" applyFill="1" applyBorder="1" applyAlignment="1">
      <alignment wrapText="1"/>
    </xf>
    <xf numFmtId="0" fontId="2685" fillId="2683" borderId="2668" xfId="0" applyFont="1" applyFill="1" applyBorder="1" applyAlignment="1">
      <alignment wrapText="1"/>
    </xf>
    <xf numFmtId="0" fontId="2686" fillId="2684" borderId="2669" xfId="0" applyFont="1" applyFill="1" applyBorder="1" applyAlignment="1">
      <alignment wrapText="1"/>
    </xf>
    <xf numFmtId="0" fontId="2687" fillId="2685" borderId="2670" xfId="0" applyFont="1" applyFill="1" applyBorder="1" applyAlignment="1">
      <alignment wrapText="1"/>
    </xf>
    <xf numFmtId="0" fontId="2688" fillId="2686" borderId="2671" xfId="0" applyFont="1" applyFill="1" applyBorder="1" applyAlignment="1">
      <alignment wrapText="1"/>
    </xf>
    <xf numFmtId="0" fontId="2689" fillId="2687" borderId="2672" xfId="0" applyFont="1" applyFill="1" applyBorder="1" applyAlignment="1">
      <alignment wrapText="1"/>
    </xf>
    <xf numFmtId="0" fontId="2690" fillId="2688" borderId="2673" xfId="0" applyFont="1" applyFill="1" applyBorder="1" applyAlignment="1">
      <alignment wrapText="1"/>
    </xf>
    <xf numFmtId="0" fontId="2691" fillId="2689" borderId="2674" xfId="0" applyFont="1" applyFill="1" applyBorder="1" applyAlignment="1">
      <alignment wrapText="1"/>
    </xf>
    <xf numFmtId="0" fontId="2692" fillId="2690" borderId="2675" xfId="0" applyFont="1" applyFill="1" applyBorder="1" applyAlignment="1">
      <alignment horizontal="left" vertical="top"/>
    </xf>
    <xf numFmtId="0" fontId="2693" fillId="2691" borderId="2676" xfId="0" applyFont="1" applyFill="1" applyBorder="1" applyAlignment="1">
      <alignment horizontal="left" vertical="top"/>
    </xf>
    <xf numFmtId="0" fontId="2694" fillId="2692" borderId="2677" xfId="0" applyFont="1" applyFill="1" applyBorder="1" applyAlignment="1">
      <alignment wrapText="1"/>
    </xf>
    <xf numFmtId="0" fontId="2695" fillId="2693" borderId="2678" xfId="0" applyFont="1" applyFill="1" applyBorder="1" applyAlignment="1">
      <alignment wrapText="1"/>
    </xf>
    <xf numFmtId="0" fontId="2696" fillId="2694" borderId="2679" xfId="0" applyFont="1" applyFill="1" applyBorder="1" applyAlignment="1">
      <alignment horizontal="left" vertical="top"/>
    </xf>
    <xf numFmtId="0" fontId="2697" fillId="2695" borderId="2680" xfId="0" applyFont="1" applyFill="1" applyBorder="1" applyAlignment="1">
      <alignment horizontal="left" vertical="top"/>
    </xf>
    <xf numFmtId="0" fontId="2698" fillId="2696" borderId="2681" xfId="0" applyFont="1" applyFill="1" applyBorder="1" applyAlignment="1">
      <alignment wrapText="1"/>
    </xf>
    <xf numFmtId="0" fontId="2699" fillId="2697" borderId="2682" xfId="0" applyFont="1" applyFill="1" applyBorder="1" applyAlignment="1">
      <alignment wrapText="1"/>
    </xf>
    <xf numFmtId="0" fontId="2700" fillId="2698" borderId="2683" xfId="0" applyFont="1" applyFill="1" applyBorder="1" applyAlignment="1">
      <alignment horizontal="left" vertical="top"/>
    </xf>
    <xf numFmtId="0" fontId="2701" fillId="2699" borderId="2684" xfId="0" applyFont="1" applyFill="1" applyBorder="1" applyAlignment="1">
      <alignment horizontal="left" vertical="top"/>
    </xf>
    <xf numFmtId="0" fontId="2702" fillId="2700" borderId="2685" xfId="0" applyFont="1" applyFill="1" applyBorder="1" applyAlignment="1">
      <alignment wrapText="1"/>
    </xf>
    <xf numFmtId="0" fontId="2703" fillId="2701" borderId="2686" xfId="0" applyFont="1" applyFill="1" applyBorder="1" applyAlignment="1">
      <alignment wrapText="1"/>
    </xf>
    <xf numFmtId="0" fontId="2704" fillId="2702" borderId="2687" xfId="0" applyFont="1" applyFill="1" applyBorder="1" applyAlignment="1">
      <alignment horizontal="left" vertical="top"/>
    </xf>
    <xf numFmtId="0" fontId="2705" fillId="2703" borderId="2688" xfId="0" applyFont="1" applyFill="1" applyBorder="1" applyAlignment="1">
      <alignment horizontal="left" vertical="top"/>
    </xf>
    <xf numFmtId="0" fontId="2706" fillId="2704" borderId="2689" xfId="0" applyFont="1" applyFill="1" applyBorder="1" applyAlignment="1">
      <alignment wrapText="1"/>
    </xf>
    <xf numFmtId="0" fontId="2707" fillId="2705" borderId="2690" xfId="0" applyFont="1" applyFill="1" applyBorder="1" applyAlignment="1">
      <alignment wrapText="1"/>
    </xf>
    <xf numFmtId="0" fontId="2708" fillId="2706" borderId="2691" xfId="0" applyFont="1" applyFill="1" applyBorder="1" applyAlignment="1">
      <alignment wrapText="1"/>
    </xf>
    <xf numFmtId="0" fontId="2709" fillId="2707" borderId="2692" xfId="0" applyFont="1" applyFill="1" applyBorder="1" applyAlignment="1">
      <alignment wrapText="1"/>
    </xf>
    <xf numFmtId="0" fontId="2710" fillId="2708" borderId="2693" xfId="0" applyFont="1" applyFill="1" applyBorder="1" applyAlignment="1">
      <alignment wrapText="1"/>
    </xf>
    <xf numFmtId="0" fontId="2711" fillId="2709" borderId="2694" xfId="0" applyFont="1" applyFill="1" applyBorder="1" applyAlignment="1">
      <alignment wrapText="1"/>
    </xf>
    <xf numFmtId="0" fontId="2712" fillId="2710" borderId="2695" xfId="0" applyFont="1" applyFill="1" applyBorder="1" applyAlignment="1">
      <alignment wrapText="1"/>
    </xf>
    <xf numFmtId="0" fontId="2713" fillId="2711" borderId="2696" xfId="0" applyFont="1" applyFill="1" applyBorder="1" applyAlignment="1">
      <alignment wrapText="1"/>
    </xf>
    <xf numFmtId="0" fontId="2714" fillId="2712" borderId="2697" xfId="0" applyFont="1" applyFill="1" applyBorder="1" applyAlignment="1">
      <alignment wrapText="1"/>
    </xf>
    <xf numFmtId="0" fontId="2715" fillId="2713" borderId="2698" xfId="0" applyFont="1" applyFill="1" applyBorder="1" applyAlignment="1">
      <alignment wrapText="1"/>
    </xf>
    <xf numFmtId="0" fontId="2716" fillId="2714" borderId="2699" xfId="0" applyFont="1" applyFill="1" applyBorder="1" applyAlignment="1">
      <alignment wrapText="1"/>
    </xf>
    <xf numFmtId="0" fontId="2717" fillId="2715" borderId="2700" xfId="0" applyFont="1" applyFill="1" applyBorder="1" applyAlignment="1">
      <alignment wrapText="1"/>
    </xf>
    <xf numFmtId="0" fontId="2718" fillId="2716" borderId="2701" xfId="0" applyFont="1" applyFill="1" applyBorder="1" applyAlignment="1">
      <alignment wrapText="1"/>
    </xf>
    <xf numFmtId="0" fontId="2719" fillId="2717" borderId="2702" xfId="0" applyFont="1" applyFill="1" applyBorder="1" applyAlignment="1">
      <alignment wrapText="1"/>
    </xf>
    <xf numFmtId="0" fontId="2720" fillId="2718" borderId="2703" xfId="0" applyFont="1" applyFill="1" applyBorder="1" applyAlignment="1">
      <alignment wrapText="1"/>
    </xf>
    <xf numFmtId="0" fontId="2721" fillId="2719" borderId="2704" xfId="0" applyFont="1" applyFill="1" applyBorder="1" applyAlignment="1">
      <alignment wrapText="1"/>
    </xf>
    <xf numFmtId="0" fontId="2722" fillId="2720" borderId="2705" xfId="0" applyFont="1" applyFill="1" applyBorder="1" applyAlignment="1">
      <alignment wrapText="1"/>
    </xf>
    <xf numFmtId="0" fontId="2723" fillId="2721" borderId="2706" xfId="0" applyFont="1" applyFill="1" applyBorder="1" applyAlignment="1">
      <alignment wrapText="1"/>
    </xf>
    <xf numFmtId="0" fontId="2724" fillId="2722" borderId="2707" xfId="0" applyFont="1" applyFill="1" applyBorder="1" applyAlignment="1">
      <alignment wrapText="1"/>
    </xf>
    <xf numFmtId="0" fontId="2725" fillId="2723" borderId="2708" xfId="0" applyFont="1" applyFill="1" applyBorder="1" applyAlignment="1">
      <alignment wrapText="1"/>
    </xf>
    <xf numFmtId="0" fontId="2726" fillId="2724" borderId="2709" xfId="0" applyFont="1" applyFill="1" applyBorder="1" applyAlignment="1">
      <alignment wrapText="1"/>
    </xf>
    <xf numFmtId="0" fontId="2727" fillId="2725" borderId="2710" xfId="0" applyFont="1" applyFill="1" applyBorder="1" applyAlignment="1">
      <alignment wrapText="1"/>
    </xf>
    <xf numFmtId="0" fontId="2728" fillId="2726" borderId="2711" xfId="0" applyFont="1" applyFill="1" applyBorder="1" applyAlignment="1">
      <alignment horizontal="left" vertical="top"/>
    </xf>
    <xf numFmtId="0" fontId="2729" fillId="2727" borderId="2712" xfId="0" applyFont="1" applyFill="1" applyBorder="1" applyAlignment="1">
      <alignment horizontal="left" vertical="top"/>
    </xf>
    <xf numFmtId="0" fontId="2730" fillId="2728" borderId="2713" xfId="0" applyFont="1" applyFill="1" applyBorder="1" applyAlignment="1">
      <alignment wrapText="1"/>
    </xf>
    <xf numFmtId="0" fontId="2731" fillId="2729" borderId="2714" xfId="0" applyFont="1" applyFill="1" applyBorder="1" applyAlignment="1">
      <alignment wrapText="1"/>
    </xf>
    <xf numFmtId="0" fontId="2732" fillId="2730" borderId="2715" xfId="0" applyFont="1" applyFill="1" applyBorder="1" applyAlignment="1">
      <alignment wrapText="1"/>
    </xf>
    <xf numFmtId="0" fontId="2733" fillId="2731" borderId="2716" xfId="0" applyFont="1" applyFill="1" applyBorder="1" applyAlignment="1">
      <alignment wrapText="1"/>
    </xf>
    <xf numFmtId="0" fontId="2734" fillId="2732" borderId="2717" xfId="0" applyFont="1" applyFill="1" applyBorder="1" applyAlignment="1">
      <alignment wrapText="1"/>
    </xf>
    <xf numFmtId="0" fontId="2735" fillId="2733" borderId="2718" xfId="0" applyFont="1" applyFill="1" applyBorder="1" applyAlignment="1">
      <alignment wrapText="1"/>
    </xf>
    <xf numFmtId="0" fontId="2736" fillId="2734" borderId="2719" xfId="0" applyFont="1" applyFill="1" applyBorder="1" applyAlignment="1">
      <alignment wrapText="1"/>
    </xf>
    <xf numFmtId="0" fontId="2737" fillId="2735" borderId="2720" xfId="0" applyFont="1" applyFill="1" applyBorder="1" applyAlignment="1">
      <alignment wrapText="1"/>
    </xf>
    <xf numFmtId="0" fontId="2738" fillId="2736" borderId="2721" xfId="0" applyFont="1" applyFill="1" applyBorder="1" applyAlignment="1">
      <alignment wrapText="1"/>
    </xf>
    <xf numFmtId="0" fontId="2739" fillId="2737" borderId="2722" xfId="0" applyFont="1" applyFill="1" applyBorder="1" applyAlignment="1">
      <alignment wrapText="1"/>
    </xf>
    <xf numFmtId="0" fontId="2740" fillId="2738" borderId="2723" xfId="0" applyFont="1" applyFill="1" applyBorder="1" applyAlignment="1">
      <alignment horizontal="left" vertical="top" wrapText="1"/>
    </xf>
    <xf numFmtId="0" fontId="2741" fillId="2739" borderId="2724" xfId="0" applyFont="1" applyFill="1" applyBorder="1" applyAlignment="1">
      <alignment horizontal="left" vertical="top" wrapText="1"/>
    </xf>
    <xf numFmtId="0" fontId="2742" fillId="2740" borderId="2725" xfId="0" applyFont="1" applyFill="1" applyBorder="1" applyAlignment="1">
      <alignment horizontal="left" vertical="top"/>
    </xf>
    <xf numFmtId="0" fontId="2743" fillId="2741" borderId="2726" xfId="0" applyFont="1" applyFill="1" applyBorder="1" applyAlignment="1">
      <alignment horizontal="left" vertical="top"/>
    </xf>
    <xf numFmtId="0" fontId="2744" fillId="2742" borderId="2727" xfId="0" applyFont="1" applyFill="1" applyBorder="1" applyAlignment="1">
      <alignment wrapText="1"/>
    </xf>
    <xf numFmtId="0" fontId="2745" fillId="2743" borderId="2728" xfId="0" applyFont="1" applyFill="1" applyBorder="1" applyAlignment="1">
      <alignment wrapText="1"/>
    </xf>
    <xf numFmtId="0" fontId="2746" fillId="2744" borderId="2729" xfId="0" applyFont="1" applyFill="1" applyBorder="1" applyAlignment="1">
      <alignment wrapText="1"/>
    </xf>
    <xf numFmtId="0" fontId="2747" fillId="2745" borderId="2730" xfId="0" applyFont="1" applyFill="1" applyBorder="1" applyAlignment="1">
      <alignment wrapText="1"/>
    </xf>
    <xf numFmtId="0" fontId="2748" fillId="2746" borderId="2731" xfId="0" applyFont="1" applyFill="1" applyBorder="1" applyAlignment="1">
      <alignment wrapText="1"/>
    </xf>
    <xf numFmtId="0" fontId="2749" fillId="2747" borderId="2732" xfId="0" applyFont="1" applyFill="1" applyBorder="1" applyAlignment="1">
      <alignment wrapText="1"/>
    </xf>
    <xf numFmtId="0" fontId="2750" fillId="2748" borderId="2733" xfId="0" applyFont="1" applyFill="1" applyBorder="1" applyAlignment="1">
      <alignment horizontal="left" vertical="top"/>
    </xf>
    <xf numFmtId="0" fontId="2751" fillId="2749" borderId="2734" xfId="0" applyFont="1" applyFill="1" applyBorder="1" applyAlignment="1">
      <alignment horizontal="left" vertical="top"/>
    </xf>
    <xf numFmtId="0" fontId="2752" fillId="2750" borderId="2735" xfId="0" applyFont="1" applyFill="1" applyBorder="1" applyAlignment="1">
      <alignment vertical="top"/>
    </xf>
    <xf numFmtId="0" fontId="2753" fillId="2751" borderId="2736" xfId="0" applyFont="1" applyFill="1" applyBorder="1" applyAlignment="1">
      <alignment vertical="top"/>
    </xf>
    <xf numFmtId="0" fontId="2754" fillId="2752" borderId="2737" xfId="0" applyFont="1" applyFill="1" applyBorder="1" applyAlignment="1">
      <alignment wrapText="1"/>
    </xf>
    <xf numFmtId="0" fontId="2755" fillId="2753" borderId="2738" xfId="0" applyFont="1" applyFill="1" applyBorder="1" applyAlignment="1">
      <alignment wrapText="1"/>
    </xf>
    <xf numFmtId="0" fontId="2756" fillId="2754" borderId="2739" xfId="0" applyFont="1" applyFill="1" applyBorder="1" applyAlignment="1">
      <alignment vertical="top"/>
    </xf>
    <xf numFmtId="0" fontId="2757" fillId="2755" borderId="2740" xfId="0" applyFont="1" applyFill="1" applyBorder="1" applyAlignment="1">
      <alignment vertical="top"/>
    </xf>
    <xf numFmtId="0" fontId="2758" fillId="2756" borderId="2741" xfId="0" applyFont="1" applyFill="1" applyBorder="1" applyAlignment="1">
      <alignment vertical="top" wrapText="1"/>
    </xf>
    <xf numFmtId="0" fontId="2759" fillId="2757" borderId="2742" xfId="0" applyFont="1" applyFill="1" applyBorder="1" applyAlignment="1">
      <alignment vertical="top" wrapText="1"/>
    </xf>
    <xf numFmtId="0" fontId="2760" fillId="2758" borderId="2743" xfId="0" applyFont="1" applyFill="1" applyBorder="1" applyAlignment="1">
      <alignment horizontal="left" vertical="top"/>
    </xf>
    <xf numFmtId="0" fontId="2761" fillId="2759" borderId="2744" xfId="0" applyFont="1" applyFill="1" applyBorder="1" applyAlignment="1">
      <alignment horizontal="left" vertical="top"/>
    </xf>
    <xf numFmtId="0" fontId="2762" fillId="2760" borderId="2745" xfId="0" applyFont="1" applyFill="1" applyBorder="1" applyAlignment="1">
      <alignment wrapText="1"/>
    </xf>
    <xf numFmtId="0" fontId="2763" fillId="2761" borderId="2746" xfId="0" applyFont="1" applyFill="1" applyBorder="1" applyAlignment="1">
      <alignment wrapText="1"/>
    </xf>
    <xf numFmtId="0" fontId="2764" fillId="2762" borderId="2747" xfId="0" applyFont="1" applyFill="1" applyBorder="1" applyAlignment="1">
      <alignment wrapText="1"/>
    </xf>
    <xf numFmtId="0" fontId="2765" fillId="2763" borderId="2748" xfId="0" applyFont="1" applyFill="1" applyBorder="1" applyAlignment="1">
      <alignment wrapText="1"/>
    </xf>
    <xf numFmtId="0" fontId="2766" fillId="2764" borderId="2749" xfId="0" applyFont="1" applyFill="1" applyBorder="1" applyAlignment="1">
      <alignment wrapText="1"/>
    </xf>
    <xf numFmtId="0" fontId="2767" fillId="2765" borderId="2750" xfId="0" applyFont="1" applyFill="1" applyBorder="1" applyAlignment="1">
      <alignment wrapText="1"/>
    </xf>
    <xf numFmtId="0" fontId="2768" fillId="2766" borderId="2751" xfId="0" applyFont="1" applyFill="1" applyBorder="1" applyAlignment="1">
      <alignment horizontal="left" wrapText="1"/>
    </xf>
    <xf numFmtId="0" fontId="2769" fillId="2767" borderId="2752" xfId="0" applyFont="1" applyFill="1" applyBorder="1" applyAlignment="1">
      <alignment horizontal="left" wrapText="1"/>
    </xf>
    <xf numFmtId="0" fontId="2770" fillId="2768" borderId="2753" xfId="0" applyFont="1" applyFill="1" applyBorder="1" applyAlignment="1">
      <alignment wrapText="1"/>
    </xf>
    <xf numFmtId="0" fontId="2771" fillId="2769" borderId="2754" xfId="0" applyFont="1" applyFill="1" applyBorder="1" applyAlignment="1">
      <alignment wrapText="1"/>
    </xf>
    <xf numFmtId="0" fontId="2772" fillId="2770" borderId="2755" xfId="0" applyFont="1" applyFill="1" applyBorder="1" applyAlignment="1">
      <alignment horizontal="left" vertical="top"/>
    </xf>
    <xf numFmtId="0" fontId="2773" fillId="2771" borderId="2756" xfId="0" applyFont="1" applyFill="1" applyBorder="1" applyAlignment="1">
      <alignment horizontal="left" vertical="top"/>
    </xf>
    <xf numFmtId="0" fontId="2774" fillId="2772" borderId="2757" xfId="0" applyFont="1" applyFill="1" applyBorder="1" applyAlignment="1">
      <alignment horizontal="left" vertical="top"/>
    </xf>
    <xf numFmtId="0" fontId="2775" fillId="2773" borderId="2758" xfId="0" applyFont="1" applyFill="1" applyBorder="1" applyAlignment="1">
      <alignment horizontal="left" vertical="top"/>
    </xf>
    <xf numFmtId="0" fontId="2776" fillId="2774" borderId="2759" xfId="0" applyFont="1" applyFill="1" applyBorder="1" applyAlignment="1">
      <alignment horizontal="left" vertical="top"/>
    </xf>
    <xf numFmtId="0" fontId="2777" fillId="2775" borderId="2760" xfId="0" applyFont="1" applyFill="1" applyBorder="1" applyAlignment="1">
      <alignment horizontal="left" vertical="top"/>
    </xf>
    <xf numFmtId="0" fontId="2778" fillId="2776" borderId="2761" xfId="0" applyFont="1" applyFill="1" applyBorder="1" applyAlignment="1">
      <alignment wrapText="1"/>
    </xf>
    <xf numFmtId="0" fontId="2779" fillId="2777" borderId="2762" xfId="0" applyFont="1" applyFill="1" applyBorder="1" applyAlignment="1">
      <alignment wrapText="1"/>
    </xf>
    <xf numFmtId="0" fontId="2780" fillId="2778" borderId="2763" xfId="0" applyFont="1" applyFill="1" applyBorder="1" applyAlignment="1">
      <alignment horizontal="left" vertical="top"/>
    </xf>
    <xf numFmtId="0" fontId="2781" fillId="2779" borderId="2764" xfId="0" applyFont="1" applyFill="1" applyBorder="1" applyAlignment="1">
      <alignment horizontal="left" vertical="top"/>
    </xf>
    <xf numFmtId="0" fontId="2782" fillId="2780" borderId="2765" xfId="0" applyFont="1" applyFill="1" applyBorder="1" applyAlignment="1">
      <alignment wrapText="1"/>
    </xf>
    <xf numFmtId="0" fontId="2783" fillId="2781" borderId="2766" xfId="0" applyFont="1" applyFill="1" applyBorder="1" applyAlignment="1">
      <alignment wrapText="1"/>
    </xf>
    <xf numFmtId="0" fontId="2784" fillId="2782" borderId="2767" xfId="0" applyFont="1" applyFill="1" applyBorder="1" applyAlignment="1">
      <alignment horizontal="left" vertical="top"/>
    </xf>
    <xf numFmtId="0" fontId="2785" fillId="2783" borderId="2768" xfId="0" applyFont="1" applyFill="1" applyBorder="1" applyAlignment="1">
      <alignment horizontal="left" vertical="top"/>
    </xf>
    <xf numFmtId="0" fontId="2786" fillId="2784" borderId="2769" xfId="0" applyFont="1" applyFill="1" applyBorder="1" applyAlignment="1">
      <alignment vertical="top" wrapText="1"/>
    </xf>
    <xf numFmtId="0" fontId="2787" fillId="2785" borderId="2770" xfId="0" applyFont="1" applyFill="1" applyBorder="1" applyAlignment="1">
      <alignment vertical="top" wrapText="1"/>
    </xf>
    <xf numFmtId="0" fontId="2788" fillId="2786" borderId="2771" xfId="0" applyFont="1" applyFill="1" applyBorder="1" applyAlignment="1">
      <alignment vertical="top"/>
    </xf>
    <xf numFmtId="0" fontId="2789" fillId="2787" borderId="2772" xfId="0" applyFont="1" applyFill="1" applyBorder="1" applyAlignment="1">
      <alignment vertical="top"/>
    </xf>
    <xf numFmtId="0" fontId="2790" fillId="2788" borderId="2773" xfId="0" applyFont="1" applyFill="1" applyBorder="1" applyAlignment="1">
      <alignment horizontal="left" wrapText="1"/>
    </xf>
    <xf numFmtId="0" fontId="2791" fillId="2789" borderId="2774" xfId="0" applyFont="1" applyFill="1" applyBorder="1" applyAlignment="1">
      <alignment horizontal="left" wrapText="1"/>
    </xf>
    <xf numFmtId="0" fontId="2792" fillId="2790" borderId="2775" xfId="0" applyFont="1" applyFill="1" applyBorder="1" applyAlignment="1">
      <alignment horizontal="left" vertical="top"/>
    </xf>
    <xf numFmtId="0" fontId="2793" fillId="2791" borderId="2776" xfId="0" applyFont="1" applyFill="1" applyBorder="1" applyAlignment="1">
      <alignment horizontal="left" vertical="top"/>
    </xf>
    <xf numFmtId="0" fontId="2794" fillId="2792" borderId="2777" xfId="0" applyFont="1" applyFill="1" applyBorder="1" applyAlignment="1">
      <alignment horizontal="left" wrapText="1"/>
    </xf>
    <xf numFmtId="0" fontId="2795" fillId="2793" borderId="2778" xfId="0" applyFont="1" applyFill="1" applyBorder="1" applyAlignment="1">
      <alignment horizontal="left" wrapText="1"/>
    </xf>
    <xf numFmtId="0" fontId="2796" fillId="2794" borderId="2779" xfId="0" applyFont="1" applyFill="1" applyBorder="1" applyAlignment="1">
      <alignment horizontal="left" vertical="top"/>
    </xf>
    <xf numFmtId="0" fontId="2797" fillId="2795" borderId="2780" xfId="0" applyFont="1" applyFill="1" applyBorder="1" applyAlignment="1">
      <alignment horizontal="left" vertical="top"/>
    </xf>
    <xf numFmtId="0" fontId="2798" fillId="2796" borderId="2781" xfId="0" applyFont="1" applyFill="1" applyBorder="1" applyAlignment="1">
      <alignment horizontal="left" wrapText="1"/>
    </xf>
    <xf numFmtId="0" fontId="2799" fillId="2797" borderId="2782" xfId="0" applyFont="1" applyFill="1" applyBorder="1" applyAlignment="1">
      <alignment horizontal="left" wrapText="1"/>
    </xf>
    <xf numFmtId="0" fontId="2800" fillId="2798" borderId="2783" xfId="0" applyFont="1" applyFill="1" applyBorder="1" applyAlignment="1">
      <alignment horizontal="left" wrapText="1"/>
    </xf>
    <xf numFmtId="0" fontId="2801" fillId="2799" borderId="2784" xfId="0" applyFont="1" applyFill="1" applyBorder="1" applyAlignment="1">
      <alignment horizontal="left" wrapText="1"/>
    </xf>
    <xf numFmtId="0" fontId="2802" fillId="2800" borderId="2785" xfId="0" applyFont="1" applyFill="1" applyBorder="1" applyAlignment="1">
      <alignment horizontal="left" vertical="top"/>
    </xf>
    <xf numFmtId="0" fontId="2803" fillId="2801" borderId="2786" xfId="0" applyFont="1" applyFill="1" applyBorder="1" applyAlignment="1">
      <alignment horizontal="left" vertical="top"/>
    </xf>
    <xf numFmtId="0" fontId="2804" fillId="2802" borderId="2787" xfId="0" applyFont="1" applyFill="1" applyBorder="1" applyAlignment="1">
      <alignment horizontal="left" wrapText="1"/>
    </xf>
    <xf numFmtId="0" fontId="2805" fillId="2803" borderId="2788" xfId="0" applyFont="1" applyFill="1" applyBorder="1" applyAlignment="1">
      <alignment horizontal="left" wrapText="1"/>
    </xf>
    <xf numFmtId="0" fontId="2806" fillId="2804" borderId="2789" xfId="0" applyFont="1" applyFill="1" applyBorder="1" applyAlignment="1">
      <alignment wrapText="1"/>
    </xf>
    <xf numFmtId="0" fontId="2807" fillId="2805" borderId="2790" xfId="0" applyFont="1" applyFill="1" applyBorder="1" applyAlignment="1">
      <alignment wrapText="1"/>
    </xf>
    <xf numFmtId="0" fontId="2808" fillId="2806" borderId="2791" xfId="0" applyFont="1" applyFill="1" applyBorder="1" applyAlignment="1">
      <alignment horizontal="left" vertical="top"/>
    </xf>
    <xf numFmtId="0" fontId="2809" fillId="2807" borderId="2792" xfId="0" applyFont="1" applyFill="1" applyBorder="1" applyAlignment="1">
      <alignment horizontal="left" vertical="top"/>
    </xf>
    <xf numFmtId="0" fontId="2810" fillId="2808" borderId="2793" xfId="0" applyFont="1" applyFill="1" applyBorder="1" applyAlignment="1">
      <alignment vertical="top"/>
    </xf>
    <xf numFmtId="0" fontId="2811" fillId="2809" borderId="2794" xfId="0" applyFont="1" applyFill="1" applyBorder="1" applyAlignment="1">
      <alignment vertical="top"/>
    </xf>
    <xf numFmtId="0" fontId="2812" fillId="2810" borderId="2795" xfId="0" applyFont="1" applyFill="1" applyBorder="1" applyAlignment="1">
      <alignment wrapText="1"/>
    </xf>
    <xf numFmtId="0" fontId="2813" fillId="2811" borderId="2796" xfId="0" applyFont="1" applyFill="1" applyBorder="1" applyAlignment="1">
      <alignment wrapText="1"/>
    </xf>
    <xf numFmtId="0" fontId="2814" fillId="2812" borderId="2797" xfId="0" applyFont="1" applyFill="1" applyBorder="1" applyAlignment="1">
      <alignment horizontal="left" vertical="top"/>
    </xf>
    <xf numFmtId="0" fontId="2815" fillId="2813" borderId="2798" xfId="0" applyFont="1" applyFill="1" applyBorder="1" applyAlignment="1">
      <alignment horizontal="left" vertical="top"/>
    </xf>
    <xf numFmtId="0" fontId="2816" fillId="2814" borderId="2799" xfId="0" applyFont="1" applyFill="1" applyBorder="1" applyAlignment="1">
      <alignment horizontal="left" vertical="top"/>
    </xf>
    <xf numFmtId="0" fontId="2817" fillId="2815" borderId="2800" xfId="0" applyFont="1" applyFill="1" applyBorder="1" applyAlignment="1">
      <alignment horizontal="left" vertical="top"/>
    </xf>
    <xf numFmtId="0" fontId="2818" fillId="2816" borderId="2801" xfId="0" applyFont="1" applyFill="1" applyBorder="1" applyAlignment="1">
      <alignment horizontal="left" vertical="top"/>
    </xf>
    <xf numFmtId="0" fontId="2819" fillId="2817" borderId="2802" xfId="0" applyFont="1" applyFill="1" applyBorder="1" applyAlignment="1">
      <alignment horizontal="left" vertical="top"/>
    </xf>
    <xf numFmtId="0" fontId="2820" fillId="2818" borderId="2803" xfId="0" applyFont="1" applyFill="1" applyBorder="1" applyAlignment="1">
      <alignment horizontal="left" wrapText="1"/>
    </xf>
    <xf numFmtId="0" fontId="2821" fillId="2819" borderId="2804" xfId="0" applyFont="1" applyFill="1" applyBorder="1" applyAlignment="1">
      <alignment horizontal="left" wrapText="1"/>
    </xf>
    <xf numFmtId="0" fontId="2822" fillId="2820" borderId="2805" xfId="0" applyFont="1" applyFill="1" applyBorder="1" applyAlignment="1">
      <alignment horizontal="left" vertical="top"/>
    </xf>
    <xf numFmtId="0" fontId="2823" fillId="2821" borderId="2806" xfId="0" applyFont="1" applyFill="1" applyBorder="1" applyAlignment="1">
      <alignment horizontal="left" vertical="top"/>
    </xf>
    <xf numFmtId="0" fontId="2824" fillId="2822" borderId="2807" xfId="0" applyFont="1" applyFill="1" applyBorder="1" applyAlignment="1">
      <alignment horizontal="left" wrapText="1"/>
    </xf>
    <xf numFmtId="0" fontId="2825" fillId="2823" borderId="2808" xfId="0" applyFont="1" applyFill="1" applyBorder="1" applyAlignment="1">
      <alignment horizontal="left" wrapText="1"/>
    </xf>
    <xf numFmtId="0" fontId="2826" fillId="2824" borderId="2809" xfId="0" applyFont="1" applyFill="1" applyBorder="1" applyAlignment="1">
      <alignment horizontal="left" wrapText="1"/>
    </xf>
    <xf numFmtId="0" fontId="2827" fillId="2825" borderId="2810" xfId="0" applyFont="1" applyFill="1" applyBorder="1" applyAlignment="1">
      <alignment horizontal="left" wrapText="1"/>
    </xf>
    <xf numFmtId="0" fontId="2828" fillId="2826" borderId="2811" xfId="0" applyFont="1" applyFill="1" applyBorder="1" applyAlignment="1">
      <alignment horizontal="left" wrapText="1"/>
    </xf>
    <xf numFmtId="0" fontId="2829" fillId="2827" borderId="2812" xfId="0" applyFont="1" applyFill="1" applyBorder="1" applyAlignment="1">
      <alignment horizontal="left" wrapText="1"/>
    </xf>
    <xf numFmtId="0" fontId="2830" fillId="2828" borderId="2813" xfId="0" applyFont="1" applyFill="1" applyBorder="1" applyAlignment="1">
      <alignment wrapText="1"/>
    </xf>
    <xf numFmtId="0" fontId="2831" fillId="2829" borderId="2814" xfId="0" applyFont="1" applyFill="1" applyBorder="1" applyAlignment="1">
      <alignment wrapText="1"/>
    </xf>
    <xf numFmtId="0" fontId="2832" fillId="2830" borderId="2815" xfId="0" applyFont="1" applyFill="1" applyBorder="1" applyAlignment="1">
      <alignment horizontal="left" vertical="top" wrapText="1"/>
    </xf>
    <xf numFmtId="0" fontId="2833" fillId="2831" borderId="2816" xfId="0" applyFont="1" applyFill="1" applyBorder="1" applyAlignment="1">
      <alignment horizontal="left" vertical="top" wrapText="1"/>
    </xf>
    <xf numFmtId="0" fontId="2834" fillId="2832" borderId="2817" xfId="0" applyFont="1" applyFill="1" applyBorder="1" applyAlignment="1">
      <alignment wrapText="1"/>
    </xf>
    <xf numFmtId="0" fontId="2835" fillId="2833" borderId="2818" xfId="0" applyFont="1" applyFill="1" applyBorder="1" applyAlignment="1">
      <alignment wrapText="1"/>
    </xf>
    <xf numFmtId="0" fontId="2836" fillId="2834" borderId="2819" xfId="0" applyFont="1" applyFill="1" applyBorder="1" applyAlignment="1">
      <alignment wrapText="1"/>
    </xf>
    <xf numFmtId="0" fontId="2837" fillId="2835" borderId="2820" xfId="0" applyFont="1" applyFill="1" applyBorder="1" applyAlignment="1">
      <alignment wrapText="1"/>
    </xf>
    <xf numFmtId="0" fontId="2838" fillId="2836" borderId="2821" xfId="0" applyFont="1" applyFill="1" applyBorder="1" applyAlignment="1">
      <alignment wrapText="1"/>
    </xf>
    <xf numFmtId="0" fontId="2839" fillId="2837" borderId="2822" xfId="0" applyFont="1" applyFill="1" applyBorder="1" applyAlignment="1">
      <alignment wrapText="1"/>
    </xf>
    <xf numFmtId="0" fontId="2840" fillId="2838" borderId="2823" xfId="0" applyFont="1" applyFill="1" applyBorder="1" applyAlignment="1">
      <alignment wrapText="1"/>
    </xf>
    <xf numFmtId="0" fontId="2841" fillId="2839" borderId="2824" xfId="0" applyFont="1" applyFill="1" applyBorder="1" applyAlignment="1">
      <alignment wrapText="1"/>
    </xf>
    <xf numFmtId="0" fontId="2842" fillId="2840" borderId="2825" xfId="0" applyFont="1" applyFill="1" applyBorder="1" applyAlignment="1">
      <alignment wrapText="1"/>
    </xf>
    <xf numFmtId="0" fontId="2843" fillId="2841" borderId="2826" xfId="0" applyFont="1" applyFill="1" applyBorder="1" applyAlignment="1">
      <alignment wrapText="1"/>
    </xf>
    <xf numFmtId="0" fontId="2844" fillId="2842" borderId="2827" xfId="0" applyFont="1" applyFill="1" applyBorder="1" applyAlignment="1">
      <alignment wrapText="1"/>
    </xf>
    <xf numFmtId="0" fontId="2845" fillId="2843" borderId="2828" xfId="0" applyFont="1" applyFill="1" applyBorder="1" applyAlignment="1">
      <alignment wrapText="1"/>
    </xf>
    <xf numFmtId="0" fontId="2846" fillId="2844" borderId="2829" xfId="0" applyFont="1" applyFill="1" applyBorder="1" applyAlignment="1">
      <alignment wrapText="1"/>
    </xf>
    <xf numFmtId="0" fontId="2847" fillId="2845" borderId="2830" xfId="0" applyFont="1" applyFill="1" applyBorder="1" applyAlignment="1">
      <alignment wrapText="1"/>
    </xf>
    <xf numFmtId="0" fontId="2848" fillId="2846" borderId="2831" xfId="0" applyFont="1" applyFill="1" applyBorder="1" applyAlignment="1">
      <alignment horizontal="left" vertical="top"/>
    </xf>
    <xf numFmtId="0" fontId="2849" fillId="2847" borderId="2832" xfId="0" applyFont="1" applyFill="1" applyBorder="1" applyAlignment="1">
      <alignment horizontal="left" vertical="top"/>
    </xf>
    <xf numFmtId="0" fontId="2850" fillId="2848" borderId="2833" xfId="0" applyFont="1" applyFill="1" applyBorder="1" applyAlignment="1">
      <alignment horizontal="left" vertical="top" wrapText="1"/>
    </xf>
    <xf numFmtId="0" fontId="2851" fillId="2849" borderId="2834" xfId="0" applyFont="1" applyFill="1" applyBorder="1" applyAlignment="1">
      <alignment horizontal="left" vertical="top" wrapText="1"/>
    </xf>
    <xf numFmtId="0" fontId="2852" fillId="2850" borderId="2835" xfId="0" applyFont="1" applyFill="1" applyBorder="1" applyAlignment="1">
      <alignment horizontal="left" vertical="top"/>
    </xf>
    <xf numFmtId="0" fontId="2853" fillId="2851" borderId="2836" xfId="0" applyFont="1" applyFill="1" applyBorder="1" applyAlignment="1">
      <alignment horizontal="left" vertical="top"/>
    </xf>
    <xf numFmtId="0" fontId="2854" fillId="2852" borderId="2837" xfId="0" applyFont="1" applyFill="1" applyBorder="1" applyAlignment="1">
      <alignment wrapText="1"/>
    </xf>
    <xf numFmtId="0" fontId="2855" fillId="2853" borderId="2838" xfId="0" applyFont="1" applyFill="1" applyBorder="1" applyAlignment="1">
      <alignment wrapText="1"/>
    </xf>
    <xf numFmtId="0" fontId="2856" fillId="2854" borderId="2839" xfId="0" applyFont="1" applyFill="1" applyBorder="1" applyAlignment="1">
      <alignment horizontal="left" vertical="top"/>
    </xf>
    <xf numFmtId="0" fontId="2857" fillId="2855" borderId="2840" xfId="0" applyFont="1" applyFill="1" applyBorder="1" applyAlignment="1">
      <alignment horizontal="left" vertical="top"/>
    </xf>
    <xf numFmtId="0" fontId="2858" fillId="2856" borderId="2841" xfId="0" applyFont="1" applyFill="1" applyBorder="1" applyAlignment="1">
      <alignment wrapText="1"/>
    </xf>
    <xf numFmtId="0" fontId="2859" fillId="2857" borderId="2842" xfId="0" applyFont="1" applyFill="1" applyBorder="1" applyAlignment="1">
      <alignment wrapText="1"/>
    </xf>
    <xf numFmtId="0" fontId="2860" fillId="2858" borderId="2843" xfId="0" applyFont="1" applyFill="1" applyBorder="1" applyAlignment="1">
      <alignment wrapText="1"/>
    </xf>
    <xf numFmtId="0" fontId="2861" fillId="2859" borderId="2844" xfId="0" applyFont="1" applyFill="1" applyBorder="1" applyAlignment="1">
      <alignment wrapText="1"/>
    </xf>
    <xf numFmtId="0" fontId="2862" fillId="2860" borderId="2845" xfId="0" applyFont="1" applyFill="1" applyBorder="1" applyAlignment="1">
      <alignment horizontal="left" vertical="top"/>
    </xf>
    <xf numFmtId="0" fontId="2863" fillId="2861" borderId="2846" xfId="0" applyFont="1" applyFill="1" applyBorder="1" applyAlignment="1">
      <alignment horizontal="left" vertical="top"/>
    </xf>
    <xf numFmtId="0" fontId="2864" fillId="2862" borderId="2847" xfId="0" applyFont="1" applyFill="1" applyBorder="1" applyAlignment="1">
      <alignment wrapText="1"/>
    </xf>
    <xf numFmtId="0" fontId="2865" fillId="2863" borderId="2848" xfId="0" applyFont="1" applyFill="1" applyBorder="1" applyAlignment="1">
      <alignment wrapText="1"/>
    </xf>
    <xf numFmtId="0" fontId="2866" fillId="2864" borderId="2849" xfId="0" applyFont="1" applyFill="1" applyBorder="1" applyAlignment="1">
      <alignment wrapText="1"/>
    </xf>
    <xf numFmtId="0" fontId="2867" fillId="2865" borderId="2850" xfId="0" applyFont="1" applyFill="1" applyBorder="1" applyAlignment="1">
      <alignment wrapText="1"/>
    </xf>
    <xf numFmtId="0" fontId="2868" fillId="2866" borderId="2851" xfId="0" applyFont="1" applyFill="1" applyBorder="1" applyAlignment="1">
      <alignment wrapText="1"/>
    </xf>
    <xf numFmtId="0" fontId="2869" fillId="2867" borderId="2852" xfId="0" applyFont="1" applyFill="1" applyBorder="1" applyAlignment="1">
      <alignment wrapText="1"/>
    </xf>
    <xf numFmtId="0" fontId="2870" fillId="2868" borderId="2853" xfId="0" applyFont="1" applyFill="1" applyBorder="1" applyAlignment="1">
      <alignment wrapText="1"/>
    </xf>
    <xf numFmtId="0" fontId="2871" fillId="2869" borderId="2854" xfId="0" applyFont="1" applyFill="1" applyBorder="1" applyAlignment="1">
      <alignment wrapText="1"/>
    </xf>
    <xf numFmtId="0" fontId="2872" fillId="2870" borderId="2855" xfId="0" applyFont="1" applyFill="1" applyBorder="1" applyAlignment="1">
      <alignment wrapText="1"/>
    </xf>
    <xf numFmtId="0" fontId="2873" fillId="2871" borderId="2856" xfId="0" applyFont="1" applyFill="1" applyBorder="1" applyAlignment="1">
      <alignment wrapText="1"/>
    </xf>
    <xf numFmtId="0" fontId="2874" fillId="2872" borderId="2857" xfId="0" applyFont="1" applyFill="1" applyBorder="1" applyAlignment="1">
      <alignment wrapText="1"/>
    </xf>
    <xf numFmtId="0" fontId="2875" fillId="2873" borderId="2858" xfId="0" applyFont="1" applyFill="1" applyBorder="1" applyAlignment="1">
      <alignment wrapText="1"/>
    </xf>
    <xf numFmtId="0" fontId="2876" fillId="2874" borderId="2859" xfId="0" applyFont="1" applyFill="1" applyBorder="1" applyAlignment="1">
      <alignment wrapText="1"/>
    </xf>
    <xf numFmtId="0" fontId="2877" fillId="2875" borderId="2860" xfId="0" applyFont="1" applyFill="1" applyBorder="1" applyAlignment="1">
      <alignment wrapText="1"/>
    </xf>
    <xf numFmtId="0" fontId="2878" fillId="2876" borderId="2861" xfId="0" applyFont="1" applyFill="1" applyBorder="1" applyAlignment="1">
      <alignment horizontal="center" vertical="top"/>
    </xf>
    <xf numFmtId="0" fontId="2879" fillId="2877" borderId="2862" xfId="0" applyFont="1" applyFill="1" applyBorder="1" applyAlignment="1">
      <alignment horizontal="center" vertical="top"/>
    </xf>
    <xf numFmtId="0" fontId="2880" fillId="2878" borderId="2863" xfId="0" applyFont="1" applyFill="1" applyBorder="1" applyAlignment="1">
      <alignment wrapText="1"/>
    </xf>
    <xf numFmtId="0" fontId="2881" fillId="2879" borderId="2864" xfId="0" applyFont="1" applyFill="1" applyBorder="1" applyAlignment="1">
      <alignment wrapText="1"/>
    </xf>
    <xf numFmtId="0" fontId="2882" fillId="2880" borderId="2865" xfId="0" applyFont="1" applyFill="1" applyBorder="1" applyAlignment="1">
      <alignment horizontal="left" vertical="top"/>
    </xf>
    <xf numFmtId="0" fontId="2883" fillId="2881" borderId="2866" xfId="0" applyFont="1" applyFill="1" applyBorder="1" applyAlignment="1">
      <alignment horizontal="left" vertical="top"/>
    </xf>
    <xf numFmtId="0" fontId="2884" fillId="2882" borderId="2867" xfId="0" applyFont="1" applyFill="1" applyBorder="1" applyAlignment="1">
      <alignment wrapText="1"/>
    </xf>
    <xf numFmtId="0" fontId="2885" fillId="2883" borderId="2868" xfId="0" applyFont="1" applyFill="1" applyBorder="1" applyAlignment="1">
      <alignment wrapText="1"/>
    </xf>
    <xf numFmtId="0" fontId="2886" fillId="2884" borderId="2869" xfId="0" applyFont="1" applyFill="1" applyBorder="1" applyAlignment="1">
      <alignment horizontal="left" vertical="top"/>
    </xf>
    <xf numFmtId="0" fontId="2887" fillId="2885" borderId="2870" xfId="0" applyFont="1" applyFill="1" applyBorder="1" applyAlignment="1">
      <alignment horizontal="left" vertical="top"/>
    </xf>
    <xf numFmtId="0" fontId="2888" fillId="2886" borderId="2871" xfId="0" applyFont="1" applyFill="1" applyBorder="1" applyAlignment="1">
      <alignment wrapText="1"/>
    </xf>
    <xf numFmtId="0" fontId="2889" fillId="2887" borderId="2872" xfId="0" applyFont="1" applyFill="1" applyBorder="1" applyAlignment="1">
      <alignment wrapText="1"/>
    </xf>
    <xf numFmtId="0" fontId="2890" fillId="2888" borderId="2873" xfId="0" applyFont="1" applyFill="1" applyBorder="1" applyAlignment="1">
      <alignment horizontal="left" vertical="top"/>
    </xf>
    <xf numFmtId="0" fontId="2891" fillId="2889" borderId="2874" xfId="0" applyFont="1" applyFill="1" applyBorder="1" applyAlignment="1">
      <alignment horizontal="left" vertical="top"/>
    </xf>
    <xf numFmtId="0" fontId="2892" fillId="2890" borderId="2875" xfId="0" applyFont="1" applyFill="1" applyBorder="1" applyAlignment="1">
      <alignment wrapText="1"/>
    </xf>
    <xf numFmtId="0" fontId="2893" fillId="2891" borderId="2876" xfId="0" applyFont="1" applyFill="1" applyBorder="1" applyAlignment="1">
      <alignment wrapText="1"/>
    </xf>
    <xf numFmtId="0" fontId="2894" fillId="2892" borderId="2877" xfId="0" applyFont="1" applyFill="1" applyBorder="1" applyAlignment="1">
      <alignment horizontal="left" vertical="top"/>
    </xf>
    <xf numFmtId="0" fontId="2895" fillId="2893" borderId="2878" xfId="0" applyFont="1" applyFill="1" applyBorder="1" applyAlignment="1">
      <alignment horizontal="left" vertical="top"/>
    </xf>
    <xf numFmtId="0" fontId="2896" fillId="2894" borderId="2879" xfId="0" applyFont="1" applyFill="1" applyBorder="1" applyAlignment="1">
      <alignment wrapText="1"/>
    </xf>
    <xf numFmtId="0" fontId="2897" fillId="2895" borderId="2880" xfId="0" applyFont="1" applyFill="1" applyBorder="1" applyAlignment="1">
      <alignment wrapText="1"/>
    </xf>
    <xf numFmtId="0" fontId="2898" fillId="2896" borderId="2881" xfId="0" applyFont="1" applyFill="1" applyBorder="1" applyAlignment="1">
      <alignment wrapText="1"/>
    </xf>
    <xf numFmtId="0" fontId="2899" fillId="2897" borderId="2882" xfId="0" applyFont="1" applyFill="1" applyBorder="1" applyAlignment="1">
      <alignment wrapText="1"/>
    </xf>
    <xf numFmtId="0" fontId="2900" fillId="2898" borderId="2883" xfId="0" applyFont="1" applyFill="1" applyBorder="1" applyAlignment="1">
      <alignment wrapText="1"/>
    </xf>
    <xf numFmtId="0" fontId="2901" fillId="2899" borderId="2884" xfId="0" applyFont="1" applyFill="1" applyBorder="1" applyAlignment="1">
      <alignment wrapText="1"/>
    </xf>
    <xf numFmtId="0" fontId="2902" fillId="2900" borderId="2885" xfId="0" applyFont="1" applyFill="1" applyBorder="1" applyAlignment="1">
      <alignment wrapText="1"/>
    </xf>
    <xf numFmtId="0" fontId="2903" fillId="2901" borderId="2886" xfId="0" applyFont="1" applyFill="1" applyBorder="1" applyAlignment="1">
      <alignment wrapText="1"/>
    </xf>
    <xf numFmtId="0" fontId="2904" fillId="2902" borderId="2887" xfId="0" applyFont="1" applyFill="1" applyBorder="1" applyAlignment="1">
      <alignment wrapText="1"/>
    </xf>
    <xf numFmtId="0" fontId="2905" fillId="2903" borderId="2888" xfId="0" applyFont="1" applyFill="1" applyBorder="1" applyAlignment="1">
      <alignment wrapText="1"/>
    </xf>
    <xf numFmtId="0" fontId="2906" fillId="2904" borderId="2889" xfId="0" applyFont="1" applyFill="1" applyBorder="1" applyAlignment="1">
      <alignment wrapText="1"/>
    </xf>
    <xf numFmtId="0" fontId="2907" fillId="2905" borderId="2890" xfId="0" applyFont="1" applyFill="1" applyBorder="1" applyAlignment="1">
      <alignment wrapText="1"/>
    </xf>
    <xf numFmtId="0" fontId="2908" fillId="2906" borderId="2891" xfId="0" applyFont="1" applyFill="1" applyBorder="1" applyAlignment="1">
      <alignment vertical="top"/>
    </xf>
    <xf numFmtId="0" fontId="2909" fillId="2907" borderId="2892" xfId="0" applyFont="1" applyFill="1" applyBorder="1" applyAlignment="1">
      <alignment vertical="top"/>
    </xf>
    <xf numFmtId="0" fontId="2910" fillId="2908" borderId="2893" xfId="0" applyFont="1" applyFill="1" applyBorder="1" applyAlignment="1">
      <alignment wrapText="1"/>
    </xf>
    <xf numFmtId="0" fontId="2911" fillId="2909" borderId="2894" xfId="0" applyFont="1" applyFill="1" applyBorder="1" applyAlignment="1">
      <alignment wrapText="1"/>
    </xf>
    <xf numFmtId="0" fontId="2912" fillId="2910" borderId="2895" xfId="0" applyFont="1" applyFill="1" applyBorder="1" applyAlignment="1">
      <alignment horizontal="left" vertical="top"/>
    </xf>
    <xf numFmtId="0" fontId="2913" fillId="2911" borderId="2896" xfId="0" applyFont="1" applyFill="1" applyBorder="1" applyAlignment="1">
      <alignment horizontal="left" vertical="top"/>
    </xf>
    <xf numFmtId="0" fontId="2914" fillId="2912" borderId="2897" xfId="0" applyFont="1" applyFill="1" applyBorder="1" applyAlignment="1">
      <alignment wrapText="1"/>
    </xf>
    <xf numFmtId="0" fontId="2915" fillId="2913" borderId="2898" xfId="0" applyFont="1" applyFill="1" applyBorder="1" applyAlignment="1">
      <alignment wrapText="1"/>
    </xf>
    <xf numFmtId="0" fontId="2916" fillId="2914" borderId="2899" xfId="0" applyFont="1" applyFill="1" applyBorder="1" applyAlignment="1">
      <alignment wrapText="1"/>
    </xf>
    <xf numFmtId="0" fontId="2917" fillId="2915" borderId="2900" xfId="0" applyFont="1" applyFill="1" applyBorder="1" applyAlignment="1">
      <alignment wrapText="1"/>
    </xf>
    <xf numFmtId="0" fontId="2918" fillId="2916" borderId="2901" xfId="0" applyFont="1" applyFill="1" applyBorder="1" applyAlignment="1">
      <alignment wrapText="1"/>
    </xf>
    <xf numFmtId="0" fontId="2919" fillId="2917" borderId="2902" xfId="0" applyFont="1" applyFill="1" applyBorder="1" applyAlignment="1">
      <alignment wrapText="1"/>
    </xf>
    <xf numFmtId="0" fontId="2920" fillId="2918" borderId="2903" xfId="0" applyFont="1" applyFill="1" applyBorder="1" applyAlignment="1">
      <alignment wrapText="1"/>
    </xf>
    <xf numFmtId="0" fontId="2921" fillId="2919" borderId="2904" xfId="0" applyFont="1" applyFill="1" applyBorder="1" applyAlignment="1">
      <alignment wrapText="1"/>
    </xf>
    <xf numFmtId="0" fontId="2922" fillId="2920" borderId="2905" xfId="0" applyFont="1" applyFill="1" applyBorder="1" applyAlignment="1">
      <alignment horizontal="left" vertical="top"/>
    </xf>
    <xf numFmtId="0" fontId="2923" fillId="2921" borderId="2906" xfId="0" applyFont="1" applyFill="1" applyBorder="1" applyAlignment="1">
      <alignment horizontal="left" vertical="top"/>
    </xf>
    <xf numFmtId="0" fontId="2924" fillId="2922" borderId="2907" xfId="0" applyFont="1" applyFill="1" applyBorder="1"/>
    <xf numFmtId="0" fontId="2925" fillId="2923" borderId="2908" xfId="0" applyFont="1" applyFill="1" applyBorder="1"/>
    <xf numFmtId="0" fontId="2926" fillId="2924" borderId="2909" xfId="0" applyFont="1" applyFill="1" applyBorder="1" applyAlignment="1">
      <alignment wrapText="1"/>
    </xf>
    <xf numFmtId="0" fontId="2927" fillId="2925" borderId="2910" xfId="0" applyFont="1" applyFill="1" applyBorder="1" applyAlignment="1">
      <alignment wrapText="1"/>
    </xf>
    <xf numFmtId="0" fontId="2928" fillId="2926" borderId="2911" xfId="0" applyFont="1" applyFill="1" applyBorder="1" applyAlignment="1">
      <alignment wrapText="1"/>
    </xf>
    <xf numFmtId="0" fontId="2929" fillId="2927" borderId="2912" xfId="0" applyFont="1" applyFill="1" applyBorder="1" applyAlignment="1">
      <alignment wrapText="1"/>
    </xf>
    <xf numFmtId="0" fontId="2930" fillId="2928" borderId="2913" xfId="0" applyFont="1" applyFill="1" applyBorder="1" applyAlignment="1">
      <alignment wrapText="1"/>
    </xf>
    <xf numFmtId="0" fontId="2931" fillId="2929" borderId="2914" xfId="0" applyFont="1" applyFill="1" applyBorder="1" applyAlignment="1">
      <alignment wrapText="1"/>
    </xf>
    <xf numFmtId="0" fontId="2932" fillId="2930" borderId="2915" xfId="0" applyFont="1" applyFill="1" applyBorder="1" applyAlignment="1">
      <alignment vertical="top"/>
    </xf>
    <xf numFmtId="0" fontId="2933" fillId="2931" borderId="2916" xfId="0" applyFont="1" applyFill="1" applyBorder="1" applyAlignment="1">
      <alignment vertical="top"/>
    </xf>
    <xf numFmtId="0" fontId="2934" fillId="2932" borderId="2917" xfId="0" applyFont="1" applyFill="1" applyBorder="1" applyAlignment="1">
      <alignment wrapText="1"/>
    </xf>
    <xf numFmtId="0" fontId="2935" fillId="2933" borderId="2918" xfId="0" applyFont="1" applyFill="1" applyBorder="1" applyAlignment="1">
      <alignment wrapText="1"/>
    </xf>
    <xf numFmtId="0" fontId="2936" fillId="2934" borderId="2919" xfId="0" applyFont="1" applyFill="1" applyBorder="1" applyAlignment="1">
      <alignment vertical="top"/>
    </xf>
    <xf numFmtId="0" fontId="2937" fillId="2935" borderId="2920" xfId="0" applyFont="1" applyFill="1" applyBorder="1" applyAlignment="1">
      <alignment vertical="top"/>
    </xf>
    <xf numFmtId="0" fontId="2938" fillId="2936" borderId="2921" xfId="0" applyFont="1" applyFill="1" applyBorder="1" applyAlignment="1">
      <alignment wrapText="1"/>
    </xf>
    <xf numFmtId="0" fontId="2939" fillId="2937" borderId="2922" xfId="0" applyFont="1" applyFill="1" applyBorder="1" applyAlignment="1">
      <alignment wrapText="1"/>
    </xf>
    <xf numFmtId="0" fontId="2940" fillId="2938" borderId="2923" xfId="0" applyFont="1" applyFill="1" applyBorder="1" applyAlignment="1">
      <alignment horizontal="left" vertical="top"/>
    </xf>
    <xf numFmtId="0" fontId="2941" fillId="2939" borderId="2924" xfId="0" applyFont="1" applyFill="1" applyBorder="1" applyAlignment="1">
      <alignment horizontal="left" vertical="top"/>
    </xf>
    <xf numFmtId="0" fontId="2942" fillId="2940" borderId="2925" xfId="0" applyFont="1" applyFill="1" applyBorder="1" applyAlignment="1">
      <alignment horizontal="left" vertical="top" wrapText="1"/>
    </xf>
    <xf numFmtId="0" fontId="2943" fillId="2941" borderId="2926" xfId="0" applyFont="1" applyFill="1" applyBorder="1" applyAlignment="1">
      <alignment horizontal="left" vertical="top" wrapText="1"/>
    </xf>
    <xf numFmtId="0" fontId="2944" fillId="2942" borderId="2927" xfId="0" applyFont="1" applyFill="1" applyBorder="1" applyAlignment="1">
      <alignment horizontal="left" vertical="top"/>
    </xf>
    <xf numFmtId="0" fontId="2945" fillId="2943" borderId="2928" xfId="0" applyFont="1" applyFill="1" applyBorder="1" applyAlignment="1">
      <alignment horizontal="left" vertical="top"/>
    </xf>
    <xf numFmtId="0" fontId="2946" fillId="2944" borderId="2929" xfId="0" applyFont="1" applyFill="1" applyBorder="1" applyAlignment="1">
      <alignment horizontal="left" vertical="top"/>
    </xf>
    <xf numFmtId="0" fontId="2947" fillId="2945" borderId="2930" xfId="0" applyFont="1" applyFill="1" applyBorder="1" applyAlignment="1">
      <alignment horizontal="left" vertical="top"/>
    </xf>
    <xf numFmtId="0" fontId="2948" fillId="2946" borderId="2931" xfId="0" applyFont="1" applyFill="1" applyBorder="1" applyAlignment="1">
      <alignment wrapText="1"/>
    </xf>
    <xf numFmtId="0" fontId="2949" fillId="2947" borderId="2932" xfId="0" applyFont="1" applyFill="1" applyBorder="1" applyAlignment="1">
      <alignment wrapText="1"/>
    </xf>
    <xf numFmtId="0" fontId="2950" fillId="2948" borderId="2933" xfId="0" applyFont="1" applyFill="1" applyBorder="1" applyAlignment="1">
      <alignment horizontal="left" vertical="top"/>
    </xf>
    <xf numFmtId="0" fontId="2951" fillId="2949" borderId="2934" xfId="0" applyFont="1" applyFill="1" applyBorder="1" applyAlignment="1">
      <alignment horizontal="left" vertical="top"/>
    </xf>
    <xf numFmtId="0" fontId="2952" fillId="2950" borderId="2935" xfId="0" applyFont="1" applyFill="1" applyBorder="1" applyAlignment="1">
      <alignment wrapText="1"/>
    </xf>
    <xf numFmtId="0" fontId="2953" fillId="2951" borderId="2936" xfId="0" applyFont="1" applyFill="1" applyBorder="1" applyAlignment="1">
      <alignment wrapText="1"/>
    </xf>
    <xf numFmtId="0" fontId="2954" fillId="2952" borderId="2937" xfId="0" applyFont="1" applyFill="1" applyBorder="1" applyAlignment="1">
      <alignment wrapText="1"/>
    </xf>
    <xf numFmtId="0" fontId="2955" fillId="2953" borderId="2938" xfId="0" applyFont="1" applyFill="1" applyBorder="1" applyAlignment="1">
      <alignment wrapText="1"/>
    </xf>
    <xf numFmtId="0" fontId="2956" fillId="2954" borderId="2939" xfId="0" applyFont="1" applyFill="1" applyBorder="1" applyAlignment="1">
      <alignment horizontal="left" vertical="top"/>
    </xf>
    <xf numFmtId="0" fontId="2957" fillId="2955" borderId="2940" xfId="0" applyFont="1" applyFill="1" applyBorder="1" applyAlignment="1">
      <alignment horizontal="left" vertical="top"/>
    </xf>
    <xf numFmtId="0" fontId="1" fillId="13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wrapText="1"/>
    </xf>
    <xf numFmtId="0" fontId="1" fillId="203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33" borderId="0" xfId="0" applyFont="1" applyFill="1" applyAlignment="1">
      <alignment horizontal="center"/>
    </xf>
    <xf numFmtId="0" fontId="67" fillId="13" borderId="0" xfId="0" applyFont="1" applyFill="1" applyAlignment="1">
      <alignment horizontal="left"/>
    </xf>
    <xf numFmtId="0" fontId="2958" fillId="0" borderId="0" xfId="0" applyFont="1"/>
    <xf numFmtId="0" fontId="1" fillId="25" borderId="0" xfId="0" applyFont="1" applyFill="1" applyAlignment="1">
      <alignment horizontal="left" vertical="top"/>
    </xf>
    <xf numFmtId="0" fontId="4" fillId="25" borderId="0" xfId="0" applyFont="1" applyFill="1"/>
    <xf numFmtId="0" fontId="4" fillId="25" borderId="1" xfId="0" applyFont="1" applyFill="1" applyBorder="1" applyAlignment="1">
      <alignment horizontal="left" vertical="top" wrapText="1"/>
    </xf>
    <xf numFmtId="0" fontId="2959" fillId="0" borderId="0" xfId="0" applyFont="1"/>
    <xf numFmtId="0" fontId="2960" fillId="0" borderId="0" xfId="0" applyFont="1"/>
    <xf numFmtId="0" fontId="16" fillId="0" borderId="0" xfId="0" applyFont="1" applyAlignment="1">
      <alignment wrapText="1"/>
    </xf>
    <xf numFmtId="0" fontId="16" fillId="10" borderId="0" xfId="0" applyFont="1" applyFill="1" applyAlignment="1">
      <alignment vertical="top" wrapText="1"/>
    </xf>
    <xf numFmtId="0" fontId="16" fillId="10" borderId="0" xfId="0" applyFont="1" applyFill="1" applyAlignment="1">
      <alignment wrapText="1"/>
    </xf>
    <xf numFmtId="0" fontId="16" fillId="10" borderId="1" xfId="0" applyFont="1" applyFill="1" applyBorder="1" applyAlignment="1">
      <alignment horizontal="left" vertical="top" wrapText="1"/>
    </xf>
    <xf numFmtId="0" fontId="16" fillId="3" borderId="0" xfId="0" applyFont="1" applyFill="1" applyAlignment="1">
      <alignment horizontal="left" vertical="top"/>
    </xf>
    <xf numFmtId="0" fontId="16" fillId="0" borderId="0" xfId="0" applyFont="1" applyAlignment="1">
      <alignment vertical="top" wrapText="1"/>
    </xf>
    <xf numFmtId="14" fontId="16" fillId="0" borderId="0" xfId="0" applyNumberFormat="1" applyFont="1" applyAlignment="1">
      <alignment horizontal="left" vertical="top"/>
    </xf>
    <xf numFmtId="0" fontId="40" fillId="0" borderId="0" xfId="0" applyFont="1" applyAlignment="1">
      <alignment wrapText="1"/>
    </xf>
    <xf numFmtId="0" fontId="2961" fillId="0" borderId="0" xfId="0" applyFont="1"/>
    <xf numFmtId="0" fontId="2962" fillId="0" borderId="0" xfId="0" applyFont="1"/>
    <xf numFmtId="0" fontId="18" fillId="0" borderId="1" xfId="0" applyFont="1" applyBorder="1" applyAlignment="1">
      <alignment wrapText="1"/>
    </xf>
    <xf numFmtId="0" fontId="66" fillId="0" borderId="1" xfId="0" applyFont="1" applyBorder="1" applyAlignment="1">
      <alignment wrapText="1"/>
    </xf>
    <xf numFmtId="0" fontId="59" fillId="24" borderId="1" xfId="0" applyFont="1" applyFill="1" applyBorder="1" applyAlignment="1">
      <alignment horizontal="left" vertical="top" wrapText="1"/>
    </xf>
    <xf numFmtId="0" fontId="59" fillId="24" borderId="1" xfId="0" applyFont="1" applyFill="1" applyBorder="1" applyAlignment="1">
      <alignment vertical="top" wrapText="1"/>
    </xf>
    <xf numFmtId="0" fontId="59" fillId="0" borderId="0" xfId="0" applyFont="1"/>
    <xf numFmtId="0" fontId="52" fillId="0" borderId="0" xfId="1" applyAlignment="1">
      <alignment horizontal="left" vertical="top" wrapText="1"/>
    </xf>
    <xf numFmtId="0" fontId="1" fillId="32" borderId="0" xfId="0" applyFont="1" applyFill="1" applyAlignment="1">
      <alignment wrapText="1"/>
    </xf>
    <xf numFmtId="0" fontId="49" fillId="0" borderId="0" xfId="0" applyFont="1" applyAlignment="1">
      <alignment vertical="center"/>
    </xf>
    <xf numFmtId="0" fontId="55" fillId="0" borderId="0" xfId="0" applyFont="1" applyAlignment="1">
      <alignment horizontal="left" vertical="top" wrapText="1"/>
    </xf>
    <xf numFmtId="0" fontId="128" fillId="122" borderId="106" xfId="0" applyFont="1" applyFill="1" applyBorder="1" applyAlignment="1">
      <alignment vertical="top" wrapText="1"/>
    </xf>
    <xf numFmtId="0" fontId="279" fillId="277" borderId="262" xfId="0" applyFont="1" applyFill="1" applyBorder="1" applyAlignment="1">
      <alignment vertical="top" wrapText="1"/>
    </xf>
    <xf numFmtId="0" fontId="280" fillId="278" borderId="263" xfId="0" applyFont="1" applyFill="1" applyBorder="1" applyAlignment="1">
      <alignment vertical="top" wrapText="1"/>
    </xf>
    <xf numFmtId="0" fontId="419" fillId="418" borderId="403" xfId="0" applyFont="1" applyFill="1" applyBorder="1" applyAlignment="1">
      <alignment vertical="top" wrapText="1"/>
    </xf>
    <xf numFmtId="0" fontId="420" fillId="419" borderId="404" xfId="0" applyFont="1" applyFill="1" applyBorder="1" applyAlignment="1">
      <alignment vertical="top" wrapText="1"/>
    </xf>
    <xf numFmtId="0" fontId="588" fillId="587" borderId="572" xfId="0" applyFont="1" applyFill="1" applyBorder="1" applyAlignment="1">
      <alignment vertical="top" wrapText="1"/>
    </xf>
    <xf numFmtId="0" fontId="589" fillId="588" borderId="573" xfId="0" applyFont="1" applyFill="1" applyBorder="1" applyAlignment="1">
      <alignment vertical="top" wrapText="1"/>
    </xf>
    <xf numFmtId="0" fontId="768" fillId="767" borderId="753" xfId="0" applyFont="1" applyFill="1" applyBorder="1" applyAlignment="1">
      <alignment vertical="top" wrapText="1"/>
    </xf>
    <xf numFmtId="0" fontId="769" fillId="768" borderId="754" xfId="0" applyFont="1" applyFill="1" applyBorder="1" applyAlignment="1">
      <alignment vertical="top" wrapText="1"/>
    </xf>
    <xf numFmtId="0" fontId="953" fillId="951" borderId="937" xfId="0" applyFont="1" applyFill="1" applyBorder="1" applyAlignment="1">
      <alignment vertical="top" wrapText="1"/>
    </xf>
    <xf numFmtId="0" fontId="954" fillId="952" borderId="938" xfId="0" applyFont="1" applyFill="1" applyBorder="1" applyAlignment="1">
      <alignment vertical="top" wrapText="1"/>
    </xf>
    <xf numFmtId="0" fontId="1094" fillId="1092" borderId="1078" xfId="0" applyFont="1" applyFill="1" applyBorder="1" applyAlignment="1">
      <alignment vertical="top" wrapText="1"/>
    </xf>
    <xf numFmtId="0" fontId="1095" fillId="1093" borderId="1079" xfId="0" applyFont="1" applyFill="1" applyBorder="1" applyAlignment="1">
      <alignment vertical="top" wrapText="1"/>
    </xf>
    <xf numFmtId="0" fontId="1236" fillId="1234" borderId="1220" xfId="0" applyFont="1" applyFill="1" applyBorder="1" applyAlignment="1">
      <alignment vertical="top" wrapText="1"/>
    </xf>
    <xf numFmtId="0" fontId="1237" fillId="1235" borderId="1221" xfId="0" applyFont="1" applyFill="1" applyBorder="1" applyAlignment="1">
      <alignment vertical="top" wrapText="1"/>
    </xf>
    <xf numFmtId="0" fontId="1518" fillId="1515" borderId="1501" xfId="0" applyFont="1" applyFill="1" applyBorder="1" applyAlignment="1">
      <alignment vertical="top" wrapText="1"/>
    </xf>
    <xf numFmtId="0" fontId="1519" fillId="1516" borderId="1502" xfId="0" applyFont="1" applyFill="1" applyBorder="1" applyAlignment="1">
      <alignment vertical="top" wrapText="1"/>
    </xf>
    <xf numFmtId="0" fontId="1695" fillId="1693" borderId="1679" xfId="0" applyFont="1" applyFill="1" applyBorder="1" applyAlignment="1">
      <alignment vertical="top" wrapText="1"/>
    </xf>
    <xf numFmtId="0" fontId="1696" fillId="1694" borderId="1680" xfId="0" applyFont="1" applyFill="1" applyBorder="1" applyAlignment="1">
      <alignment vertical="top" wrapText="1"/>
    </xf>
    <xf numFmtId="0" fontId="1851" fillId="1849" borderId="1835" xfId="0" applyFont="1" applyFill="1" applyBorder="1" applyAlignment="1">
      <alignment vertical="top" wrapText="1"/>
    </xf>
    <xf numFmtId="0" fontId="1852" fillId="1850" borderId="1836" xfId="0" applyFont="1" applyFill="1" applyBorder="1" applyAlignment="1">
      <alignment vertical="top" wrapText="1"/>
    </xf>
    <xf numFmtId="0" fontId="2012" fillId="2009" borderId="1995" xfId="0" applyFont="1" applyFill="1" applyBorder="1" applyAlignment="1">
      <alignment vertical="top" wrapText="1"/>
    </xf>
    <xf numFmtId="0" fontId="2013" fillId="2010" borderId="1996" xfId="0" applyFont="1" applyFill="1" applyBorder="1" applyAlignment="1">
      <alignment vertical="top" wrapText="1"/>
    </xf>
    <xf numFmtId="0" fontId="2184" fillId="2182" borderId="2167" xfId="0" applyFont="1" applyFill="1" applyBorder="1" applyAlignment="1">
      <alignment vertical="top" wrapText="1"/>
    </xf>
    <xf numFmtId="0" fontId="2185" fillId="2183" borderId="2168" xfId="0" applyFont="1" applyFill="1" applyBorder="1" applyAlignment="1">
      <alignment vertical="top" wrapText="1"/>
    </xf>
    <xf numFmtId="0" fontId="2368" fillId="2366" borderId="2351" xfId="0" applyFont="1" applyFill="1" applyBorder="1" applyAlignment="1">
      <alignment vertical="top" wrapText="1"/>
    </xf>
    <xf numFmtId="0" fontId="2369" fillId="2367" borderId="2352" xfId="0" applyFont="1" applyFill="1" applyBorder="1" applyAlignment="1">
      <alignment vertical="top" wrapText="1"/>
    </xf>
    <xf numFmtId="0" fontId="2552" fillId="2550" borderId="2535" xfId="0" applyFont="1" applyFill="1" applyBorder="1" applyAlignment="1">
      <alignment vertical="top" wrapText="1"/>
    </xf>
    <xf numFmtId="0" fontId="2553" fillId="2551" borderId="2536" xfId="0" applyFont="1" applyFill="1" applyBorder="1" applyAlignment="1">
      <alignment vertical="top" wrapText="1"/>
    </xf>
    <xf numFmtId="0" fontId="2726" fillId="2724" borderId="2709" xfId="0" applyFont="1" applyFill="1" applyBorder="1" applyAlignment="1">
      <alignment vertical="top" wrapText="1"/>
    </xf>
    <xf numFmtId="0" fontId="2727" fillId="2725" borderId="2710" xfId="0" applyFont="1" applyFill="1" applyBorder="1" applyAlignment="1">
      <alignment vertical="top" wrapText="1"/>
    </xf>
    <xf numFmtId="0" fontId="2920" fillId="2918" borderId="2903" xfId="0" applyFont="1" applyFill="1" applyBorder="1" applyAlignment="1">
      <alignment vertical="top" wrapText="1"/>
    </xf>
    <xf numFmtId="0" fontId="2921" fillId="2919" borderId="2904" xfId="0" applyFont="1" applyFill="1" applyBorder="1" applyAlignment="1">
      <alignment vertical="top" wrapText="1"/>
    </xf>
    <xf numFmtId="0" fontId="30" fillId="32" borderId="0" xfId="0" applyFont="1" applyFill="1" applyAlignment="1">
      <alignment vertical="top"/>
    </xf>
    <xf numFmtId="0" fontId="36" fillId="0" borderId="0" xfId="0" applyFont="1" applyAlignment="1">
      <alignment vertical="top"/>
    </xf>
    <xf numFmtId="0" fontId="38" fillId="35" borderId="0" xfId="0" applyFont="1" applyFill="1" applyAlignment="1">
      <alignment vertical="top"/>
    </xf>
    <xf numFmtId="0" fontId="1" fillId="32" borderId="0" xfId="0" applyFont="1" applyFill="1" applyAlignment="1">
      <alignment vertical="top" wrapText="1"/>
    </xf>
    <xf numFmtId="0" fontId="49" fillId="0" borderId="0" xfId="0" applyFont="1" applyAlignment="1">
      <alignment vertical="top"/>
    </xf>
    <xf numFmtId="0" fontId="52" fillId="10" borderId="0" xfId="1" applyFill="1" applyAlignment="1">
      <alignment vertical="top" wrapText="1"/>
    </xf>
    <xf numFmtId="0" fontId="52" fillId="10" borderId="0" xfId="1" applyFill="1" applyAlignment="1">
      <alignment horizontal="left" vertical="top"/>
    </xf>
    <xf numFmtId="0" fontId="0" fillId="0" borderId="0" xfId="0" applyAlignment="1">
      <alignment vertical="center"/>
    </xf>
    <xf numFmtId="0" fontId="52" fillId="0" borderId="1" xfId="1" applyBorder="1" applyAlignment="1">
      <alignment wrapText="1"/>
    </xf>
    <xf numFmtId="0" fontId="18" fillId="24" borderId="1" xfId="0" applyFont="1" applyFill="1" applyBorder="1" applyAlignment="1">
      <alignment wrapText="1"/>
    </xf>
    <xf numFmtId="0" fontId="66" fillId="24" borderId="1" xfId="0" applyFont="1" applyFill="1" applyBorder="1" applyAlignment="1">
      <alignment wrapText="1"/>
    </xf>
    <xf numFmtId="0" fontId="2963" fillId="0" borderId="0" xfId="0" applyFont="1"/>
    <xf numFmtId="14" fontId="1" fillId="2956" borderId="17" xfId="0" applyNumberFormat="1" applyFont="1" applyFill="1" applyBorder="1" applyAlignment="1">
      <alignment horizontal="left" vertical="top"/>
    </xf>
    <xf numFmtId="0" fontId="2964" fillId="2957" borderId="2941" xfId="0" applyFont="1" applyFill="1" applyBorder="1" applyAlignment="1">
      <alignment vertical="top"/>
    </xf>
    <xf numFmtId="0" fontId="2965" fillId="2958" borderId="2942" xfId="0" applyFont="1" applyFill="1" applyBorder="1" applyAlignment="1">
      <alignment vertical="top"/>
    </xf>
    <xf numFmtId="0" fontId="2966" fillId="2959" borderId="2943" xfId="0" applyFont="1" applyFill="1" applyBorder="1" applyAlignment="1">
      <alignment horizontal="left" vertical="top"/>
    </xf>
    <xf numFmtId="0" fontId="2967" fillId="2960" borderId="2944" xfId="0" applyFont="1" applyFill="1" applyBorder="1" applyAlignment="1">
      <alignment horizontal="left" vertical="top"/>
    </xf>
    <xf numFmtId="0" fontId="2968" fillId="2961" borderId="2945" xfId="0" applyFont="1" applyFill="1" applyBorder="1" applyAlignment="1">
      <alignment wrapText="1"/>
    </xf>
    <xf numFmtId="0" fontId="2969" fillId="2962" borderId="2946" xfId="0" applyFont="1" applyFill="1" applyBorder="1" applyAlignment="1">
      <alignment wrapText="1"/>
    </xf>
    <xf numFmtId="0" fontId="2970" fillId="2963" borderId="2947" xfId="0" applyFont="1" applyFill="1" applyBorder="1" applyAlignment="1">
      <alignment vertical="top" wrapText="1"/>
    </xf>
    <xf numFmtId="0" fontId="2971" fillId="2964" borderId="2948" xfId="0" applyFont="1" applyFill="1" applyBorder="1" applyAlignment="1">
      <alignment vertical="top" wrapText="1"/>
    </xf>
    <xf numFmtId="0" fontId="2972" fillId="2965" borderId="2949" xfId="0" applyFont="1" applyFill="1" applyBorder="1" applyAlignment="1">
      <alignment horizontal="left" vertical="top"/>
    </xf>
    <xf numFmtId="0" fontId="2973" fillId="2966" borderId="2950" xfId="0" applyFont="1" applyFill="1" applyBorder="1" applyAlignment="1">
      <alignment horizontal="left" vertical="top"/>
    </xf>
    <xf numFmtId="0" fontId="2974" fillId="2967" borderId="2951" xfId="0" applyFont="1" applyFill="1" applyBorder="1" applyAlignment="1">
      <alignment wrapText="1"/>
    </xf>
    <xf numFmtId="0" fontId="2975" fillId="2968" borderId="2952" xfId="0" applyFont="1" applyFill="1" applyBorder="1" applyAlignment="1">
      <alignment wrapText="1"/>
    </xf>
    <xf numFmtId="0" fontId="2976" fillId="2969" borderId="2953" xfId="0" applyFont="1" applyFill="1" applyBorder="1" applyAlignment="1">
      <alignment wrapText="1"/>
    </xf>
    <xf numFmtId="0" fontId="2977" fillId="2970" borderId="2954" xfId="0" applyFont="1" applyFill="1" applyBorder="1" applyAlignment="1">
      <alignment wrapText="1"/>
    </xf>
    <xf numFmtId="0" fontId="2978" fillId="2971" borderId="2955" xfId="0" applyFont="1" applyFill="1" applyBorder="1" applyAlignment="1">
      <alignment wrapText="1"/>
    </xf>
    <xf numFmtId="0" fontId="2979" fillId="2972" borderId="2956" xfId="0" applyFont="1" applyFill="1" applyBorder="1" applyAlignment="1">
      <alignment wrapText="1"/>
    </xf>
    <xf numFmtId="0" fontId="2980" fillId="2973" borderId="2957" xfId="0" applyFont="1" applyFill="1" applyBorder="1" applyAlignment="1">
      <alignment horizontal="left" vertical="top"/>
    </xf>
    <xf numFmtId="0" fontId="2981" fillId="2974" borderId="2958" xfId="0" applyFont="1" applyFill="1" applyBorder="1" applyAlignment="1">
      <alignment horizontal="left" vertical="top"/>
    </xf>
    <xf numFmtId="0" fontId="2982" fillId="2975" borderId="2959" xfId="0" applyFont="1" applyFill="1" applyBorder="1" applyAlignment="1">
      <alignment horizontal="left" wrapText="1"/>
    </xf>
    <xf numFmtId="0" fontId="2983" fillId="2976" borderId="2960" xfId="0" applyFont="1" applyFill="1" applyBorder="1" applyAlignment="1">
      <alignment horizontal="left" wrapText="1"/>
    </xf>
    <xf numFmtId="0" fontId="2984" fillId="2977" borderId="2961" xfId="0" applyFont="1" applyFill="1" applyBorder="1" applyAlignment="1">
      <alignment horizontal="left"/>
    </xf>
    <xf numFmtId="0" fontId="2985" fillId="2978" borderId="2962" xfId="0" applyFont="1" applyFill="1" applyBorder="1" applyAlignment="1">
      <alignment horizontal="left"/>
    </xf>
    <xf numFmtId="0" fontId="2986" fillId="2979" borderId="2963" xfId="0" applyFont="1" applyFill="1" applyBorder="1" applyAlignment="1">
      <alignment wrapText="1"/>
    </xf>
    <xf numFmtId="0" fontId="2987" fillId="2980" borderId="2964" xfId="0" applyFont="1" applyFill="1" applyBorder="1" applyAlignment="1">
      <alignment wrapText="1"/>
    </xf>
    <xf numFmtId="0" fontId="2988" fillId="2981" borderId="2965" xfId="0" applyFont="1" applyFill="1" applyBorder="1" applyAlignment="1">
      <alignment horizontal="left" vertical="top"/>
    </xf>
    <xf numFmtId="0" fontId="2989" fillId="2982" borderId="2966" xfId="0" applyFont="1" applyFill="1" applyBorder="1" applyAlignment="1">
      <alignment horizontal="left" vertical="top"/>
    </xf>
    <xf numFmtId="0" fontId="2990" fillId="2983" borderId="2967" xfId="0" applyFont="1" applyFill="1" applyBorder="1" applyAlignment="1">
      <alignment horizontal="left" vertical="top"/>
    </xf>
    <xf numFmtId="0" fontId="2991" fillId="2984" borderId="2968" xfId="0" applyFont="1" applyFill="1" applyBorder="1" applyAlignment="1">
      <alignment horizontal="left" vertical="top"/>
    </xf>
    <xf numFmtId="0" fontId="2992" fillId="2985" borderId="2969" xfId="0" applyFont="1" applyFill="1" applyBorder="1" applyAlignment="1">
      <alignment wrapText="1"/>
    </xf>
    <xf numFmtId="0" fontId="2993" fillId="2986" borderId="2970" xfId="0" applyFont="1" applyFill="1" applyBorder="1" applyAlignment="1">
      <alignment wrapText="1"/>
    </xf>
    <xf numFmtId="0" fontId="2994" fillId="2987" borderId="2971" xfId="0" applyFont="1" applyFill="1" applyBorder="1" applyAlignment="1">
      <alignment wrapText="1"/>
    </xf>
    <xf numFmtId="0" fontId="2995" fillId="2988" borderId="2972" xfId="0" applyFont="1" applyFill="1" applyBorder="1" applyAlignment="1">
      <alignment wrapText="1"/>
    </xf>
    <xf numFmtId="0" fontId="2996" fillId="2989" borderId="2973" xfId="0" applyFont="1" applyFill="1" applyBorder="1" applyAlignment="1">
      <alignment horizontal="left" vertical="top"/>
    </xf>
    <xf numFmtId="0" fontId="2997" fillId="2990" borderId="2974" xfId="0" applyFont="1" applyFill="1" applyBorder="1" applyAlignment="1">
      <alignment horizontal="left" vertical="top"/>
    </xf>
    <xf numFmtId="0" fontId="2998" fillId="2991" borderId="2975" xfId="0" applyFont="1" applyFill="1" applyBorder="1" applyAlignment="1">
      <alignment vertical="top" wrapText="1"/>
    </xf>
    <xf numFmtId="0" fontId="2999" fillId="2992" borderId="2976" xfId="0" applyFont="1" applyFill="1" applyBorder="1" applyAlignment="1">
      <alignment vertical="top" wrapText="1"/>
    </xf>
    <xf numFmtId="0" fontId="3000" fillId="2993" borderId="2977" xfId="0" applyFont="1" applyFill="1" applyBorder="1" applyAlignment="1">
      <alignment vertical="top"/>
    </xf>
    <xf numFmtId="0" fontId="3001" fillId="2994" borderId="2978" xfId="0" applyFont="1" applyFill="1" applyBorder="1" applyAlignment="1">
      <alignment vertical="top"/>
    </xf>
    <xf numFmtId="0" fontId="3002" fillId="2995" borderId="2979" xfId="0" applyFont="1" applyFill="1" applyBorder="1" applyAlignment="1">
      <alignment horizontal="left" wrapText="1"/>
    </xf>
    <xf numFmtId="0" fontId="3003" fillId="2996" borderId="2980" xfId="0" applyFont="1" applyFill="1" applyBorder="1" applyAlignment="1">
      <alignment horizontal="left" wrapText="1"/>
    </xf>
    <xf numFmtId="0" fontId="3004" fillId="2997" borderId="2981" xfId="0" applyFont="1" applyFill="1" applyBorder="1" applyAlignment="1">
      <alignment horizontal="left" vertical="top"/>
    </xf>
    <xf numFmtId="0" fontId="3005" fillId="2998" borderId="2982" xfId="0" applyFont="1" applyFill="1" applyBorder="1" applyAlignment="1">
      <alignment horizontal="left" vertical="top"/>
    </xf>
    <xf numFmtId="0" fontId="3006" fillId="2999" borderId="2983" xfId="0" applyFont="1" applyFill="1" applyBorder="1" applyAlignment="1">
      <alignment horizontal="left" wrapText="1"/>
    </xf>
    <xf numFmtId="0" fontId="3007" fillId="3000" borderId="2984" xfId="0" applyFont="1" applyFill="1" applyBorder="1" applyAlignment="1">
      <alignment horizontal="left" wrapText="1"/>
    </xf>
    <xf numFmtId="0" fontId="3008" fillId="3001" borderId="2985" xfId="0" applyFont="1" applyFill="1" applyBorder="1" applyAlignment="1">
      <alignment horizontal="left" wrapText="1"/>
    </xf>
    <xf numFmtId="0" fontId="3009" fillId="3002" borderId="2986" xfId="0" applyFont="1" applyFill="1" applyBorder="1" applyAlignment="1">
      <alignment horizontal="left" wrapText="1"/>
    </xf>
    <xf numFmtId="0" fontId="3010" fillId="3003" borderId="2987" xfId="0" applyFont="1" applyFill="1" applyBorder="1" applyAlignment="1">
      <alignment horizontal="left" wrapText="1"/>
    </xf>
    <xf numFmtId="0" fontId="3011" fillId="3004" borderId="2988" xfId="0" applyFont="1" applyFill="1" applyBorder="1" applyAlignment="1">
      <alignment horizontal="left" wrapText="1"/>
    </xf>
    <xf numFmtId="0" fontId="3012" fillId="3005" borderId="2989" xfId="0" applyFont="1" applyFill="1" applyBorder="1" applyAlignment="1">
      <alignment horizontal="left" wrapText="1"/>
    </xf>
    <xf numFmtId="0" fontId="3013" fillId="3006" borderId="2990" xfId="0" applyFont="1" applyFill="1" applyBorder="1" applyAlignment="1">
      <alignment horizontal="left" wrapText="1"/>
    </xf>
    <xf numFmtId="0" fontId="3014" fillId="3007" borderId="2991" xfId="0" applyFont="1" applyFill="1" applyBorder="1" applyAlignment="1">
      <alignment horizontal="left" vertical="top"/>
    </xf>
    <xf numFmtId="0" fontId="3015" fillId="3008" borderId="2992" xfId="0" applyFont="1" applyFill="1" applyBorder="1" applyAlignment="1">
      <alignment horizontal="left" vertical="top"/>
    </xf>
    <xf numFmtId="0" fontId="3016" fillId="3009" borderId="2993" xfId="0" applyFont="1" applyFill="1" applyBorder="1" applyAlignment="1">
      <alignment horizontal="left" wrapText="1"/>
    </xf>
    <xf numFmtId="0" fontId="3017" fillId="3010" borderId="2994" xfId="0" applyFont="1" applyFill="1" applyBorder="1" applyAlignment="1">
      <alignment horizontal="left" wrapText="1"/>
    </xf>
    <xf numFmtId="0" fontId="3018" fillId="3011" borderId="2995" xfId="0" applyFont="1" applyFill="1" applyBorder="1" applyAlignment="1">
      <alignment wrapText="1"/>
    </xf>
    <xf numFmtId="0" fontId="3019" fillId="3012" borderId="2996" xfId="0" applyFont="1" applyFill="1" applyBorder="1" applyAlignment="1">
      <alignment wrapText="1"/>
    </xf>
    <xf numFmtId="0" fontId="3020" fillId="3013" borderId="2997" xfId="0" applyFont="1" applyFill="1" applyBorder="1" applyAlignment="1">
      <alignment horizontal="left" vertical="top"/>
    </xf>
    <xf numFmtId="0" fontId="3021" fillId="3014" borderId="2998" xfId="0" applyFont="1" applyFill="1" applyBorder="1" applyAlignment="1">
      <alignment horizontal="left" vertical="top"/>
    </xf>
    <xf numFmtId="0" fontId="3022" fillId="3015" borderId="2999" xfId="0" applyFont="1" applyFill="1" applyBorder="1" applyAlignment="1">
      <alignment horizontal="left" vertical="top"/>
    </xf>
    <xf numFmtId="0" fontId="3023" fillId="3016" borderId="3000" xfId="0" applyFont="1" applyFill="1" applyBorder="1" applyAlignment="1">
      <alignment horizontal="left" vertical="top"/>
    </xf>
    <xf numFmtId="0" fontId="3024" fillId="3017" borderId="3001" xfId="0" applyFont="1" applyFill="1" applyBorder="1" applyAlignment="1">
      <alignment vertical="top"/>
    </xf>
    <xf numFmtId="0" fontId="3025" fillId="3018" borderId="3002" xfId="0" applyFont="1" applyFill="1" applyBorder="1" applyAlignment="1">
      <alignment vertical="top"/>
    </xf>
    <xf numFmtId="0" fontId="3026" fillId="3019" borderId="3003" xfId="0" applyFont="1" applyFill="1" applyBorder="1" applyAlignment="1">
      <alignment wrapText="1"/>
    </xf>
    <xf numFmtId="0" fontId="3027" fillId="3020" borderId="3004" xfId="0" applyFont="1" applyFill="1" applyBorder="1" applyAlignment="1">
      <alignment wrapText="1"/>
    </xf>
    <xf numFmtId="0" fontId="3028" fillId="3021" borderId="3005" xfId="0" applyFont="1" applyFill="1" applyBorder="1" applyAlignment="1">
      <alignment horizontal="left" vertical="top"/>
    </xf>
    <xf numFmtId="0" fontId="3029" fillId="3022" borderId="3006" xfId="0" applyFont="1" applyFill="1" applyBorder="1" applyAlignment="1">
      <alignment horizontal="left" vertical="top"/>
    </xf>
    <xf numFmtId="0" fontId="3030" fillId="3023" borderId="3007" xfId="0" applyFont="1" applyFill="1" applyBorder="1" applyAlignment="1">
      <alignment horizontal="left" wrapText="1"/>
    </xf>
    <xf numFmtId="0" fontId="3031" fillId="3024" borderId="3008" xfId="0" applyFont="1" applyFill="1" applyBorder="1" applyAlignment="1">
      <alignment horizontal="left" wrapText="1"/>
    </xf>
    <xf numFmtId="0" fontId="3032" fillId="3025" borderId="3009" xfId="0" applyFont="1" applyFill="1" applyBorder="1" applyAlignment="1">
      <alignment horizontal="left" vertical="top"/>
    </xf>
    <xf numFmtId="0" fontId="3033" fillId="3026" borderId="3010" xfId="0" applyFont="1" applyFill="1" applyBorder="1" applyAlignment="1">
      <alignment horizontal="left" vertical="top"/>
    </xf>
    <xf numFmtId="0" fontId="3034" fillId="3027" borderId="3011" xfId="0" applyFont="1" applyFill="1" applyBorder="1" applyAlignment="1">
      <alignment horizontal="left" vertical="top"/>
    </xf>
    <xf numFmtId="0" fontId="3035" fillId="3028" borderId="3012" xfId="0" applyFont="1" applyFill="1" applyBorder="1" applyAlignment="1">
      <alignment horizontal="left" vertical="top"/>
    </xf>
    <xf numFmtId="0" fontId="3036" fillId="3029" borderId="3013" xfId="0" applyFont="1" applyFill="1" applyBorder="1" applyAlignment="1">
      <alignment horizontal="left" vertical="top"/>
    </xf>
    <xf numFmtId="0" fontId="3037" fillId="3030" borderId="3014" xfId="0" applyFont="1" applyFill="1" applyBorder="1" applyAlignment="1">
      <alignment horizontal="left" vertical="top"/>
    </xf>
    <xf numFmtId="0" fontId="3038" fillId="3031" borderId="3015" xfId="0" applyFont="1" applyFill="1" applyBorder="1" applyAlignment="1">
      <alignment horizontal="left" wrapText="1"/>
    </xf>
    <xf numFmtId="0" fontId="3039" fillId="3032" borderId="3016" xfId="0" applyFont="1" applyFill="1" applyBorder="1" applyAlignment="1">
      <alignment horizontal="left" wrapText="1"/>
    </xf>
    <xf numFmtId="0" fontId="3040" fillId="3033" borderId="3017" xfId="0" applyFont="1" applyFill="1" applyBorder="1" applyAlignment="1">
      <alignment horizontal="left" wrapText="1"/>
    </xf>
    <xf numFmtId="0" fontId="3041" fillId="3034" borderId="3018" xfId="0" applyFont="1" applyFill="1" applyBorder="1" applyAlignment="1">
      <alignment horizontal="left" wrapText="1"/>
    </xf>
    <xf numFmtId="0" fontId="3042" fillId="3035" borderId="3019" xfId="0" applyFont="1" applyFill="1" applyBorder="1" applyAlignment="1">
      <alignment horizontal="left" wrapText="1"/>
    </xf>
    <xf numFmtId="0" fontId="3043" fillId="3036" borderId="3020" xfId="0" applyFont="1" applyFill="1" applyBorder="1" applyAlignment="1">
      <alignment horizontal="left" wrapText="1"/>
    </xf>
    <xf numFmtId="0" fontId="3044" fillId="3037" borderId="3021" xfId="0" applyFont="1" applyFill="1" applyBorder="1" applyAlignment="1">
      <alignment vertical="top"/>
    </xf>
    <xf numFmtId="0" fontId="3045" fillId="3038" borderId="3022" xfId="0" applyFont="1" applyFill="1" applyBorder="1" applyAlignment="1">
      <alignment vertical="top"/>
    </xf>
    <xf numFmtId="0" fontId="3046" fillId="3039" borderId="3023" xfId="0" applyFont="1" applyFill="1" applyBorder="1" applyAlignment="1">
      <alignment wrapText="1"/>
    </xf>
    <xf numFmtId="0" fontId="3047" fillId="3040" borderId="3024" xfId="0" applyFont="1" applyFill="1" applyBorder="1" applyAlignment="1">
      <alignment wrapText="1"/>
    </xf>
    <xf numFmtId="0" fontId="3048" fillId="3041" borderId="3025" xfId="0" applyFont="1" applyFill="1" applyBorder="1" applyAlignment="1">
      <alignment horizontal="left" vertical="top" wrapText="1"/>
    </xf>
    <xf numFmtId="0" fontId="3049" fillId="3042" borderId="3026" xfId="0" applyFont="1" applyFill="1" applyBorder="1" applyAlignment="1">
      <alignment horizontal="left" vertical="top" wrapText="1"/>
    </xf>
    <xf numFmtId="0" fontId="3050" fillId="3043" borderId="3027" xfId="0" applyFont="1" applyFill="1" applyBorder="1" applyAlignment="1">
      <alignment wrapText="1"/>
    </xf>
    <xf numFmtId="0" fontId="3051" fillId="3044" borderId="3028" xfId="0" applyFont="1" applyFill="1" applyBorder="1" applyAlignment="1">
      <alignment wrapText="1"/>
    </xf>
    <xf numFmtId="0" fontId="3052" fillId="3045" borderId="3029" xfId="0" applyFont="1" applyFill="1" applyBorder="1" applyAlignment="1">
      <alignment wrapText="1"/>
    </xf>
    <xf numFmtId="0" fontId="3053" fillId="3046" borderId="3030" xfId="0" applyFont="1" applyFill="1" applyBorder="1" applyAlignment="1">
      <alignment wrapText="1"/>
    </xf>
    <xf numFmtId="0" fontId="3054" fillId="3047" borderId="3031" xfId="0" applyFont="1" applyFill="1" applyBorder="1" applyAlignment="1">
      <alignment wrapText="1"/>
    </xf>
    <xf numFmtId="0" fontId="3055" fillId="3048" borderId="3032" xfId="0" applyFont="1" applyFill="1" applyBorder="1" applyAlignment="1">
      <alignment wrapText="1"/>
    </xf>
    <xf numFmtId="0" fontId="3056" fillId="3049" borderId="3033" xfId="0" applyFont="1" applyFill="1" applyBorder="1" applyAlignment="1">
      <alignment wrapText="1"/>
    </xf>
    <xf numFmtId="0" fontId="3057" fillId="3050" borderId="3034" xfId="0" applyFont="1" applyFill="1" applyBorder="1" applyAlignment="1">
      <alignment wrapText="1"/>
    </xf>
    <xf numFmtId="0" fontId="3058" fillId="3051" borderId="3035" xfId="0" applyFont="1" applyFill="1" applyBorder="1" applyAlignment="1">
      <alignment horizontal="left" vertical="top"/>
    </xf>
    <xf numFmtId="0" fontId="3059" fillId="3052" borderId="3036" xfId="0" applyFont="1" applyFill="1" applyBorder="1" applyAlignment="1">
      <alignment horizontal="left" vertical="top"/>
    </xf>
    <xf numFmtId="0" fontId="3060" fillId="3053" borderId="3037" xfId="0" applyFont="1" applyFill="1" applyBorder="1" applyAlignment="1">
      <alignment wrapText="1"/>
    </xf>
    <xf numFmtId="0" fontId="3061" fillId="3054" borderId="3038" xfId="0" applyFont="1" applyFill="1" applyBorder="1" applyAlignment="1">
      <alignment wrapText="1"/>
    </xf>
    <xf numFmtId="0" fontId="3062" fillId="3055" borderId="3039" xfId="0" applyFont="1" applyFill="1" applyBorder="1" applyAlignment="1">
      <alignment wrapText="1"/>
    </xf>
    <xf numFmtId="0" fontId="3063" fillId="3056" borderId="3040" xfId="0" applyFont="1" applyFill="1" applyBorder="1" applyAlignment="1">
      <alignment wrapText="1"/>
    </xf>
    <xf numFmtId="0" fontId="3064" fillId="3057" borderId="3041" xfId="0" applyFont="1" applyFill="1" applyBorder="1" applyAlignment="1">
      <alignment wrapText="1"/>
    </xf>
    <xf numFmtId="0" fontId="3065" fillId="3058" borderId="3042" xfId="0" applyFont="1" applyFill="1" applyBorder="1" applyAlignment="1">
      <alignment wrapText="1"/>
    </xf>
    <xf numFmtId="0" fontId="3066" fillId="3059" borderId="3043" xfId="0" applyFont="1" applyFill="1" applyBorder="1" applyAlignment="1">
      <alignment wrapText="1"/>
    </xf>
    <xf numFmtId="0" fontId="3067" fillId="3060" borderId="3044" xfId="0" applyFont="1" applyFill="1" applyBorder="1" applyAlignment="1">
      <alignment wrapText="1"/>
    </xf>
    <xf numFmtId="0" fontId="3068" fillId="3061" borderId="3045" xfId="0" applyFont="1" applyFill="1" applyBorder="1" applyAlignment="1">
      <alignment horizontal="left" vertical="top" wrapText="1"/>
    </xf>
    <xf numFmtId="0" fontId="3069" fillId="3062" borderId="3046" xfId="0" applyFont="1" applyFill="1" applyBorder="1" applyAlignment="1">
      <alignment horizontal="left" vertical="top" wrapText="1"/>
    </xf>
    <xf numFmtId="0" fontId="3070" fillId="3063" borderId="3047" xfId="0" applyFont="1" applyFill="1" applyBorder="1" applyAlignment="1">
      <alignment wrapText="1"/>
    </xf>
    <xf numFmtId="0" fontId="3071" fillId="3064" borderId="3048" xfId="0" applyFont="1" applyFill="1" applyBorder="1" applyAlignment="1">
      <alignment wrapText="1"/>
    </xf>
    <xf numFmtId="0" fontId="3072" fillId="3065" borderId="3049" xfId="0" applyFont="1" applyFill="1" applyBorder="1" applyAlignment="1">
      <alignment wrapText="1"/>
    </xf>
    <xf numFmtId="0" fontId="3073" fillId="3066" borderId="3050" xfId="0" applyFont="1" applyFill="1" applyBorder="1" applyAlignment="1">
      <alignment wrapText="1"/>
    </xf>
    <xf numFmtId="0" fontId="3074" fillId="3067" borderId="3051" xfId="0" applyFont="1" applyFill="1" applyBorder="1" applyAlignment="1">
      <alignment wrapText="1"/>
    </xf>
    <xf numFmtId="0" fontId="3075" fillId="3068" borderId="3052" xfId="0" applyFont="1" applyFill="1" applyBorder="1" applyAlignment="1">
      <alignment wrapText="1"/>
    </xf>
    <xf numFmtId="0" fontId="3076" fillId="3069" borderId="3053" xfId="0" applyFont="1" applyFill="1" applyBorder="1" applyAlignment="1">
      <alignment wrapText="1"/>
    </xf>
    <xf numFmtId="0" fontId="3077" fillId="3070" borderId="3054" xfId="0" applyFont="1" applyFill="1" applyBorder="1" applyAlignment="1">
      <alignment wrapText="1"/>
    </xf>
    <xf numFmtId="0" fontId="3078" fillId="3071" borderId="3055" xfId="0" applyFont="1" applyFill="1" applyBorder="1" applyAlignment="1">
      <alignment horizontal="left" vertical="top"/>
    </xf>
    <xf numFmtId="0" fontId="3079" fillId="3072" borderId="3056" xfId="0" applyFont="1" applyFill="1" applyBorder="1" applyAlignment="1">
      <alignment horizontal="left" vertical="top"/>
    </xf>
    <xf numFmtId="0" fontId="3080" fillId="3073" borderId="3057" xfId="0" applyFont="1" applyFill="1" applyBorder="1" applyAlignment="1">
      <alignment wrapText="1"/>
    </xf>
    <xf numFmtId="0" fontId="3081" fillId="3074" borderId="3058" xfId="0" applyFont="1" applyFill="1" applyBorder="1" applyAlignment="1">
      <alignment wrapText="1"/>
    </xf>
    <xf numFmtId="0" fontId="3082" fillId="3075" borderId="3059" xfId="0" applyFont="1" applyFill="1" applyBorder="1" applyAlignment="1">
      <alignment horizontal="left" vertical="top"/>
    </xf>
    <xf numFmtId="0" fontId="3083" fillId="3076" borderId="3060" xfId="0" applyFont="1" applyFill="1" applyBorder="1" applyAlignment="1">
      <alignment horizontal="left" vertical="top"/>
    </xf>
    <xf numFmtId="0" fontId="3084" fillId="3077" borderId="3061" xfId="0" applyFont="1" applyFill="1" applyBorder="1" applyAlignment="1">
      <alignment wrapText="1"/>
    </xf>
    <xf numFmtId="0" fontId="3085" fillId="3078" borderId="3062" xfId="0" applyFont="1" applyFill="1" applyBorder="1" applyAlignment="1">
      <alignment wrapText="1"/>
    </xf>
    <xf numFmtId="0" fontId="3086" fillId="3079" borderId="3063" xfId="0" applyFont="1" applyFill="1" applyBorder="1" applyAlignment="1">
      <alignment horizontal="left" vertical="top"/>
    </xf>
    <xf numFmtId="0" fontId="3087" fillId="3080" borderId="3064" xfId="0" applyFont="1" applyFill="1" applyBorder="1" applyAlignment="1">
      <alignment horizontal="left" vertical="top"/>
    </xf>
    <xf numFmtId="0" fontId="3088" fillId="3081" borderId="3065" xfId="0" applyFont="1" applyFill="1" applyBorder="1" applyAlignment="1">
      <alignment wrapText="1"/>
    </xf>
    <xf numFmtId="0" fontId="3089" fillId="3082" borderId="3066" xfId="0" applyFont="1" applyFill="1" applyBorder="1" applyAlignment="1">
      <alignment wrapText="1"/>
    </xf>
    <xf numFmtId="0" fontId="3090" fillId="3083" borderId="3067" xfId="0" applyFont="1" applyFill="1" applyBorder="1" applyAlignment="1">
      <alignment wrapText="1"/>
    </xf>
    <xf numFmtId="0" fontId="3091" fillId="3084" borderId="3068" xfId="0" applyFont="1" applyFill="1" applyBorder="1" applyAlignment="1">
      <alignment wrapText="1"/>
    </xf>
    <xf numFmtId="0" fontId="3092" fillId="3085" borderId="3069" xfId="0" applyFont="1" applyFill="1" applyBorder="1" applyAlignment="1">
      <alignment wrapText="1"/>
    </xf>
    <xf numFmtId="0" fontId="3093" fillId="3086" borderId="3070" xfId="0" applyFont="1" applyFill="1" applyBorder="1" applyAlignment="1">
      <alignment wrapText="1"/>
    </xf>
    <xf numFmtId="0" fontId="3094" fillId="3087" borderId="3071" xfId="0" applyFont="1" applyFill="1" applyBorder="1" applyAlignment="1">
      <alignment wrapText="1"/>
    </xf>
    <xf numFmtId="0" fontId="3095" fillId="3088" borderId="3072" xfId="0" applyFont="1" applyFill="1" applyBorder="1" applyAlignment="1">
      <alignment wrapText="1"/>
    </xf>
    <xf numFmtId="0" fontId="3096" fillId="3089" borderId="3073" xfId="0" applyFont="1" applyFill="1" applyBorder="1" applyAlignment="1">
      <alignment wrapText="1"/>
    </xf>
    <xf numFmtId="0" fontId="3097" fillId="3090" borderId="3074" xfId="0" applyFont="1" applyFill="1" applyBorder="1" applyAlignment="1">
      <alignment wrapText="1"/>
    </xf>
    <xf numFmtId="0" fontId="3098" fillId="3091" borderId="3075" xfId="0" applyFont="1" applyFill="1" applyBorder="1" applyAlignment="1">
      <alignment wrapText="1"/>
    </xf>
    <xf numFmtId="0" fontId="3099" fillId="3092" borderId="3076" xfId="0" applyFont="1" applyFill="1" applyBorder="1" applyAlignment="1">
      <alignment wrapText="1"/>
    </xf>
    <xf numFmtId="0" fontId="3100" fillId="3093" borderId="3077" xfId="0" applyFont="1" applyFill="1" applyBorder="1" applyAlignment="1">
      <alignment wrapText="1"/>
    </xf>
    <xf numFmtId="0" fontId="3101" fillId="3094" borderId="3078" xfId="0" applyFont="1" applyFill="1" applyBorder="1" applyAlignment="1">
      <alignment wrapText="1"/>
    </xf>
    <xf numFmtId="0" fontId="3102" fillId="3095" borderId="3079" xfId="0" applyFont="1" applyFill="1" applyBorder="1" applyAlignment="1">
      <alignment horizontal="left" vertical="top"/>
    </xf>
    <xf numFmtId="0" fontId="3103" fillId="3096" borderId="3080" xfId="0" applyFont="1" applyFill="1" applyBorder="1" applyAlignment="1">
      <alignment horizontal="left" vertical="top"/>
    </xf>
    <xf numFmtId="0" fontId="3104" fillId="3097" borderId="3081" xfId="0" applyFont="1" applyFill="1" applyBorder="1" applyAlignment="1">
      <alignment wrapText="1"/>
    </xf>
    <xf numFmtId="0" fontId="3105" fillId="3098" borderId="3082" xfId="0" applyFont="1" applyFill="1" applyBorder="1" applyAlignment="1">
      <alignment wrapText="1"/>
    </xf>
    <xf numFmtId="0" fontId="3106" fillId="3099" borderId="3083" xfId="0" applyFont="1" applyFill="1" applyBorder="1" applyAlignment="1">
      <alignment horizontal="left" vertical="top"/>
    </xf>
    <xf numFmtId="0" fontId="3107" fillId="3100" borderId="3084" xfId="0" applyFont="1" applyFill="1" applyBorder="1" applyAlignment="1">
      <alignment horizontal="left" vertical="top"/>
    </xf>
    <xf numFmtId="0" fontId="3108" fillId="3101" borderId="3085" xfId="0" applyFont="1" applyFill="1" applyBorder="1" applyAlignment="1">
      <alignment wrapText="1"/>
    </xf>
    <xf numFmtId="0" fontId="3109" fillId="3102" borderId="3086" xfId="0" applyFont="1" applyFill="1" applyBorder="1" applyAlignment="1">
      <alignment wrapText="1"/>
    </xf>
    <xf numFmtId="0" fontId="3110" fillId="3103" borderId="3087" xfId="0" applyFont="1" applyFill="1" applyBorder="1" applyAlignment="1">
      <alignment wrapText="1"/>
    </xf>
    <xf numFmtId="0" fontId="3111" fillId="3104" borderId="3088" xfId="0" applyFont="1" applyFill="1" applyBorder="1" applyAlignment="1">
      <alignment wrapText="1"/>
    </xf>
    <xf numFmtId="0" fontId="3112" fillId="3105" borderId="3089" xfId="0" applyFont="1" applyFill="1" applyBorder="1" applyAlignment="1">
      <alignment horizontal="left" vertical="top"/>
    </xf>
    <xf numFmtId="0" fontId="3113" fillId="3106" borderId="3090" xfId="0" applyFont="1" applyFill="1" applyBorder="1" applyAlignment="1">
      <alignment horizontal="left" vertical="top"/>
    </xf>
    <xf numFmtId="0" fontId="3114" fillId="3107" borderId="3091" xfId="0" applyFont="1" applyFill="1" applyBorder="1" applyAlignment="1">
      <alignment wrapText="1"/>
    </xf>
    <xf numFmtId="0" fontId="3115" fillId="3108" borderId="3092" xfId="0" applyFont="1" applyFill="1" applyBorder="1" applyAlignment="1">
      <alignment wrapText="1"/>
    </xf>
    <xf numFmtId="0" fontId="3116" fillId="3109" borderId="3093" xfId="0" applyFont="1" applyFill="1" applyBorder="1" applyAlignment="1">
      <alignment horizontal="left" vertical="top"/>
    </xf>
    <xf numFmtId="0" fontId="3117" fillId="3110" borderId="3094" xfId="0" applyFont="1" applyFill="1" applyBorder="1" applyAlignment="1">
      <alignment horizontal="left" vertical="top"/>
    </xf>
    <xf numFmtId="0" fontId="3118" fillId="3111" borderId="3095" xfId="0" applyFont="1" applyFill="1" applyBorder="1" applyAlignment="1">
      <alignment wrapText="1"/>
    </xf>
    <xf numFmtId="0" fontId="3119" fillId="3112" borderId="3096" xfId="0" applyFont="1" applyFill="1" applyBorder="1" applyAlignment="1">
      <alignment wrapText="1"/>
    </xf>
    <xf numFmtId="0" fontId="3120" fillId="3113" borderId="3097" xfId="0" applyFont="1" applyFill="1" applyBorder="1" applyAlignment="1">
      <alignment wrapText="1"/>
    </xf>
    <xf numFmtId="0" fontId="3121" fillId="3114" borderId="3098" xfId="0" applyFont="1" applyFill="1" applyBorder="1" applyAlignment="1">
      <alignment wrapText="1"/>
    </xf>
    <xf numFmtId="0" fontId="3122" fillId="3115" borderId="3099" xfId="0" applyFont="1" applyFill="1" applyBorder="1" applyAlignment="1">
      <alignment wrapText="1"/>
    </xf>
    <xf numFmtId="0" fontId="3123" fillId="3116" borderId="3100" xfId="0" applyFont="1" applyFill="1" applyBorder="1" applyAlignment="1">
      <alignment wrapText="1"/>
    </xf>
    <xf numFmtId="0" fontId="3124" fillId="3117" borderId="3101" xfId="0" applyFont="1" applyFill="1" applyBorder="1" applyAlignment="1">
      <alignment wrapText="1"/>
    </xf>
    <xf numFmtId="0" fontId="3125" fillId="3118" borderId="3102" xfId="0" applyFont="1" applyFill="1" applyBorder="1" applyAlignment="1">
      <alignment wrapText="1"/>
    </xf>
    <xf numFmtId="0" fontId="3126" fillId="3119" borderId="3103" xfId="0" applyFont="1" applyFill="1" applyBorder="1" applyAlignment="1">
      <alignment wrapText="1"/>
    </xf>
    <xf numFmtId="0" fontId="3127" fillId="3120" borderId="3104" xfId="0" applyFont="1" applyFill="1" applyBorder="1" applyAlignment="1">
      <alignment wrapText="1"/>
    </xf>
    <xf numFmtId="0" fontId="3128" fillId="3121" borderId="3105" xfId="0" applyFont="1" applyFill="1" applyBorder="1" applyAlignment="1">
      <alignment wrapText="1"/>
    </xf>
    <xf numFmtId="0" fontId="3129" fillId="3122" borderId="3106" xfId="0" applyFont="1" applyFill="1" applyBorder="1" applyAlignment="1">
      <alignment wrapText="1"/>
    </xf>
    <xf numFmtId="0" fontId="3130" fillId="3123" borderId="3107" xfId="0" applyFont="1" applyFill="1" applyBorder="1" applyAlignment="1">
      <alignment wrapText="1"/>
    </xf>
    <xf numFmtId="0" fontId="3131" fillId="3124" borderId="3108" xfId="0" applyFont="1" applyFill="1" applyBorder="1" applyAlignment="1">
      <alignment wrapText="1"/>
    </xf>
    <xf numFmtId="0" fontId="3132" fillId="3125" borderId="3109" xfId="0" applyFont="1" applyFill="1" applyBorder="1" applyAlignment="1">
      <alignment wrapText="1"/>
    </xf>
    <xf numFmtId="0" fontId="3133" fillId="3126" borderId="3110" xfId="0" applyFont="1" applyFill="1" applyBorder="1" applyAlignment="1">
      <alignment wrapText="1"/>
    </xf>
    <xf numFmtId="0" fontId="3134" fillId="3127" borderId="3111" xfId="0" applyFont="1" applyFill="1" applyBorder="1" applyAlignment="1">
      <alignment horizontal="left" vertical="top"/>
    </xf>
    <xf numFmtId="0" fontId="3135" fillId="3128" borderId="3112" xfId="0" applyFont="1" applyFill="1" applyBorder="1" applyAlignment="1">
      <alignment horizontal="left" vertical="top"/>
    </xf>
    <xf numFmtId="0" fontId="3136" fillId="3129" borderId="3113" xfId="0" applyFont="1" applyFill="1" applyBorder="1" applyAlignment="1">
      <alignment wrapText="1"/>
    </xf>
    <xf numFmtId="0" fontId="3137" fillId="3130" borderId="3114" xfId="0" applyFont="1" applyFill="1" applyBorder="1" applyAlignment="1">
      <alignment wrapText="1"/>
    </xf>
    <xf numFmtId="0" fontId="3138" fillId="3131" borderId="3115" xfId="0" applyFont="1" applyFill="1" applyBorder="1" applyAlignment="1">
      <alignment horizontal="left" vertical="top"/>
    </xf>
    <xf numFmtId="0" fontId="3139" fillId="3132" borderId="3116" xfId="0" applyFont="1" applyFill="1" applyBorder="1" applyAlignment="1">
      <alignment horizontal="left" vertical="top"/>
    </xf>
    <xf numFmtId="0" fontId="3140" fillId="3133" borderId="3117" xfId="0" applyFont="1" applyFill="1" applyBorder="1" applyAlignment="1">
      <alignment wrapText="1"/>
    </xf>
    <xf numFmtId="0" fontId="3141" fillId="3134" borderId="3118" xfId="0" applyFont="1" applyFill="1" applyBorder="1" applyAlignment="1">
      <alignment wrapText="1"/>
    </xf>
    <xf numFmtId="0" fontId="3142" fillId="3135" borderId="3119" xfId="0" applyFont="1" applyFill="1" applyBorder="1" applyAlignment="1">
      <alignment horizontal="left" vertical="top"/>
    </xf>
    <xf numFmtId="0" fontId="3143" fillId="3136" borderId="3120" xfId="0" applyFont="1" applyFill="1" applyBorder="1" applyAlignment="1">
      <alignment horizontal="left" vertical="top"/>
    </xf>
    <xf numFmtId="0" fontId="3144" fillId="3137" borderId="3121" xfId="0" applyFont="1" applyFill="1" applyBorder="1" applyAlignment="1">
      <alignment wrapText="1"/>
    </xf>
    <xf numFmtId="0" fontId="3145" fillId="3138" borderId="3122" xfId="0" applyFont="1" applyFill="1" applyBorder="1" applyAlignment="1">
      <alignment wrapText="1"/>
    </xf>
    <xf numFmtId="0" fontId="3146" fillId="3139" borderId="3123" xfId="0" applyFont="1" applyFill="1" applyBorder="1" applyAlignment="1">
      <alignment horizontal="left" vertical="top"/>
    </xf>
    <xf numFmtId="0" fontId="3147" fillId="3140" borderId="3124" xfId="0" applyFont="1" applyFill="1" applyBorder="1" applyAlignment="1">
      <alignment horizontal="left" vertical="top"/>
    </xf>
    <xf numFmtId="0" fontId="3148" fillId="3141" borderId="3125" xfId="0" applyFont="1" applyFill="1" applyBorder="1" applyAlignment="1">
      <alignment wrapText="1"/>
    </xf>
    <xf numFmtId="0" fontId="3149" fillId="3142" borderId="3126" xfId="0" applyFont="1" applyFill="1" applyBorder="1" applyAlignment="1">
      <alignment wrapText="1"/>
    </xf>
    <xf numFmtId="0" fontId="3150" fillId="3143" borderId="3127" xfId="0" applyFont="1" applyFill="1" applyBorder="1" applyAlignment="1">
      <alignment wrapText="1"/>
    </xf>
    <xf numFmtId="0" fontId="3151" fillId="3144" borderId="3128" xfId="0" applyFont="1" applyFill="1" applyBorder="1" applyAlignment="1">
      <alignment wrapText="1"/>
    </xf>
    <xf numFmtId="0" fontId="3152" fillId="3145" borderId="3129" xfId="0" applyFont="1" applyFill="1" applyBorder="1" applyAlignment="1">
      <alignment wrapText="1"/>
    </xf>
    <xf numFmtId="0" fontId="3153" fillId="3146" borderId="3130" xfId="0" applyFont="1" applyFill="1" applyBorder="1" applyAlignment="1">
      <alignment wrapText="1"/>
    </xf>
    <xf numFmtId="0" fontId="3154" fillId="3147" borderId="3131" xfId="0" applyFont="1" applyFill="1" applyBorder="1" applyAlignment="1">
      <alignment horizontal="left" vertical="top"/>
    </xf>
    <xf numFmtId="0" fontId="3155" fillId="3148" borderId="3132" xfId="0" applyFont="1" applyFill="1" applyBorder="1" applyAlignment="1">
      <alignment horizontal="left" vertical="top"/>
    </xf>
    <xf numFmtId="0" fontId="3156" fillId="3149" borderId="3133" xfId="0" applyFont="1" applyFill="1" applyBorder="1" applyAlignment="1">
      <alignment vertical="top" wrapText="1"/>
    </xf>
    <xf numFmtId="0" fontId="3157" fillId="3150" borderId="3134" xfId="0" applyFont="1" applyFill="1" applyBorder="1" applyAlignment="1">
      <alignment vertical="top" wrapText="1"/>
    </xf>
    <xf numFmtId="0" fontId="3158" fillId="3151" borderId="3135" xfId="0" applyFont="1" applyFill="1" applyBorder="1" applyAlignment="1">
      <alignment horizontal="left" vertical="top"/>
    </xf>
    <xf numFmtId="0" fontId="3159" fillId="3152" borderId="3136" xfId="0" applyFont="1" applyFill="1" applyBorder="1" applyAlignment="1">
      <alignment horizontal="left" vertical="top"/>
    </xf>
    <xf numFmtId="0" fontId="3160" fillId="3153" borderId="3137" xfId="0" applyFont="1" applyFill="1" applyBorder="1" applyAlignment="1">
      <alignment wrapText="1"/>
    </xf>
    <xf numFmtId="0" fontId="3161" fillId="3154" borderId="3138" xfId="0" applyFont="1" applyFill="1" applyBorder="1" applyAlignment="1">
      <alignment wrapText="1"/>
    </xf>
    <xf numFmtId="0" fontId="3162" fillId="3155" borderId="3139" xfId="0" applyFont="1" applyFill="1" applyBorder="1" applyAlignment="1">
      <alignment wrapText="1"/>
    </xf>
    <xf numFmtId="0" fontId="3163" fillId="3156" borderId="3140" xfId="0" applyFont="1" applyFill="1" applyBorder="1" applyAlignment="1">
      <alignment wrapText="1"/>
    </xf>
    <xf numFmtId="0" fontId="3164" fillId="3157" borderId="3141" xfId="0" applyFont="1" applyFill="1" applyBorder="1" applyAlignment="1">
      <alignment wrapText="1"/>
    </xf>
    <xf numFmtId="0" fontId="3165" fillId="3158" borderId="3142" xfId="0" applyFont="1" applyFill="1" applyBorder="1" applyAlignment="1">
      <alignment wrapText="1"/>
    </xf>
    <xf numFmtId="0" fontId="3166" fillId="3159" borderId="3143" xfId="0" applyFont="1" applyFill="1" applyBorder="1" applyAlignment="1">
      <alignment wrapText="1"/>
    </xf>
    <xf numFmtId="0" fontId="3167" fillId="3160" borderId="3144" xfId="0" applyFont="1" applyFill="1" applyBorder="1" applyAlignment="1">
      <alignment wrapText="1"/>
    </xf>
    <xf numFmtId="0" fontId="3168" fillId="3161" borderId="3145" xfId="0" applyFont="1" applyFill="1" applyBorder="1" applyAlignment="1">
      <alignment wrapText="1"/>
    </xf>
    <xf numFmtId="0" fontId="3169" fillId="3162" borderId="3146" xfId="0" applyFont="1" applyFill="1" applyBorder="1" applyAlignment="1">
      <alignment wrapText="1"/>
    </xf>
    <xf numFmtId="0" fontId="3170" fillId="3163" borderId="3147" xfId="0" applyFont="1" applyFill="1" applyBorder="1" applyAlignment="1">
      <alignment horizontal="left" vertical="top" wrapText="1"/>
    </xf>
    <xf numFmtId="0" fontId="3171" fillId="3164" borderId="3148" xfId="0" applyFont="1" applyFill="1" applyBorder="1" applyAlignment="1">
      <alignment horizontal="left" vertical="top" wrapText="1"/>
    </xf>
    <xf numFmtId="0" fontId="3172" fillId="3165" borderId="3149" xfId="0" applyFont="1" applyFill="1" applyBorder="1" applyAlignment="1">
      <alignment horizontal="left" vertical="top"/>
    </xf>
    <xf numFmtId="0" fontId="3173" fillId="3166" borderId="3150" xfId="0" applyFont="1" applyFill="1" applyBorder="1" applyAlignment="1">
      <alignment horizontal="left" vertical="top"/>
    </xf>
    <xf numFmtId="0" fontId="3174" fillId="3167" borderId="3151" xfId="0" applyFont="1" applyFill="1" applyBorder="1" applyAlignment="1">
      <alignment wrapText="1"/>
    </xf>
    <xf numFmtId="0" fontId="3175" fillId="3168" borderId="3152" xfId="0" applyFont="1" applyFill="1" applyBorder="1" applyAlignment="1">
      <alignment wrapText="1"/>
    </xf>
    <xf numFmtId="0" fontId="3176" fillId="3169" borderId="3153" xfId="0" applyFont="1" applyFill="1" applyBorder="1" applyAlignment="1">
      <alignment wrapText="1"/>
    </xf>
    <xf numFmtId="0" fontId="3177" fillId="3170" borderId="3154" xfId="0" applyFont="1" applyFill="1" applyBorder="1" applyAlignment="1">
      <alignment wrapText="1"/>
    </xf>
    <xf numFmtId="0" fontId="3178" fillId="3171" borderId="3155" xfId="0" applyFont="1" applyFill="1" applyBorder="1" applyAlignment="1">
      <alignment horizontal="left" vertical="top"/>
    </xf>
    <xf numFmtId="0" fontId="3179" fillId="3172" borderId="3156" xfId="0" applyFont="1" applyFill="1" applyBorder="1" applyAlignment="1">
      <alignment horizontal="left" vertical="top"/>
    </xf>
    <xf numFmtId="0" fontId="3180" fillId="3173" borderId="3157" xfId="0" applyFont="1" applyFill="1" applyBorder="1" applyAlignment="1">
      <alignment wrapText="1"/>
    </xf>
    <xf numFmtId="0" fontId="3181" fillId="3174" borderId="3158" xfId="0" applyFont="1" applyFill="1" applyBorder="1" applyAlignment="1">
      <alignment wrapText="1"/>
    </xf>
    <xf numFmtId="0" fontId="3182" fillId="3175" borderId="3159" xfId="0" applyFont="1" applyFill="1" applyBorder="1" applyAlignment="1">
      <alignment horizontal="left" vertical="top"/>
    </xf>
    <xf numFmtId="0" fontId="3183" fillId="3176" borderId="3160" xfId="0" applyFont="1" applyFill="1" applyBorder="1" applyAlignment="1">
      <alignment horizontal="left" vertical="top"/>
    </xf>
    <xf numFmtId="0" fontId="3184" fillId="0" borderId="0" xfId="0" applyFont="1"/>
    <xf numFmtId="14" fontId="10" fillId="6" borderId="3" xfId="0" applyNumberFormat="1" applyFont="1" applyFill="1" applyBorder="1"/>
    <xf numFmtId="0" fontId="1" fillId="6" borderId="17" xfId="0" applyFont="1" applyFill="1" applyBorder="1" applyAlignment="1">
      <alignment wrapText="1"/>
    </xf>
    <xf numFmtId="0" fontId="1" fillId="6" borderId="17" xfId="0" applyFont="1" applyFill="1" applyBorder="1" applyAlignment="1">
      <alignment horizontal="left" vertical="top" wrapText="1"/>
    </xf>
    <xf numFmtId="49" fontId="30" fillId="10" borderId="17" xfId="0" applyNumberFormat="1" applyFont="1" applyFill="1" applyBorder="1" applyAlignment="1">
      <alignment horizontal="left" vertical="top"/>
    </xf>
    <xf numFmtId="0" fontId="3185" fillId="6" borderId="0" xfId="0" applyFont="1" applyFill="1" applyAlignment="1">
      <alignment vertical="center" wrapText="1"/>
    </xf>
    <xf numFmtId="0" fontId="3185" fillId="10" borderId="0" xfId="0" applyFont="1" applyFill="1" applyAlignment="1">
      <alignment vertical="center" wrapText="1"/>
    </xf>
    <xf numFmtId="0" fontId="3186" fillId="3177" borderId="3161" xfId="0" applyFont="1" applyFill="1" applyBorder="1" applyAlignment="1">
      <alignment vertical="top"/>
    </xf>
    <xf numFmtId="0" fontId="3187" fillId="3178" borderId="3162" xfId="0" applyFont="1" applyFill="1" applyBorder="1" applyAlignment="1">
      <alignment vertical="top"/>
    </xf>
    <xf numFmtId="0" fontId="3188" fillId="3179" borderId="3163" xfId="0" applyFont="1" applyFill="1" applyBorder="1" applyAlignment="1">
      <alignment wrapText="1"/>
    </xf>
    <xf numFmtId="0" fontId="3189" fillId="3180" borderId="3164" xfId="0" applyFont="1" applyFill="1" applyBorder="1" applyAlignment="1">
      <alignment wrapText="1"/>
    </xf>
    <xf numFmtId="0" fontId="3190" fillId="3181" borderId="3165" xfId="0" applyFont="1" applyFill="1" applyBorder="1" applyAlignment="1">
      <alignment vertical="top" wrapText="1"/>
    </xf>
    <xf numFmtId="0" fontId="3191" fillId="3182" borderId="3166" xfId="0" applyFont="1" applyFill="1" applyBorder="1" applyAlignment="1">
      <alignment vertical="top" wrapText="1"/>
    </xf>
    <xf numFmtId="0" fontId="3192" fillId="3183" borderId="3167" xfId="0" applyFont="1" applyFill="1" applyBorder="1" applyAlignment="1">
      <alignment horizontal="left" vertical="top"/>
    </xf>
    <xf numFmtId="0" fontId="3193" fillId="3184" borderId="3168" xfId="0" applyFont="1" applyFill="1" applyBorder="1" applyAlignment="1">
      <alignment horizontal="left" vertical="top"/>
    </xf>
    <xf numFmtId="0" fontId="3194" fillId="3185" borderId="3169" xfId="0" applyFont="1" applyFill="1" applyBorder="1" applyAlignment="1">
      <alignment wrapText="1"/>
    </xf>
    <xf numFmtId="0" fontId="3195" fillId="3186" borderId="3170" xfId="0" applyFont="1" applyFill="1" applyBorder="1" applyAlignment="1">
      <alignment wrapText="1"/>
    </xf>
    <xf numFmtId="0" fontId="3196" fillId="3187" borderId="3171" xfId="0" applyFont="1" applyFill="1" applyBorder="1" applyAlignment="1">
      <alignment wrapText="1"/>
    </xf>
    <xf numFmtId="0" fontId="3197" fillId="3188" borderId="3172" xfId="0" applyFont="1" applyFill="1" applyBorder="1" applyAlignment="1">
      <alignment wrapText="1"/>
    </xf>
    <xf numFmtId="0" fontId="3198" fillId="3189" borderId="3173" xfId="0" applyFont="1" applyFill="1" applyBorder="1" applyAlignment="1">
      <alignment wrapText="1"/>
    </xf>
    <xf numFmtId="0" fontId="3199" fillId="3190" borderId="3174" xfId="0" applyFont="1" applyFill="1" applyBorder="1" applyAlignment="1">
      <alignment wrapText="1"/>
    </xf>
    <xf numFmtId="0" fontId="3200" fillId="3191" borderId="3175" xfId="0" applyFont="1" applyFill="1" applyBorder="1" applyAlignment="1">
      <alignment horizontal="left" vertical="top"/>
    </xf>
    <xf numFmtId="0" fontId="3201" fillId="3192" borderId="3176" xfId="0" applyFont="1" applyFill="1" applyBorder="1" applyAlignment="1">
      <alignment horizontal="left" vertical="top"/>
    </xf>
    <xf numFmtId="0" fontId="3202" fillId="3193" borderId="3177" xfId="0" applyFont="1" applyFill="1" applyBorder="1" applyAlignment="1">
      <alignment horizontal="left" wrapText="1"/>
    </xf>
    <xf numFmtId="0" fontId="3203" fillId="3194" borderId="3178" xfId="0" applyFont="1" applyFill="1" applyBorder="1" applyAlignment="1">
      <alignment horizontal="left" wrapText="1"/>
    </xf>
    <xf numFmtId="0" fontId="3204" fillId="3195" borderId="3179" xfId="0" applyFont="1" applyFill="1" applyBorder="1" applyAlignment="1">
      <alignment wrapText="1"/>
    </xf>
    <xf numFmtId="0" fontId="3205" fillId="3196" borderId="3180" xfId="0" applyFont="1" applyFill="1" applyBorder="1" applyAlignment="1">
      <alignment wrapText="1"/>
    </xf>
    <xf numFmtId="0" fontId="3206" fillId="3197" borderId="3181" xfId="0" applyFont="1" applyFill="1" applyBorder="1" applyAlignment="1">
      <alignment horizontal="left" vertical="top"/>
    </xf>
    <xf numFmtId="0" fontId="3207" fillId="3198" borderId="3182" xfId="0" applyFont="1" applyFill="1" applyBorder="1" applyAlignment="1">
      <alignment horizontal="left" vertical="top"/>
    </xf>
    <xf numFmtId="0" fontId="3208" fillId="3199" borderId="3183" xfId="0" applyFont="1" applyFill="1" applyBorder="1" applyAlignment="1">
      <alignment horizontal="left" vertical="top"/>
    </xf>
    <xf numFmtId="0" fontId="3209" fillId="3200" borderId="3184" xfId="0" applyFont="1" applyFill="1" applyBorder="1" applyAlignment="1">
      <alignment horizontal="left" vertical="top"/>
    </xf>
    <xf numFmtId="0" fontId="3210" fillId="3201" borderId="3185" xfId="0" applyFont="1" applyFill="1" applyBorder="1" applyAlignment="1">
      <alignment horizontal="left" vertical="top"/>
    </xf>
    <xf numFmtId="0" fontId="3211" fillId="3202" borderId="3186" xfId="0" applyFont="1" applyFill="1" applyBorder="1" applyAlignment="1">
      <alignment horizontal="left" vertical="top"/>
    </xf>
    <xf numFmtId="0" fontId="3212" fillId="3203" borderId="3187" xfId="0" applyFont="1" applyFill="1" applyBorder="1" applyAlignment="1">
      <alignment wrapText="1"/>
    </xf>
    <xf numFmtId="0" fontId="3213" fillId="3204" borderId="3188" xfId="0" applyFont="1" applyFill="1" applyBorder="1" applyAlignment="1">
      <alignment wrapText="1"/>
    </xf>
    <xf numFmtId="0" fontId="3214" fillId="3205" borderId="3189" xfId="0" applyFont="1" applyFill="1" applyBorder="1" applyAlignment="1">
      <alignment wrapText="1"/>
    </xf>
    <xf numFmtId="0" fontId="3215" fillId="3206" borderId="3190" xfId="0" applyFont="1" applyFill="1" applyBorder="1" applyAlignment="1">
      <alignment wrapText="1"/>
    </xf>
    <xf numFmtId="0" fontId="3216" fillId="3207" borderId="3191" xfId="0" applyFont="1" applyFill="1" applyBorder="1" applyAlignment="1">
      <alignment horizontal="left" vertical="top"/>
    </xf>
    <xf numFmtId="0" fontId="3217" fillId="3208" borderId="3192" xfId="0" applyFont="1" applyFill="1" applyBorder="1" applyAlignment="1">
      <alignment horizontal="left" vertical="top"/>
    </xf>
    <xf numFmtId="0" fontId="3218" fillId="3209" borderId="3193" xfId="0" applyFont="1" applyFill="1" applyBorder="1" applyAlignment="1">
      <alignment vertical="top" wrapText="1"/>
    </xf>
    <xf numFmtId="0" fontId="3219" fillId="3210" borderId="3194" xfId="0" applyFont="1" applyFill="1" applyBorder="1" applyAlignment="1">
      <alignment vertical="top" wrapText="1"/>
    </xf>
    <xf numFmtId="0" fontId="3220" fillId="3211" borderId="3195" xfId="0" applyFont="1" applyFill="1" applyBorder="1" applyAlignment="1">
      <alignment vertical="top"/>
    </xf>
    <xf numFmtId="0" fontId="3221" fillId="3212" borderId="3196" xfId="0" applyFont="1" applyFill="1" applyBorder="1" applyAlignment="1">
      <alignment vertical="top"/>
    </xf>
    <xf numFmtId="0" fontId="3222" fillId="3213" borderId="3197" xfId="0" applyFont="1" applyFill="1" applyBorder="1" applyAlignment="1">
      <alignment horizontal="left" wrapText="1"/>
    </xf>
    <xf numFmtId="0" fontId="3223" fillId="3214" borderId="3198" xfId="0" applyFont="1" applyFill="1" applyBorder="1" applyAlignment="1">
      <alignment horizontal="left" wrapText="1"/>
    </xf>
    <xf numFmtId="0" fontId="3224" fillId="3215" borderId="3199" xfId="0" applyFont="1" applyFill="1" applyBorder="1" applyAlignment="1">
      <alignment horizontal="left" vertical="top"/>
    </xf>
    <xf numFmtId="0" fontId="3225" fillId="3216" borderId="3200" xfId="0" applyFont="1" applyFill="1" applyBorder="1" applyAlignment="1">
      <alignment horizontal="left" vertical="top"/>
    </xf>
    <xf numFmtId="0" fontId="3226" fillId="3217" borderId="3201" xfId="0" applyFont="1" applyFill="1" applyBorder="1" applyAlignment="1">
      <alignment horizontal="left" wrapText="1"/>
    </xf>
    <xf numFmtId="0" fontId="3227" fillId="3218" borderId="3202" xfId="0" applyFont="1" applyFill="1" applyBorder="1" applyAlignment="1">
      <alignment horizontal="left" wrapText="1"/>
    </xf>
    <xf numFmtId="0" fontId="3228" fillId="3219" borderId="3203" xfId="0" applyFont="1" applyFill="1" applyBorder="1" applyAlignment="1">
      <alignment horizontal="left" wrapText="1"/>
    </xf>
    <xf numFmtId="0" fontId="3229" fillId="3220" borderId="3204" xfId="0" applyFont="1" applyFill="1" applyBorder="1" applyAlignment="1">
      <alignment horizontal="left" wrapText="1"/>
    </xf>
    <xf numFmtId="0" fontId="3230" fillId="3221" borderId="3205" xfId="0" applyFont="1" applyFill="1" applyBorder="1" applyAlignment="1">
      <alignment horizontal="left" wrapText="1"/>
    </xf>
    <xf numFmtId="0" fontId="3231" fillId="3222" borderId="3206" xfId="0" applyFont="1" applyFill="1" applyBorder="1" applyAlignment="1">
      <alignment horizontal="left" wrapText="1"/>
    </xf>
    <xf numFmtId="0" fontId="3232" fillId="3223" borderId="3207" xfId="0" applyFont="1" applyFill="1" applyBorder="1" applyAlignment="1">
      <alignment horizontal="left" wrapText="1"/>
    </xf>
    <xf numFmtId="0" fontId="3233" fillId="3224" borderId="3208" xfId="0" applyFont="1" applyFill="1" applyBorder="1" applyAlignment="1">
      <alignment horizontal="left" wrapText="1"/>
    </xf>
    <xf numFmtId="0" fontId="3234" fillId="3225" borderId="3209" xfId="0" applyFont="1" applyFill="1" applyBorder="1" applyAlignment="1">
      <alignment horizontal="left" vertical="top"/>
    </xf>
    <xf numFmtId="0" fontId="3235" fillId="3226" borderId="3210" xfId="0" applyFont="1" applyFill="1" applyBorder="1" applyAlignment="1">
      <alignment horizontal="left" vertical="top"/>
    </xf>
    <xf numFmtId="0" fontId="3236" fillId="3227" borderId="3211" xfId="0" applyFont="1" applyFill="1" applyBorder="1" applyAlignment="1">
      <alignment horizontal="left" wrapText="1"/>
    </xf>
    <xf numFmtId="0" fontId="3237" fillId="3228" borderId="3212" xfId="0" applyFont="1" applyFill="1" applyBorder="1" applyAlignment="1">
      <alignment horizontal="left" wrapText="1"/>
    </xf>
    <xf numFmtId="0" fontId="3238" fillId="3229" borderId="3213" xfId="0" applyFont="1" applyFill="1" applyBorder="1" applyAlignment="1">
      <alignment wrapText="1"/>
    </xf>
    <xf numFmtId="0" fontId="3239" fillId="3230" borderId="3214" xfId="0" applyFont="1" applyFill="1" applyBorder="1" applyAlignment="1">
      <alignment wrapText="1"/>
    </xf>
    <xf numFmtId="0" fontId="3240" fillId="3231" borderId="3215" xfId="0" applyFont="1" applyFill="1" applyBorder="1" applyAlignment="1">
      <alignment horizontal="left" vertical="top"/>
    </xf>
    <xf numFmtId="0" fontId="3241" fillId="3232" borderId="3216" xfId="0" applyFont="1" applyFill="1" applyBorder="1" applyAlignment="1">
      <alignment horizontal="left" vertical="top"/>
    </xf>
    <xf numFmtId="0" fontId="3242" fillId="3233" borderId="3217" xfId="0" applyFont="1" applyFill="1" applyBorder="1" applyAlignment="1">
      <alignment vertical="top"/>
    </xf>
    <xf numFmtId="0" fontId="3243" fillId="3234" borderId="3218" xfId="0" applyFont="1" applyFill="1" applyBorder="1" applyAlignment="1">
      <alignment vertical="top"/>
    </xf>
    <xf numFmtId="0" fontId="3244" fillId="3235" borderId="3219" xfId="0" applyFont="1" applyFill="1" applyBorder="1" applyAlignment="1">
      <alignment wrapText="1"/>
    </xf>
    <xf numFmtId="0" fontId="3245" fillId="3236" borderId="3220" xfId="0" applyFont="1" applyFill="1" applyBorder="1" applyAlignment="1">
      <alignment wrapText="1"/>
    </xf>
    <xf numFmtId="0" fontId="3246" fillId="3237" borderId="3221" xfId="0" applyFont="1" applyFill="1" applyBorder="1" applyAlignment="1">
      <alignment horizontal="left" vertical="top"/>
    </xf>
    <xf numFmtId="0" fontId="3247" fillId="3238" borderId="3222" xfId="0" applyFont="1" applyFill="1" applyBorder="1" applyAlignment="1">
      <alignment horizontal="left" vertical="top"/>
    </xf>
    <xf numFmtId="0" fontId="3248" fillId="3239" borderId="3223" xfId="0" applyFont="1" applyFill="1" applyBorder="1" applyAlignment="1">
      <alignment horizontal="left" wrapText="1"/>
    </xf>
    <xf numFmtId="0" fontId="3249" fillId="3240" borderId="3224" xfId="0" applyFont="1" applyFill="1" applyBorder="1" applyAlignment="1">
      <alignment horizontal="left" wrapText="1"/>
    </xf>
    <xf numFmtId="0" fontId="3250" fillId="3241" borderId="3225" xfId="0" applyFont="1" applyFill="1" applyBorder="1" applyAlignment="1">
      <alignment horizontal="left" vertical="top"/>
    </xf>
    <xf numFmtId="0" fontId="3251" fillId="3242" borderId="3226" xfId="0" applyFont="1" applyFill="1" applyBorder="1" applyAlignment="1">
      <alignment horizontal="left" vertical="top"/>
    </xf>
    <xf numFmtId="0" fontId="3252" fillId="3243" borderId="3227" xfId="0" applyFont="1" applyFill="1" applyBorder="1" applyAlignment="1">
      <alignment horizontal="left" vertical="top"/>
    </xf>
    <xf numFmtId="0" fontId="3253" fillId="3244" borderId="3228" xfId="0" applyFont="1" applyFill="1" applyBorder="1" applyAlignment="1">
      <alignment horizontal="left" vertical="top"/>
    </xf>
    <xf numFmtId="0" fontId="3254" fillId="3245" borderId="3229" xfId="0" applyFont="1" applyFill="1" applyBorder="1" applyAlignment="1">
      <alignment horizontal="left" vertical="top"/>
    </xf>
    <xf numFmtId="0" fontId="3255" fillId="3246" borderId="3230" xfId="0" applyFont="1" applyFill="1" applyBorder="1" applyAlignment="1">
      <alignment horizontal="left" vertical="top"/>
    </xf>
    <xf numFmtId="0" fontId="3256" fillId="3247" borderId="3231" xfId="0" applyFont="1" applyFill="1" applyBorder="1" applyAlignment="1">
      <alignment horizontal="left" wrapText="1"/>
    </xf>
    <xf numFmtId="0" fontId="3257" fillId="3248" borderId="3232" xfId="0" applyFont="1" applyFill="1" applyBorder="1" applyAlignment="1">
      <alignment horizontal="left" wrapText="1"/>
    </xf>
    <xf numFmtId="0" fontId="3258" fillId="3249" borderId="3233" xfId="0" applyFont="1" applyFill="1" applyBorder="1" applyAlignment="1">
      <alignment horizontal="left" wrapText="1"/>
    </xf>
    <xf numFmtId="0" fontId="3259" fillId="3250" borderId="3234" xfId="0" applyFont="1" applyFill="1" applyBorder="1" applyAlignment="1">
      <alignment horizontal="left" wrapText="1"/>
    </xf>
    <xf numFmtId="0" fontId="3260" fillId="3251" borderId="3235" xfId="0" applyFont="1" applyFill="1" applyBorder="1" applyAlignment="1">
      <alignment horizontal="left" wrapText="1"/>
    </xf>
    <xf numFmtId="0" fontId="3261" fillId="3252" borderId="3236" xfId="0" applyFont="1" applyFill="1" applyBorder="1" applyAlignment="1">
      <alignment horizontal="left" wrapText="1"/>
    </xf>
    <xf numFmtId="0" fontId="3262" fillId="3253" borderId="3237" xfId="0" applyFont="1" applyFill="1" applyBorder="1" applyAlignment="1">
      <alignment vertical="top"/>
    </xf>
    <xf numFmtId="0" fontId="3263" fillId="3254" borderId="3238" xfId="0" applyFont="1" applyFill="1" applyBorder="1" applyAlignment="1">
      <alignment vertical="top"/>
    </xf>
    <xf numFmtId="0" fontId="3264" fillId="3255" borderId="3239" xfId="0" applyFont="1" applyFill="1" applyBorder="1" applyAlignment="1">
      <alignment wrapText="1"/>
    </xf>
    <xf numFmtId="0" fontId="3265" fillId="3256" borderId="3240" xfId="0" applyFont="1" applyFill="1" applyBorder="1" applyAlignment="1">
      <alignment wrapText="1"/>
    </xf>
    <xf numFmtId="0" fontId="3266" fillId="3257" borderId="3241" xfId="0" applyFont="1" applyFill="1" applyBorder="1" applyAlignment="1">
      <alignment horizontal="left" vertical="top" wrapText="1"/>
    </xf>
    <xf numFmtId="0" fontId="3267" fillId="3258" borderId="3242" xfId="0" applyFont="1" applyFill="1" applyBorder="1" applyAlignment="1">
      <alignment horizontal="left" vertical="top" wrapText="1"/>
    </xf>
    <xf numFmtId="0" fontId="3268" fillId="3259" borderId="3243" xfId="0" applyFont="1" applyFill="1" applyBorder="1" applyAlignment="1">
      <alignment wrapText="1"/>
    </xf>
    <xf numFmtId="0" fontId="3269" fillId="3260" borderId="3244" xfId="0" applyFont="1" applyFill="1" applyBorder="1" applyAlignment="1">
      <alignment wrapText="1"/>
    </xf>
    <xf numFmtId="0" fontId="3270" fillId="3261" borderId="3245" xfId="0" applyFont="1" applyFill="1" applyBorder="1" applyAlignment="1">
      <alignment wrapText="1"/>
    </xf>
    <xf numFmtId="0" fontId="3271" fillId="3262" borderId="3246" xfId="0" applyFont="1" applyFill="1" applyBorder="1" applyAlignment="1">
      <alignment wrapText="1"/>
    </xf>
    <xf numFmtId="0" fontId="3272" fillId="3263" borderId="3247" xfId="0" applyFont="1" applyFill="1" applyBorder="1" applyAlignment="1">
      <alignment wrapText="1"/>
    </xf>
    <xf numFmtId="0" fontId="3273" fillId="3264" borderId="3248" xfId="0" applyFont="1" applyFill="1" applyBorder="1" applyAlignment="1">
      <alignment wrapText="1"/>
    </xf>
    <xf numFmtId="0" fontId="3274" fillId="3265" borderId="3249" xfId="0" applyFont="1" applyFill="1" applyBorder="1" applyAlignment="1">
      <alignment wrapText="1"/>
    </xf>
    <xf numFmtId="0" fontId="3275" fillId="3266" borderId="3250" xfId="0" applyFont="1" applyFill="1" applyBorder="1" applyAlignment="1">
      <alignment wrapText="1"/>
    </xf>
    <xf numFmtId="0" fontId="3276" fillId="3267" borderId="3251" xfId="0" applyFont="1" applyFill="1" applyBorder="1" applyAlignment="1">
      <alignment wrapText="1"/>
    </xf>
    <xf numFmtId="0" fontId="3277" fillId="3268" borderId="3252" xfId="0" applyFont="1" applyFill="1" applyBorder="1" applyAlignment="1">
      <alignment wrapText="1"/>
    </xf>
    <xf numFmtId="0" fontId="3278" fillId="3269" borderId="3253" xfId="0" applyFont="1" applyFill="1" applyBorder="1" applyAlignment="1">
      <alignment wrapText="1"/>
    </xf>
    <xf numFmtId="0" fontId="3279" fillId="3270" borderId="3254" xfId="0" applyFont="1" applyFill="1" applyBorder="1" applyAlignment="1">
      <alignment wrapText="1"/>
    </xf>
    <xf numFmtId="0" fontId="3280" fillId="3271" borderId="3255" xfId="0" applyFont="1" applyFill="1" applyBorder="1" applyAlignment="1">
      <alignment wrapText="1"/>
    </xf>
    <xf numFmtId="0" fontId="3281" fillId="3272" borderId="3256" xfId="0" applyFont="1" applyFill="1" applyBorder="1" applyAlignment="1">
      <alignment wrapText="1"/>
    </xf>
    <xf numFmtId="0" fontId="3282" fillId="3273" borderId="3257" xfId="0" applyFont="1" applyFill="1" applyBorder="1" applyAlignment="1">
      <alignment wrapText="1"/>
    </xf>
    <xf numFmtId="0" fontId="3283" fillId="3274" borderId="3258" xfId="0" applyFont="1" applyFill="1" applyBorder="1" applyAlignment="1">
      <alignment wrapText="1"/>
    </xf>
    <xf numFmtId="0" fontId="3284" fillId="3275" borderId="3259" xfId="0" applyFont="1" applyFill="1" applyBorder="1" applyAlignment="1">
      <alignment horizontal="left" vertical="top" wrapText="1"/>
    </xf>
    <xf numFmtId="0" fontId="3285" fillId="3276" borderId="3260" xfId="0" applyFont="1" applyFill="1" applyBorder="1" applyAlignment="1">
      <alignment horizontal="left" vertical="top" wrapText="1"/>
    </xf>
    <xf numFmtId="0" fontId="3286" fillId="3277" borderId="3261" xfId="0" applyFont="1" applyFill="1" applyBorder="1" applyAlignment="1">
      <alignment wrapText="1"/>
    </xf>
    <xf numFmtId="0" fontId="3287" fillId="3278" borderId="3262" xfId="0" applyFont="1" applyFill="1" applyBorder="1" applyAlignment="1">
      <alignment wrapText="1"/>
    </xf>
    <xf numFmtId="0" fontId="3288" fillId="3279" borderId="3263" xfId="0" applyFont="1" applyFill="1" applyBorder="1" applyAlignment="1">
      <alignment wrapText="1"/>
    </xf>
    <xf numFmtId="0" fontId="3289" fillId="3280" borderId="3264" xfId="0" applyFont="1" applyFill="1" applyBorder="1" applyAlignment="1">
      <alignment wrapText="1"/>
    </xf>
    <xf numFmtId="0" fontId="3290" fillId="3281" borderId="3265" xfId="0" applyFont="1" applyFill="1" applyBorder="1" applyAlignment="1">
      <alignment wrapText="1"/>
    </xf>
    <xf numFmtId="0" fontId="3291" fillId="3282" borderId="3266" xfId="0" applyFont="1" applyFill="1" applyBorder="1" applyAlignment="1">
      <alignment wrapText="1"/>
    </xf>
    <xf numFmtId="0" fontId="3292" fillId="3283" borderId="3267" xfId="0" applyFont="1" applyFill="1" applyBorder="1" applyAlignment="1">
      <alignment wrapText="1"/>
    </xf>
    <xf numFmtId="0" fontId="3293" fillId="3284" borderId="3268" xfId="0" applyFont="1" applyFill="1" applyBorder="1" applyAlignment="1">
      <alignment wrapText="1"/>
    </xf>
    <xf numFmtId="0" fontId="3294" fillId="3285" borderId="3269" xfId="0" applyFont="1" applyFill="1" applyBorder="1" applyAlignment="1">
      <alignment wrapText="1"/>
    </xf>
    <xf numFmtId="0" fontId="3295" fillId="3286" borderId="3270" xfId="0" applyFont="1" applyFill="1" applyBorder="1" applyAlignment="1">
      <alignment wrapText="1"/>
    </xf>
    <xf numFmtId="0" fontId="3296" fillId="3287" borderId="3271" xfId="0" applyFont="1" applyFill="1" applyBorder="1" applyAlignment="1">
      <alignment horizontal="left" vertical="top"/>
    </xf>
    <xf numFmtId="0" fontId="3297" fillId="3288" borderId="3272" xfId="0" applyFont="1" applyFill="1" applyBorder="1" applyAlignment="1">
      <alignment horizontal="left" vertical="top"/>
    </xf>
    <xf numFmtId="0" fontId="3298" fillId="3289" borderId="3273" xfId="0" applyFont="1" applyFill="1" applyBorder="1" applyAlignment="1">
      <alignment wrapText="1"/>
    </xf>
    <xf numFmtId="0" fontId="3299" fillId="3290" borderId="3274" xfId="0" applyFont="1" applyFill="1" applyBorder="1" applyAlignment="1">
      <alignment wrapText="1"/>
    </xf>
    <xf numFmtId="0" fontId="3300" fillId="3291" borderId="3275" xfId="0" applyFont="1" applyFill="1" applyBorder="1" applyAlignment="1">
      <alignment horizontal="left" vertical="top"/>
    </xf>
    <xf numFmtId="0" fontId="3301" fillId="3292" borderId="3276" xfId="0" applyFont="1" applyFill="1" applyBorder="1" applyAlignment="1">
      <alignment horizontal="left" vertical="top"/>
    </xf>
    <xf numFmtId="0" fontId="3302" fillId="3293" borderId="3277" xfId="0" applyFont="1" applyFill="1" applyBorder="1" applyAlignment="1">
      <alignment wrapText="1"/>
    </xf>
    <xf numFmtId="0" fontId="3303" fillId="3294" borderId="3278" xfId="0" applyFont="1" applyFill="1" applyBorder="1" applyAlignment="1">
      <alignment wrapText="1"/>
    </xf>
    <xf numFmtId="0" fontId="3304" fillId="3295" borderId="3279" xfId="0" applyFont="1" applyFill="1" applyBorder="1" applyAlignment="1">
      <alignment wrapText="1"/>
    </xf>
    <xf numFmtId="0" fontId="3305" fillId="3296" borderId="3280" xfId="0" applyFont="1" applyFill="1" applyBorder="1" applyAlignment="1">
      <alignment wrapText="1"/>
    </xf>
    <xf numFmtId="0" fontId="3306" fillId="3297" borderId="3281" xfId="0" applyFont="1" applyFill="1" applyBorder="1" applyAlignment="1">
      <alignment wrapText="1"/>
    </xf>
    <xf numFmtId="0" fontId="3307" fillId="3298" borderId="3282" xfId="0" applyFont="1" applyFill="1" applyBorder="1" applyAlignment="1">
      <alignment wrapText="1"/>
    </xf>
    <xf numFmtId="0" fontId="3308" fillId="3299" borderId="3283" xfId="0" applyFont="1" applyFill="1" applyBorder="1" applyAlignment="1">
      <alignment wrapText="1"/>
    </xf>
    <xf numFmtId="0" fontId="3309" fillId="3300" borderId="3284" xfId="0" applyFont="1" applyFill="1" applyBorder="1" applyAlignment="1">
      <alignment wrapText="1"/>
    </xf>
    <xf numFmtId="0" fontId="3310" fillId="3301" borderId="3285" xfId="0" applyFont="1" applyFill="1" applyBorder="1" applyAlignment="1">
      <alignment wrapText="1"/>
    </xf>
    <xf numFmtId="0" fontId="3311" fillId="3302" borderId="3286" xfId="0" applyFont="1" applyFill="1" applyBorder="1" applyAlignment="1">
      <alignment wrapText="1"/>
    </xf>
    <xf numFmtId="0" fontId="3312" fillId="3303" borderId="3287" xfId="0" applyFont="1" applyFill="1" applyBorder="1" applyAlignment="1">
      <alignment wrapText="1"/>
    </xf>
    <xf numFmtId="0" fontId="3313" fillId="3304" borderId="3288" xfId="0" applyFont="1" applyFill="1" applyBorder="1" applyAlignment="1">
      <alignment wrapText="1"/>
    </xf>
    <xf numFmtId="0" fontId="3314" fillId="3305" borderId="3289" xfId="0" applyFont="1" applyFill="1" applyBorder="1" applyAlignment="1">
      <alignment wrapText="1"/>
    </xf>
    <xf numFmtId="0" fontId="3315" fillId="3306" borderId="3290" xfId="0" applyFont="1" applyFill="1" applyBorder="1" applyAlignment="1">
      <alignment wrapText="1"/>
    </xf>
    <xf numFmtId="0" fontId="3316" fillId="3307" borderId="3291" xfId="0" applyFont="1" applyFill="1" applyBorder="1" applyAlignment="1">
      <alignment horizontal="left" vertical="top"/>
    </xf>
    <xf numFmtId="0" fontId="3317" fillId="3308" borderId="3292" xfId="0" applyFont="1" applyFill="1" applyBorder="1" applyAlignment="1">
      <alignment horizontal="left" vertical="top"/>
    </xf>
    <xf numFmtId="0" fontId="3318" fillId="3309" borderId="3293" xfId="0" applyFont="1" applyFill="1" applyBorder="1" applyAlignment="1">
      <alignment wrapText="1"/>
    </xf>
    <xf numFmtId="0" fontId="3319" fillId="3310" borderId="3294" xfId="0" applyFont="1" applyFill="1" applyBorder="1" applyAlignment="1">
      <alignment wrapText="1"/>
    </xf>
    <xf numFmtId="0" fontId="3320" fillId="3311" borderId="3295" xfId="0" applyFont="1" applyFill="1" applyBorder="1" applyAlignment="1">
      <alignment horizontal="left" vertical="top"/>
    </xf>
    <xf numFmtId="0" fontId="3321" fillId="3312" borderId="3296" xfId="0" applyFont="1" applyFill="1" applyBorder="1" applyAlignment="1">
      <alignment horizontal="left" vertical="top"/>
    </xf>
    <xf numFmtId="0" fontId="3322" fillId="3313" borderId="3297" xfId="0" applyFont="1" applyFill="1" applyBorder="1" applyAlignment="1">
      <alignment wrapText="1"/>
    </xf>
    <xf numFmtId="0" fontId="3323" fillId="3314" borderId="3298" xfId="0" applyFont="1" applyFill="1" applyBorder="1" applyAlignment="1">
      <alignment wrapText="1"/>
    </xf>
    <xf numFmtId="0" fontId="3324" fillId="3315" borderId="3299" xfId="0" applyFont="1" applyFill="1" applyBorder="1" applyAlignment="1">
      <alignment wrapText="1"/>
    </xf>
    <xf numFmtId="0" fontId="3325" fillId="3316" borderId="3300" xfId="0" applyFont="1" applyFill="1" applyBorder="1" applyAlignment="1">
      <alignment wrapText="1"/>
    </xf>
    <xf numFmtId="0" fontId="3326" fillId="3317" borderId="3301" xfId="0" applyFont="1" applyFill="1" applyBorder="1" applyAlignment="1">
      <alignment horizontal="left" vertical="top"/>
    </xf>
    <xf numFmtId="0" fontId="3327" fillId="3318" borderId="3302" xfId="0" applyFont="1" applyFill="1" applyBorder="1" applyAlignment="1">
      <alignment horizontal="left" vertical="top"/>
    </xf>
    <xf numFmtId="0" fontId="3328" fillId="3319" borderId="3303" xfId="0" applyFont="1" applyFill="1" applyBorder="1" applyAlignment="1">
      <alignment wrapText="1"/>
    </xf>
    <xf numFmtId="0" fontId="3329" fillId="3320" borderId="3304" xfId="0" applyFont="1" applyFill="1" applyBorder="1" applyAlignment="1">
      <alignment wrapText="1"/>
    </xf>
    <xf numFmtId="0" fontId="3330" fillId="3321" borderId="3305" xfId="0" applyFont="1" applyFill="1" applyBorder="1" applyAlignment="1">
      <alignment horizontal="left" vertical="top"/>
    </xf>
    <xf numFmtId="0" fontId="3331" fillId="3322" borderId="3306" xfId="0" applyFont="1" applyFill="1" applyBorder="1" applyAlignment="1">
      <alignment horizontal="left" vertical="top"/>
    </xf>
    <xf numFmtId="0" fontId="3332" fillId="3323" borderId="3307" xfId="0" applyFont="1" applyFill="1" applyBorder="1" applyAlignment="1">
      <alignment wrapText="1"/>
    </xf>
    <xf numFmtId="0" fontId="3333" fillId="3324" borderId="3308" xfId="0" applyFont="1" applyFill="1" applyBorder="1" applyAlignment="1">
      <alignment wrapText="1"/>
    </xf>
    <xf numFmtId="0" fontId="3334" fillId="3325" borderId="3309" xfId="0" applyFont="1" applyFill="1" applyBorder="1" applyAlignment="1">
      <alignment wrapText="1"/>
    </xf>
    <xf numFmtId="0" fontId="3335" fillId="3326" borderId="3310" xfId="0" applyFont="1" applyFill="1" applyBorder="1" applyAlignment="1">
      <alignment wrapText="1"/>
    </xf>
    <xf numFmtId="0" fontId="3336" fillId="3327" borderId="3311" xfId="0" applyFont="1" applyFill="1" applyBorder="1" applyAlignment="1">
      <alignment wrapText="1"/>
    </xf>
    <xf numFmtId="0" fontId="3337" fillId="3328" borderId="3312" xfId="0" applyFont="1" applyFill="1" applyBorder="1" applyAlignment="1">
      <alignment wrapText="1"/>
    </xf>
    <xf numFmtId="0" fontId="3338" fillId="3329" borderId="3313" xfId="0" applyFont="1" applyFill="1" applyBorder="1" applyAlignment="1">
      <alignment wrapText="1"/>
    </xf>
    <xf numFmtId="0" fontId="3339" fillId="3330" borderId="3314" xfId="0" applyFont="1" applyFill="1" applyBorder="1" applyAlignment="1">
      <alignment wrapText="1"/>
    </xf>
    <xf numFmtId="0" fontId="3340" fillId="3331" borderId="3315" xfId="0" applyFont="1" applyFill="1" applyBorder="1" applyAlignment="1">
      <alignment wrapText="1"/>
    </xf>
    <xf numFmtId="0" fontId="3341" fillId="3332" borderId="3316" xfId="0" applyFont="1" applyFill="1" applyBorder="1" applyAlignment="1">
      <alignment wrapText="1"/>
    </xf>
    <xf numFmtId="0" fontId="3342" fillId="3333" borderId="3317" xfId="0" applyFont="1" applyFill="1" applyBorder="1" applyAlignment="1">
      <alignment wrapText="1"/>
    </xf>
    <xf numFmtId="0" fontId="3343" fillId="3334" borderId="3318" xfId="0" applyFont="1" applyFill="1" applyBorder="1" applyAlignment="1">
      <alignment wrapText="1"/>
    </xf>
    <xf numFmtId="0" fontId="3344" fillId="3335" borderId="3319" xfId="0" applyFont="1" applyFill="1" applyBorder="1" applyAlignment="1">
      <alignment wrapText="1"/>
    </xf>
    <xf numFmtId="0" fontId="3345" fillId="3336" borderId="3320" xfId="0" applyFont="1" applyFill="1" applyBorder="1" applyAlignment="1">
      <alignment wrapText="1"/>
    </xf>
    <xf numFmtId="0" fontId="3346" fillId="3337" borderId="3321" xfId="0" applyFont="1" applyFill="1" applyBorder="1" applyAlignment="1">
      <alignment wrapText="1"/>
    </xf>
    <xf numFmtId="0" fontId="3347" fillId="3338" borderId="3322" xfId="0" applyFont="1" applyFill="1" applyBorder="1" applyAlignment="1">
      <alignment wrapText="1"/>
    </xf>
    <xf numFmtId="0" fontId="3348" fillId="3339" borderId="3323" xfId="0" applyFont="1" applyFill="1" applyBorder="1" applyAlignment="1">
      <alignment wrapText="1"/>
    </xf>
    <xf numFmtId="0" fontId="3349" fillId="3340" borderId="3324" xfId="0" applyFont="1" applyFill="1" applyBorder="1" applyAlignment="1">
      <alignment wrapText="1"/>
    </xf>
    <xf numFmtId="0" fontId="3350" fillId="3341" borderId="3325" xfId="0" applyFont="1" applyFill="1" applyBorder="1" applyAlignment="1">
      <alignment horizontal="left" vertical="top"/>
    </xf>
    <xf numFmtId="0" fontId="3351" fillId="3342" borderId="3326" xfId="0" applyFont="1" applyFill="1" applyBorder="1" applyAlignment="1">
      <alignment horizontal="left" vertical="top"/>
    </xf>
    <xf numFmtId="0" fontId="3352" fillId="3343" borderId="3327" xfId="0" applyFont="1" applyFill="1" applyBorder="1" applyAlignment="1">
      <alignment wrapText="1"/>
    </xf>
    <xf numFmtId="0" fontId="3353" fillId="3344" borderId="3328" xfId="0" applyFont="1" applyFill="1" applyBorder="1" applyAlignment="1">
      <alignment wrapText="1"/>
    </xf>
    <xf numFmtId="0" fontId="3354" fillId="3345" borderId="3329" xfId="0" applyFont="1" applyFill="1" applyBorder="1" applyAlignment="1">
      <alignment horizontal="left" vertical="top"/>
    </xf>
    <xf numFmtId="0" fontId="3355" fillId="3346" borderId="3330" xfId="0" applyFont="1" applyFill="1" applyBorder="1" applyAlignment="1">
      <alignment horizontal="left" vertical="top"/>
    </xf>
    <xf numFmtId="0" fontId="3356" fillId="3347" borderId="3331" xfId="0" applyFont="1" applyFill="1" applyBorder="1" applyAlignment="1">
      <alignment wrapText="1"/>
    </xf>
    <xf numFmtId="0" fontId="3357" fillId="3348" borderId="3332" xfId="0" applyFont="1" applyFill="1" applyBorder="1" applyAlignment="1">
      <alignment wrapText="1"/>
    </xf>
    <xf numFmtId="0" fontId="3358" fillId="3349" borderId="3333" xfId="0" applyFont="1" applyFill="1" applyBorder="1" applyAlignment="1">
      <alignment horizontal="left" vertical="top"/>
    </xf>
    <xf numFmtId="0" fontId="3359" fillId="3350" borderId="3334" xfId="0" applyFont="1" applyFill="1" applyBorder="1" applyAlignment="1">
      <alignment horizontal="left" vertical="top"/>
    </xf>
    <xf numFmtId="0" fontId="3360" fillId="3351" borderId="3335" xfId="0" applyFont="1" applyFill="1" applyBorder="1" applyAlignment="1">
      <alignment wrapText="1"/>
    </xf>
    <xf numFmtId="0" fontId="3361" fillId="3352" borderId="3336" xfId="0" applyFont="1" applyFill="1" applyBorder="1" applyAlignment="1">
      <alignment wrapText="1"/>
    </xf>
    <xf numFmtId="0" fontId="3362" fillId="3353" borderId="3337" xfId="0" applyFont="1" applyFill="1" applyBorder="1" applyAlignment="1">
      <alignment horizontal="left" vertical="top"/>
    </xf>
    <xf numFmtId="0" fontId="3363" fillId="3354" borderId="3338" xfId="0" applyFont="1" applyFill="1" applyBorder="1" applyAlignment="1">
      <alignment horizontal="left" vertical="top"/>
    </xf>
    <xf numFmtId="0" fontId="3364" fillId="3355" borderId="3339" xfId="0" applyFont="1" applyFill="1" applyBorder="1" applyAlignment="1">
      <alignment wrapText="1"/>
    </xf>
    <xf numFmtId="0" fontId="3365" fillId="3356" borderId="3340" xfId="0" applyFont="1" applyFill="1" applyBorder="1" applyAlignment="1">
      <alignment wrapText="1"/>
    </xf>
    <xf numFmtId="0" fontId="3366" fillId="3357" borderId="3341" xfId="0" applyFont="1" applyFill="1" applyBorder="1" applyAlignment="1">
      <alignment horizontal="left" vertical="top"/>
    </xf>
    <xf numFmtId="0" fontId="3367" fillId="3358" borderId="3342" xfId="0" applyFont="1" applyFill="1" applyBorder="1" applyAlignment="1">
      <alignment horizontal="left" vertical="top"/>
    </xf>
    <xf numFmtId="0" fontId="3368" fillId="3359" borderId="3343" xfId="0" applyFont="1" applyFill="1" applyBorder="1" applyAlignment="1">
      <alignment vertical="top" wrapText="1"/>
    </xf>
    <xf numFmtId="0" fontId="3369" fillId="3360" borderId="3344" xfId="0" applyFont="1" applyFill="1" applyBorder="1" applyAlignment="1">
      <alignment vertical="top" wrapText="1"/>
    </xf>
    <xf numFmtId="0" fontId="3370" fillId="3361" borderId="3345" xfId="0" applyFont="1" applyFill="1" applyBorder="1" applyAlignment="1">
      <alignment horizontal="left" vertical="top"/>
    </xf>
    <xf numFmtId="0" fontId="3371" fillId="3362" borderId="3346" xfId="0" applyFont="1" applyFill="1" applyBorder="1" applyAlignment="1">
      <alignment horizontal="left" vertical="top"/>
    </xf>
    <xf numFmtId="0" fontId="3372" fillId="3363" borderId="3347" xfId="0" applyFont="1" applyFill="1" applyBorder="1" applyAlignment="1">
      <alignment wrapText="1"/>
    </xf>
    <xf numFmtId="0" fontId="3373" fillId="3364" borderId="3348" xfId="0" applyFont="1" applyFill="1" applyBorder="1" applyAlignment="1">
      <alignment wrapText="1"/>
    </xf>
    <xf numFmtId="0" fontId="3374" fillId="3365" borderId="3349" xfId="0" applyFont="1" applyFill="1" applyBorder="1" applyAlignment="1">
      <alignment wrapText="1"/>
    </xf>
    <xf numFmtId="0" fontId="3375" fillId="3366" borderId="3350" xfId="0" applyFont="1" applyFill="1" applyBorder="1" applyAlignment="1">
      <alignment wrapText="1"/>
    </xf>
    <xf numFmtId="0" fontId="3376" fillId="3367" borderId="3351" xfId="0" applyFont="1" applyFill="1" applyBorder="1" applyAlignment="1">
      <alignment wrapText="1"/>
    </xf>
    <xf numFmtId="0" fontId="3377" fillId="3368" borderId="3352" xfId="0" applyFont="1" applyFill="1" applyBorder="1" applyAlignment="1">
      <alignment wrapText="1"/>
    </xf>
    <xf numFmtId="0" fontId="3378" fillId="3369" borderId="3353" xfId="0" applyFont="1" applyFill="1" applyBorder="1" applyAlignment="1">
      <alignment wrapText="1"/>
    </xf>
    <xf numFmtId="0" fontId="3379" fillId="3370" borderId="3354" xfId="0" applyFont="1" applyFill="1" applyBorder="1" applyAlignment="1">
      <alignment wrapText="1"/>
    </xf>
    <xf numFmtId="0" fontId="3380" fillId="3371" borderId="3355" xfId="0" applyFont="1" applyFill="1" applyBorder="1" applyAlignment="1">
      <alignment wrapText="1"/>
    </xf>
    <xf numFmtId="0" fontId="3381" fillId="3372" borderId="3356" xfId="0" applyFont="1" applyFill="1" applyBorder="1" applyAlignment="1">
      <alignment wrapText="1"/>
    </xf>
    <xf numFmtId="0" fontId="3382" fillId="3373" borderId="3357" xfId="0" applyFont="1" applyFill="1" applyBorder="1" applyAlignment="1">
      <alignment horizontal="left" vertical="top" wrapText="1"/>
    </xf>
    <xf numFmtId="0" fontId="3383" fillId="3374" borderId="3358" xfId="0" applyFont="1" applyFill="1" applyBorder="1" applyAlignment="1">
      <alignment horizontal="left" vertical="top" wrapText="1"/>
    </xf>
    <xf numFmtId="0" fontId="3384" fillId="3375" borderId="3359" xfId="0" applyFont="1" applyFill="1" applyBorder="1" applyAlignment="1">
      <alignment horizontal="left" vertical="top"/>
    </xf>
    <xf numFmtId="0" fontId="3385" fillId="3376" borderId="3360" xfId="0" applyFont="1" applyFill="1" applyBorder="1" applyAlignment="1">
      <alignment horizontal="left" vertical="top"/>
    </xf>
    <xf numFmtId="0" fontId="3386" fillId="3377" borderId="3361" xfId="0" applyFont="1" applyFill="1" applyBorder="1" applyAlignment="1">
      <alignment wrapText="1"/>
    </xf>
    <xf numFmtId="0" fontId="3387" fillId="3378" borderId="3362" xfId="0" applyFont="1" applyFill="1" applyBorder="1" applyAlignment="1">
      <alignment wrapText="1"/>
    </xf>
    <xf numFmtId="0" fontId="3388" fillId="3379" borderId="3363" xfId="0" applyFont="1" applyFill="1" applyBorder="1" applyAlignment="1">
      <alignment wrapText="1"/>
    </xf>
    <xf numFmtId="0" fontId="3389" fillId="3380" borderId="3364" xfId="0" applyFont="1" applyFill="1" applyBorder="1" applyAlignment="1">
      <alignment wrapText="1"/>
    </xf>
    <xf numFmtId="0" fontId="3390" fillId="3381" borderId="3365" xfId="0" applyFont="1" applyFill="1" applyBorder="1" applyAlignment="1">
      <alignment horizontal="left" vertical="top"/>
    </xf>
    <xf numFmtId="0" fontId="3391" fillId="3382" borderId="3366" xfId="0" applyFont="1" applyFill="1" applyBorder="1" applyAlignment="1">
      <alignment horizontal="left" vertical="top"/>
    </xf>
    <xf numFmtId="0" fontId="3392" fillId="3383" borderId="3367" xfId="0" applyFont="1" applyFill="1" applyBorder="1" applyAlignment="1">
      <alignment wrapText="1"/>
    </xf>
    <xf numFmtId="0" fontId="3393" fillId="3384" borderId="3368" xfId="0" applyFont="1" applyFill="1" applyBorder="1" applyAlignment="1">
      <alignment wrapText="1"/>
    </xf>
    <xf numFmtId="0" fontId="3394" fillId="3385" borderId="3369" xfId="0" applyFont="1" applyFill="1" applyBorder="1" applyAlignment="1">
      <alignment horizontal="left" vertical="top"/>
    </xf>
    <xf numFmtId="0" fontId="3395" fillId="3386" borderId="3370" xfId="0" applyFont="1" applyFill="1" applyBorder="1" applyAlignment="1">
      <alignment horizontal="left" vertical="top"/>
    </xf>
    <xf numFmtId="0" fontId="3396" fillId="3387" borderId="3371" xfId="0" applyFont="1" applyFill="1" applyBorder="1"/>
    <xf numFmtId="0" fontId="3397" fillId="3388" borderId="3372" xfId="0" applyFont="1" applyFill="1" applyBorder="1"/>
    <xf numFmtId="0" fontId="3398" fillId="3389" borderId="3373" xfId="0" applyFont="1" applyFill="1" applyBorder="1"/>
    <xf numFmtId="0" fontId="3399" fillId="3390" borderId="3374" xfId="0" applyFont="1" applyFill="1" applyBorder="1"/>
    <xf numFmtId="0" fontId="3400" fillId="3391" borderId="3375" xfId="0" applyFont="1" applyFill="1" applyBorder="1"/>
    <xf numFmtId="0" fontId="3401" fillId="3392" borderId="3376" xfId="0" applyFont="1" applyFill="1" applyBorder="1"/>
    <xf numFmtId="0" fontId="3402" fillId="3393" borderId="3377" xfId="0" applyFont="1" applyFill="1" applyBorder="1"/>
    <xf numFmtId="0" fontId="3403" fillId="3394" borderId="3378" xfId="0" applyFont="1" applyFill="1" applyBorder="1"/>
    <xf numFmtId="0" fontId="3404" fillId="3395" borderId="3379" xfId="0" applyFont="1" applyFill="1" applyBorder="1"/>
    <xf numFmtId="0" fontId="3405" fillId="3396" borderId="3380" xfId="0" applyFont="1" applyFill="1" applyBorder="1"/>
    <xf numFmtId="0" fontId="3406" fillId="3397" borderId="3381" xfId="0" applyFont="1" applyFill="1" applyBorder="1"/>
    <xf numFmtId="0" fontId="3407" fillId="3398" borderId="3382" xfId="0" applyFont="1" applyFill="1" applyBorder="1"/>
    <xf numFmtId="0" fontId="3408" fillId="3399" borderId="3383" xfId="0" applyFont="1" applyFill="1" applyBorder="1"/>
    <xf numFmtId="0" fontId="3409" fillId="3400" borderId="3384" xfId="0" applyFont="1" applyFill="1" applyBorder="1"/>
    <xf numFmtId="0" fontId="3410" fillId="3401" borderId="3385" xfId="0" applyFont="1" applyFill="1" applyBorder="1"/>
    <xf numFmtId="0" fontId="3411" fillId="3402" borderId="3386" xfId="0" applyFont="1" applyFill="1" applyBorder="1"/>
    <xf numFmtId="0" fontId="3412" fillId="3403" borderId="3387" xfId="0" applyFont="1" applyFill="1" applyBorder="1"/>
    <xf numFmtId="0" fontId="3413" fillId="3404" borderId="3388" xfId="0" applyFont="1" applyFill="1" applyBorder="1"/>
    <xf numFmtId="0" fontId="3414" fillId="3405" borderId="3389" xfId="0" applyFont="1" applyFill="1" applyBorder="1"/>
    <xf numFmtId="0" fontId="3415" fillId="3406" borderId="3390" xfId="0" applyFont="1" applyFill="1" applyBorder="1"/>
    <xf numFmtId="49" fontId="1" fillId="0" borderId="0" xfId="0" applyNumberFormat="1" applyFont="1" applyAlignment="1">
      <alignment wrapText="1"/>
    </xf>
    <xf numFmtId="0" fontId="3416" fillId="29" borderId="0" xfId="2" applyAlignment="1">
      <alignment wrapText="1"/>
    </xf>
    <xf numFmtId="0" fontId="6" fillId="24" borderId="16" xfId="0" applyFont="1" applyFill="1" applyBorder="1" applyAlignment="1">
      <alignment wrapText="1"/>
    </xf>
    <xf numFmtId="0" fontId="6" fillId="24" borderId="22" xfId="0" applyFont="1" applyFill="1" applyBorder="1" applyAlignment="1">
      <alignment wrapText="1"/>
    </xf>
    <xf numFmtId="0" fontId="6" fillId="24" borderId="21" xfId="0" applyFont="1" applyFill="1" applyBorder="1" applyAlignment="1">
      <alignment wrapText="1"/>
    </xf>
    <xf numFmtId="0" fontId="5" fillId="24" borderId="16" xfId="0" applyFont="1" applyFill="1" applyBorder="1" applyAlignment="1">
      <alignment wrapText="1"/>
    </xf>
    <xf numFmtId="0" fontId="5" fillId="24" borderId="21" xfId="0" applyFont="1" applyFill="1" applyBorder="1" applyAlignment="1">
      <alignment wrapText="1"/>
    </xf>
    <xf numFmtId="0" fontId="1" fillId="32" borderId="0" xfId="0" applyFont="1" applyFill="1" applyAlignment="1">
      <alignment horizontal="center" vertical="top"/>
    </xf>
    <xf numFmtId="0" fontId="1" fillId="32" borderId="0" xfId="0" applyFont="1" applyFill="1" applyAlignment="1">
      <alignment horizontal="left" vertical="top"/>
    </xf>
    <xf numFmtId="0" fontId="4" fillId="32" borderId="0" xfId="0" applyFont="1" applyFill="1"/>
    <xf numFmtId="0" fontId="4" fillId="32" borderId="1" xfId="0" applyFont="1" applyFill="1" applyBorder="1" applyAlignment="1">
      <alignment horizontal="left" vertical="top" wrapText="1"/>
    </xf>
    <xf numFmtId="0" fontId="1" fillId="32" borderId="0" xfId="0" applyFont="1" applyFill="1" applyAlignment="1">
      <alignment vertical="top"/>
    </xf>
    <xf numFmtId="0" fontId="3418" fillId="0" borderId="0" xfId="0" applyFont="1"/>
    <xf numFmtId="0" fontId="3417" fillId="37" borderId="5" xfId="3" applyBorder="1" applyAlignment="1">
      <alignment horizontal="left" vertical="top"/>
    </xf>
    <xf numFmtId="0" fontId="3417" fillId="37" borderId="2892" xfId="3" applyBorder="1" applyAlignment="1">
      <alignment wrapText="1"/>
    </xf>
    <xf numFmtId="0" fontId="3417" fillId="37" borderId="2892" xfId="3" applyBorder="1" applyAlignment="1">
      <alignment horizontal="left" vertical="top"/>
    </xf>
    <xf numFmtId="0" fontId="3417" fillId="37" borderId="8" xfId="3" applyBorder="1" applyAlignment="1">
      <alignment horizontal="left" vertical="top"/>
    </xf>
    <xf numFmtId="0" fontId="3417" fillId="37" borderId="3390" xfId="3" applyBorder="1" applyAlignment="1">
      <alignment wrapText="1"/>
    </xf>
    <xf numFmtId="0" fontId="3417" fillId="37" borderId="3390" xfId="3" applyBorder="1" applyAlignment="1">
      <alignment horizontal="left" vertical="top"/>
    </xf>
    <xf numFmtId="0" fontId="3417" fillId="37" borderId="9" xfId="3" applyBorder="1" applyAlignment="1">
      <alignment wrapText="1"/>
    </xf>
    <xf numFmtId="0" fontId="0" fillId="37" borderId="3390" xfId="3" applyFont="1" applyBorder="1" applyAlignment="1">
      <alignment wrapText="1"/>
    </xf>
    <xf numFmtId="0" fontId="3417" fillId="37" borderId="19" xfId="3" applyBorder="1" applyAlignment="1">
      <alignment horizontal="left" vertical="top"/>
    </xf>
    <xf numFmtId="0" fontId="3417" fillId="37" borderId="63" xfId="3" applyBorder="1" applyAlignment="1">
      <alignment wrapText="1"/>
    </xf>
    <xf numFmtId="0" fontId="3417" fillId="37" borderId="63" xfId="3" applyBorder="1" applyAlignment="1">
      <alignment horizontal="left" vertical="top"/>
    </xf>
    <xf numFmtId="0" fontId="3417" fillId="37" borderId="14" xfId="3" applyBorder="1" applyAlignment="1">
      <alignment wrapText="1"/>
    </xf>
    <xf numFmtId="0" fontId="10" fillId="11" borderId="0" xfId="0" applyFont="1" applyFill="1" applyAlignment="1">
      <alignment horizontal="left" vertical="top"/>
    </xf>
    <xf numFmtId="0" fontId="27" fillId="11" borderId="0" xfId="0" applyFont="1" applyFill="1"/>
    <xf numFmtId="0" fontId="29" fillId="24" borderId="3391" xfId="0" applyFont="1" applyFill="1" applyBorder="1" applyAlignment="1">
      <alignment horizontal="right" vertical="center" wrapText="1"/>
    </xf>
    <xf numFmtId="0" fontId="3419" fillId="24" borderId="3391" xfId="0" applyFont="1" applyFill="1" applyBorder="1" applyAlignment="1">
      <alignment horizontal="left" vertical="center" wrapText="1"/>
    </xf>
    <xf numFmtId="0" fontId="0" fillId="2956" borderId="0" xfId="0" applyFont="1" applyFill="1" applyAlignment="1">
      <alignment vertical="center"/>
    </xf>
    <xf numFmtId="0" fontId="1" fillId="13" borderId="0" xfId="0" applyFont="1" applyFill="1" applyAlignment="1">
      <alignment horizontal="left" vertical="top" wrapText="1"/>
    </xf>
    <xf numFmtId="0" fontId="10" fillId="13" borderId="0" xfId="0" applyFont="1" applyFill="1" applyAlignment="1">
      <alignment horizontal="left" vertical="top"/>
    </xf>
    <xf numFmtId="0" fontId="1" fillId="13" borderId="0" xfId="0" applyFont="1" applyFill="1" applyAlignment="1">
      <alignment vertical="top" wrapText="1"/>
    </xf>
  </cellXfs>
  <cellStyles count="4">
    <cellStyle name="Bad" xfId="2" builtinId="27"/>
    <cellStyle name="Hyperlink" xfId="1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1199030</xdr:colOff>
      <xdr:row>11</xdr:row>
      <xdr:rowOff>33617</xdr:rowOff>
    </xdr:from>
    <xdr:to>
      <xdr:col>8</xdr:col>
      <xdr:colOff>2384983</xdr:colOff>
      <xdr:row>133</xdr:row>
      <xdr:rowOff>77425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D9DBB-A35F-D4B4-98D1-45F2C0ADA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5206" y="2297205"/>
          <a:ext cx="10688542" cy="47726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914400</xdr:colOff>
      <xdr:row>21</xdr:row>
      <xdr:rowOff>66674</xdr:rowOff>
    </xdr:from>
    <xdr:to>
      <xdr:col>4</xdr:col>
      <xdr:colOff>397714</xdr:colOff>
      <xdr:row>55</xdr:row>
      <xdr:rowOff>119136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A6159-9D33-264D-CF77-059F01658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6200" y="4829174"/>
          <a:ext cx="10964114" cy="63135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67236</xdr:colOff>
      <xdr:row>19</xdr:row>
      <xdr:rowOff>134471</xdr:rowOff>
    </xdr:from>
    <xdr:to>
      <xdr:col>2</xdr:col>
      <xdr:colOff>7535878</xdr:colOff>
      <xdr:row>61</xdr:row>
      <xdr:rowOff>177550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696937-0C94-EAE0-7874-A07A38DCB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9765" y="4359089"/>
          <a:ext cx="7468642" cy="75734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8</xdr:row>
      <xdr:rowOff>133350</xdr:rowOff>
    </xdr:from>
    <xdr:to>
      <xdr:col>2</xdr:col>
      <xdr:colOff>8097337</xdr:colOff>
      <xdr:row>48</xdr:row>
      <xdr:rowOff>86729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860404-F89A-7646-F5B7-6562E9DCE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0350" y="1647825"/>
          <a:ext cx="7792537" cy="71923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238125</xdr:colOff>
      <xdr:row>5</xdr:row>
      <xdr:rowOff>171450</xdr:rowOff>
    </xdr:from>
    <xdr:to>
      <xdr:col>2</xdr:col>
      <xdr:colOff>7516241</xdr:colOff>
      <xdr:row>52</xdr:row>
      <xdr:rowOff>39269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1B6C78-A9A6-398B-C280-FB6B761A7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675" y="1114425"/>
          <a:ext cx="7278116" cy="837364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10</xdr:col>
      <xdr:colOff>135569</xdr:colOff>
      <xdr:row>53</xdr:row>
      <xdr:rowOff>9479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66FE33-505E-B4D1-A4BF-57E3A15B2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32326" y="1358348"/>
          <a:ext cx="7001852" cy="85736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12</xdr:row>
      <xdr:rowOff>161925</xdr:rowOff>
    </xdr:from>
    <xdr:to>
      <xdr:col>2</xdr:col>
      <xdr:colOff>10202866</xdr:colOff>
      <xdr:row>57</xdr:row>
      <xdr:rowOff>172588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12C84-7778-8D1F-4669-626199567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6925" y="2238375"/>
          <a:ext cx="11403016" cy="815453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12700</xdr:colOff>
      <xdr:row>4</xdr:row>
      <xdr:rowOff>38100</xdr:rowOff>
    </xdr:from>
    <xdr:to>
      <xdr:col>11</xdr:col>
      <xdr:colOff>660614</xdr:colOff>
      <xdr:row>34</xdr:row>
      <xdr:rowOff>130463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40464-0C70-36C0-4978-8BA95D042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93150" y="1054100"/>
          <a:ext cx="4159464" cy="56105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1706217</xdr:colOff>
      <xdr:row>3</xdr:row>
      <xdr:rowOff>422413</xdr:rowOff>
    </xdr:from>
    <xdr:to>
      <xdr:col>11</xdr:col>
      <xdr:colOff>249965</xdr:colOff>
      <xdr:row>36</xdr:row>
      <xdr:rowOff>2518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F7AA2-73E2-9C44-38A7-A0D91FEAD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55717" y="1126435"/>
          <a:ext cx="7687748" cy="6173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.aventis.swiss/" TargetMode="External"/><Relationship Id="rId2" Type="http://schemas.openxmlformats.org/officeDocument/2006/relationships/hyperlink" Target="mailto:XXxa22?pdTA66-S@" TargetMode="External"/><Relationship Id="rId1" Type="http://schemas.openxmlformats.org/officeDocument/2006/relationships/hyperlink" Target="mailto:Bern.Sachbearbeiterin@diartis.ch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ventis-gemeinde-ma@diartis.ch" TargetMode="External"/><Relationship Id="rId13" Type="http://schemas.openxmlformats.org/officeDocument/2006/relationships/hyperlink" Target="mailto:XXxa22?pdTA66-S@" TargetMode="External"/><Relationship Id="rId3" Type="http://schemas.openxmlformats.org/officeDocument/2006/relationships/hyperlink" Target="mailto:abc@gmail.com" TargetMode="External"/><Relationship Id="rId7" Type="http://schemas.openxmlformats.org/officeDocument/2006/relationships/hyperlink" Target="mailto:XXxa22?pdTA66-S@" TargetMode="External"/><Relationship Id="rId12" Type="http://schemas.openxmlformats.org/officeDocument/2006/relationships/hyperlink" Target="mailto:aventis-gemeinde-ma@diartis.ch" TargetMode="External"/><Relationship Id="rId17" Type="http://schemas.openxmlformats.org/officeDocument/2006/relationships/hyperlink" Target="mailto:XXxa22?pdTA66-S@" TargetMode="External"/><Relationship Id="rId2" Type="http://schemas.openxmlformats.org/officeDocument/2006/relationships/hyperlink" Target="mailto:bern.sozialarbeiterin1a@diartis.ch" TargetMode="External"/><Relationship Id="rId16" Type="http://schemas.openxmlformats.org/officeDocument/2006/relationships/hyperlink" Target="mailto:Bern.Sachbearbeiterin@diartis.ch" TargetMode="External"/><Relationship Id="rId1" Type="http://schemas.openxmlformats.org/officeDocument/2006/relationships/hyperlink" Target="https://dev.aventis.swiss/" TargetMode="External"/><Relationship Id="rId6" Type="http://schemas.openxmlformats.org/officeDocument/2006/relationships/hyperlink" Target="mailto:Bern.Sachbearbeiterin@diartis.ch" TargetMode="External"/><Relationship Id="rId11" Type="http://schemas.openxmlformats.org/officeDocument/2006/relationships/hyperlink" Target="mailto:XXxa22?pdTA66-S@" TargetMode="External"/><Relationship Id="rId5" Type="http://schemas.openxmlformats.org/officeDocument/2006/relationships/hyperlink" Target="mailto:XXxa22?pdTA66-S@" TargetMode="External"/><Relationship Id="rId15" Type="http://schemas.openxmlformats.org/officeDocument/2006/relationships/hyperlink" Target="mailto:XXxa22?pdTA66-S@" TargetMode="External"/><Relationship Id="rId10" Type="http://schemas.openxmlformats.org/officeDocument/2006/relationships/hyperlink" Target="mailto:Bern.Sachbearbeiterin@diartis.ch" TargetMode="External"/><Relationship Id="rId4" Type="http://schemas.openxmlformats.org/officeDocument/2006/relationships/hyperlink" Target="mailto:Bern.Sachbearbeiterin@diartis.ch" TargetMode="External"/><Relationship Id="rId9" Type="http://schemas.openxmlformats.org/officeDocument/2006/relationships/hyperlink" Target="mailto:XXxa22?pdTA66-S@" TargetMode="External"/><Relationship Id="rId14" Type="http://schemas.openxmlformats.org/officeDocument/2006/relationships/hyperlink" Target="mailto:Bern.Sachbearbeiterin@diartis.ch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ventis-gemeinde-ma@diartis.ch" TargetMode="External"/><Relationship Id="rId13" Type="http://schemas.openxmlformats.org/officeDocument/2006/relationships/hyperlink" Target="mailto:XXxa22?pdTA66-S@" TargetMode="External"/><Relationship Id="rId3" Type="http://schemas.openxmlformats.org/officeDocument/2006/relationships/hyperlink" Target="mailto:abc@gmail.com" TargetMode="External"/><Relationship Id="rId7" Type="http://schemas.openxmlformats.org/officeDocument/2006/relationships/hyperlink" Target="mailto:XXxa22?pdTA66-S@" TargetMode="External"/><Relationship Id="rId12" Type="http://schemas.openxmlformats.org/officeDocument/2006/relationships/hyperlink" Target="mailto:aventis-gemeinde-ma@diartis.ch" TargetMode="External"/><Relationship Id="rId17" Type="http://schemas.openxmlformats.org/officeDocument/2006/relationships/hyperlink" Target="mailto:XXxa22?pdTA66-S@" TargetMode="External"/><Relationship Id="rId2" Type="http://schemas.openxmlformats.org/officeDocument/2006/relationships/hyperlink" Target="mailto:bern.sozialarbeiterin1a@diartis.ch" TargetMode="External"/><Relationship Id="rId16" Type="http://schemas.openxmlformats.org/officeDocument/2006/relationships/hyperlink" Target="mailto:Bern.Sachbearbeiterin@diartis.ch" TargetMode="External"/><Relationship Id="rId1" Type="http://schemas.openxmlformats.org/officeDocument/2006/relationships/hyperlink" Target="https://dev.aventis.swiss/" TargetMode="External"/><Relationship Id="rId6" Type="http://schemas.openxmlformats.org/officeDocument/2006/relationships/hyperlink" Target="mailto:Bern.Sachbearbeiterin@diartis.ch" TargetMode="External"/><Relationship Id="rId11" Type="http://schemas.openxmlformats.org/officeDocument/2006/relationships/hyperlink" Target="mailto:XXxa22?pdTA66-S@" TargetMode="External"/><Relationship Id="rId5" Type="http://schemas.openxmlformats.org/officeDocument/2006/relationships/hyperlink" Target="mailto:XXxa22?pdTA66-S@" TargetMode="External"/><Relationship Id="rId15" Type="http://schemas.openxmlformats.org/officeDocument/2006/relationships/hyperlink" Target="mailto:XXxa22?pdTA66-S@" TargetMode="External"/><Relationship Id="rId10" Type="http://schemas.openxmlformats.org/officeDocument/2006/relationships/hyperlink" Target="mailto:Bern.Sachbearbeiterin@diartis.ch" TargetMode="External"/><Relationship Id="rId4" Type="http://schemas.openxmlformats.org/officeDocument/2006/relationships/hyperlink" Target="mailto:Bern.Sachbearbeiterin@diartis.ch" TargetMode="External"/><Relationship Id="rId9" Type="http://schemas.openxmlformats.org/officeDocument/2006/relationships/hyperlink" Target="mailto:XXxa22?pdTA66-S@" TargetMode="External"/><Relationship Id="rId14" Type="http://schemas.openxmlformats.org/officeDocument/2006/relationships/hyperlink" Target="mailto:Bern.Sachbearbeiterin@diartis.ch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ventis-gemeinde-ma@diartis.ch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mailto:XXxa22?pdTA66-S@" TargetMode="External"/><Relationship Id="rId7" Type="http://schemas.openxmlformats.org/officeDocument/2006/relationships/hyperlink" Target="mailto:XXxa22?pdTA66-S@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Bern.Sachbearbeiterin@diartis.ch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Bern.Sachbearbeiterin@diartis.ch" TargetMode="External"/><Relationship Id="rId11" Type="http://schemas.openxmlformats.org/officeDocument/2006/relationships/hyperlink" Target="mailto:XXxa22?pdTA66-S@" TargetMode="External"/><Relationship Id="rId5" Type="http://schemas.openxmlformats.org/officeDocument/2006/relationships/hyperlink" Target="mailto:XXxa22?pdTA66-S@" TargetMode="External"/><Relationship Id="rId10" Type="http://schemas.openxmlformats.org/officeDocument/2006/relationships/hyperlink" Target="mailto:Bern.Sachbearbeiterin@diartis.ch" TargetMode="External"/><Relationship Id="rId4" Type="http://schemas.openxmlformats.org/officeDocument/2006/relationships/hyperlink" Target="mailto:Bern.Sachbearbeiterin@diartis.ch" TargetMode="External"/><Relationship Id="rId9" Type="http://schemas.openxmlformats.org/officeDocument/2006/relationships/hyperlink" Target="mailto:XXxa22?pdTA66-S@" TargetMode="External"/><Relationship Id="rId1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XXxa22?pdTA66-S@" TargetMode="External"/><Relationship Id="rId13" Type="http://schemas.openxmlformats.org/officeDocument/2006/relationships/hyperlink" Target="mailto:Bern.Sachbearbeiterin@diartis.ch" TargetMode="External"/><Relationship Id="rId18" Type="http://schemas.openxmlformats.org/officeDocument/2006/relationships/comments" Target="../comments2.xml"/><Relationship Id="rId3" Type="http://schemas.openxmlformats.org/officeDocument/2006/relationships/hyperlink" Target="mailto:aventis-gemeinde-ma@diartis.ch" TargetMode="External"/><Relationship Id="rId7" Type="http://schemas.openxmlformats.org/officeDocument/2006/relationships/hyperlink" Target="mailto:Bern.Sachbearbeiterin@diartis.ch" TargetMode="External"/><Relationship Id="rId12" Type="http://schemas.openxmlformats.org/officeDocument/2006/relationships/hyperlink" Target="mailto:XXxa22?pdTA66-S@" TargetMode="External"/><Relationship Id="rId17" Type="http://schemas.openxmlformats.org/officeDocument/2006/relationships/vmlDrawing" Target="../drawings/vmlDrawing2.vml"/><Relationship Id="rId2" Type="http://schemas.openxmlformats.org/officeDocument/2006/relationships/hyperlink" Target="mailto:abc@gmail.com" TargetMode="External"/><Relationship Id="rId16" Type="http://schemas.openxmlformats.org/officeDocument/2006/relationships/hyperlink" Target="mailto:XXxa22?pdTA66-S@" TargetMode="External"/><Relationship Id="rId1" Type="http://schemas.openxmlformats.org/officeDocument/2006/relationships/hyperlink" Target="https://dev.aventis.swiss/" TargetMode="External"/><Relationship Id="rId6" Type="http://schemas.openxmlformats.org/officeDocument/2006/relationships/hyperlink" Target="mailto:XXxa22?pdTA66-S@" TargetMode="External"/><Relationship Id="rId11" Type="http://schemas.openxmlformats.org/officeDocument/2006/relationships/hyperlink" Target="mailto:aventis-gemeinde-ma@diartis.ch" TargetMode="External"/><Relationship Id="rId5" Type="http://schemas.openxmlformats.org/officeDocument/2006/relationships/hyperlink" Target="mailto:Bern.Sachbearbeiterin@diartis.ch" TargetMode="External"/><Relationship Id="rId15" Type="http://schemas.openxmlformats.org/officeDocument/2006/relationships/hyperlink" Target="mailto:Bern.Sachbearbeiterin@diartis.ch" TargetMode="External"/><Relationship Id="rId10" Type="http://schemas.openxmlformats.org/officeDocument/2006/relationships/hyperlink" Target="mailto:XXxa22?pdTA66-S@" TargetMode="External"/><Relationship Id="rId4" Type="http://schemas.openxmlformats.org/officeDocument/2006/relationships/hyperlink" Target="mailto:XXxa22?pdTA66-S@" TargetMode="External"/><Relationship Id="rId9" Type="http://schemas.openxmlformats.org/officeDocument/2006/relationships/hyperlink" Target="mailto:Bern.Sachbearbeiterin@diartis.ch" TargetMode="External"/><Relationship Id="rId14" Type="http://schemas.openxmlformats.org/officeDocument/2006/relationships/hyperlink" Target="mailto:XXxa22?pdTA66-S@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Bern.Sachbearbeiterin@diartis.ch" TargetMode="External"/><Relationship Id="rId13" Type="http://schemas.openxmlformats.org/officeDocument/2006/relationships/hyperlink" Target="mailto:XXxa22?pdTA66-S@" TargetMode="External"/><Relationship Id="rId18" Type="http://schemas.openxmlformats.org/officeDocument/2006/relationships/comments" Target="../comments3.xml"/><Relationship Id="rId3" Type="http://schemas.openxmlformats.org/officeDocument/2006/relationships/hyperlink" Target="mailto:XXxa22?pdTA66-S@" TargetMode="External"/><Relationship Id="rId7" Type="http://schemas.openxmlformats.org/officeDocument/2006/relationships/hyperlink" Target="mailto:XXxa22?pdTA66-S@" TargetMode="External"/><Relationship Id="rId12" Type="http://schemas.openxmlformats.org/officeDocument/2006/relationships/hyperlink" Target="mailto:Bern.Sachbearbeiterin@diartis.ch" TargetMode="External"/><Relationship Id="rId17" Type="http://schemas.openxmlformats.org/officeDocument/2006/relationships/vmlDrawing" Target="../drawings/vmlDrawing3.vml"/><Relationship Id="rId2" Type="http://schemas.openxmlformats.org/officeDocument/2006/relationships/hyperlink" Target="mailto:Bern.Sachbearbeiterin@diartis.ch" TargetMode="External"/><Relationship Id="rId16" Type="http://schemas.openxmlformats.org/officeDocument/2006/relationships/hyperlink" Target="https://dev.aventis.swiss/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ventis-gemeinde-ma@diartis.ch" TargetMode="External"/><Relationship Id="rId11" Type="http://schemas.openxmlformats.org/officeDocument/2006/relationships/hyperlink" Target="mailto:XXxa22?pdTA66-S@" TargetMode="External"/><Relationship Id="rId5" Type="http://schemas.openxmlformats.org/officeDocument/2006/relationships/hyperlink" Target="mailto:XXxa22?pdTA66-S@" TargetMode="External"/><Relationship Id="rId15" Type="http://schemas.openxmlformats.org/officeDocument/2006/relationships/hyperlink" Target="mailto:XXxa22?pdTA66-S@" TargetMode="External"/><Relationship Id="rId10" Type="http://schemas.openxmlformats.org/officeDocument/2006/relationships/hyperlink" Target="mailto:aventis-gemeinde-ma@diartis.ch" TargetMode="External"/><Relationship Id="rId4" Type="http://schemas.openxmlformats.org/officeDocument/2006/relationships/hyperlink" Target="mailto:Bern.Sachbearbeiterin@diartis.ch" TargetMode="External"/><Relationship Id="rId9" Type="http://schemas.openxmlformats.org/officeDocument/2006/relationships/hyperlink" Target="mailto:XXxa22?pdTA66-S@" TargetMode="External"/><Relationship Id="rId14" Type="http://schemas.openxmlformats.org/officeDocument/2006/relationships/hyperlink" Target="mailto:Bern.Sachbearbeiterin@diartis.ch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XXxa22?pdTA66-S@" TargetMode="External"/><Relationship Id="rId13" Type="http://schemas.openxmlformats.org/officeDocument/2006/relationships/hyperlink" Target="mailto:Bern.Sachbearbeiterin@diartis.ch" TargetMode="External"/><Relationship Id="rId3" Type="http://schemas.openxmlformats.org/officeDocument/2006/relationships/hyperlink" Target="mailto:Bern.Sachbearbeiterin@diartis.ch" TargetMode="External"/><Relationship Id="rId7" Type="http://schemas.openxmlformats.org/officeDocument/2006/relationships/hyperlink" Target="mailto:Bern.Sachbearbeiterin@diartis.ch" TargetMode="External"/><Relationship Id="rId12" Type="http://schemas.openxmlformats.org/officeDocument/2006/relationships/hyperlink" Target="mailto:XXxa22?pdTA66-S@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https://dev.aventis.swiss/" TargetMode="External"/><Relationship Id="rId6" Type="http://schemas.openxmlformats.org/officeDocument/2006/relationships/hyperlink" Target="mailto:XXxa22?pdTA66-S@" TargetMode="External"/><Relationship Id="rId11" Type="http://schemas.openxmlformats.org/officeDocument/2006/relationships/hyperlink" Target="mailto:Bern.Sachbearbeiterin@diartis.ch" TargetMode="External"/><Relationship Id="rId5" Type="http://schemas.openxmlformats.org/officeDocument/2006/relationships/hyperlink" Target="mailto:Bern.Sachbearbeiterin@diartis.ch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mailto:XXxa22?pdTA66-S@" TargetMode="External"/><Relationship Id="rId4" Type="http://schemas.openxmlformats.org/officeDocument/2006/relationships/hyperlink" Target="mailto:XXxa22?pdTA66-S@" TargetMode="External"/><Relationship Id="rId9" Type="http://schemas.openxmlformats.org/officeDocument/2006/relationships/hyperlink" Target="mailto:aventis-gemeinde-ma@diartis.ch" TargetMode="External"/><Relationship Id="rId14" Type="http://schemas.openxmlformats.org/officeDocument/2006/relationships/hyperlink" Target="mailto:XXxa22?pdTA66-S@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Bern.Sachbearbeiterin@diartis.ch" TargetMode="External"/><Relationship Id="rId18" Type="http://schemas.openxmlformats.org/officeDocument/2006/relationships/hyperlink" Target="mailto:XXxa22?pdTA66-S@" TargetMode="External"/><Relationship Id="rId26" Type="http://schemas.openxmlformats.org/officeDocument/2006/relationships/hyperlink" Target="mailto:XXxa22?pdTA66-S@" TargetMode="External"/><Relationship Id="rId39" Type="http://schemas.openxmlformats.org/officeDocument/2006/relationships/hyperlink" Target="mailto:Bern.Sachbearbeiterin@diartis.ch" TargetMode="External"/><Relationship Id="rId21" Type="http://schemas.openxmlformats.org/officeDocument/2006/relationships/hyperlink" Target="mailto:Bern.Sachbearbeiterin@diartis.ch" TargetMode="External"/><Relationship Id="rId34" Type="http://schemas.openxmlformats.org/officeDocument/2006/relationships/hyperlink" Target="mailto:XXxa22?pdTA66-S@" TargetMode="External"/><Relationship Id="rId42" Type="http://schemas.openxmlformats.org/officeDocument/2006/relationships/hyperlink" Target="mailto:XXxa22?pdTA66-S@" TargetMode="External"/><Relationship Id="rId47" Type="http://schemas.openxmlformats.org/officeDocument/2006/relationships/hyperlink" Target="mailto:Bern.Sachbearbeiterin@diartis.ch" TargetMode="External"/><Relationship Id="rId7" Type="http://schemas.openxmlformats.org/officeDocument/2006/relationships/hyperlink" Target="mailto:Bern.Sachbearbeiterin@diartis.ch" TargetMode="External"/><Relationship Id="rId2" Type="http://schemas.openxmlformats.org/officeDocument/2006/relationships/hyperlink" Target="mailto:abc@gmail.com" TargetMode="External"/><Relationship Id="rId16" Type="http://schemas.openxmlformats.org/officeDocument/2006/relationships/hyperlink" Target="mailto:XXxa22?pdTA66-S@" TargetMode="External"/><Relationship Id="rId29" Type="http://schemas.openxmlformats.org/officeDocument/2006/relationships/hyperlink" Target="mailto:Bern.Sachbearbeiterin@diartis.ch" TargetMode="External"/><Relationship Id="rId11" Type="http://schemas.openxmlformats.org/officeDocument/2006/relationships/hyperlink" Target="mailto:Bern.Sachbearbeiterin@diartis.ch" TargetMode="External"/><Relationship Id="rId24" Type="http://schemas.openxmlformats.org/officeDocument/2006/relationships/hyperlink" Target="mailto:XXxa22?pdTA66-S@" TargetMode="External"/><Relationship Id="rId32" Type="http://schemas.openxmlformats.org/officeDocument/2006/relationships/hyperlink" Target="mailto:XXxa22?pdTA66-S@" TargetMode="External"/><Relationship Id="rId37" Type="http://schemas.openxmlformats.org/officeDocument/2006/relationships/hyperlink" Target="mailto:Bern.Sachbearbeiterin@diartis.ch" TargetMode="External"/><Relationship Id="rId40" Type="http://schemas.openxmlformats.org/officeDocument/2006/relationships/hyperlink" Target="mailto:XXxa22?pdTA66-S@" TargetMode="External"/><Relationship Id="rId45" Type="http://schemas.openxmlformats.org/officeDocument/2006/relationships/hyperlink" Target="mailto:Bern.Sachbearbeiterin@diartis.ch" TargetMode="External"/><Relationship Id="rId5" Type="http://schemas.openxmlformats.org/officeDocument/2006/relationships/hyperlink" Target="mailto:Bern.Sachbearbeiterin@diartis.ch" TargetMode="External"/><Relationship Id="rId15" Type="http://schemas.openxmlformats.org/officeDocument/2006/relationships/hyperlink" Target="mailto:Bern.Sachbearbeiterin@diartis.ch" TargetMode="External"/><Relationship Id="rId23" Type="http://schemas.openxmlformats.org/officeDocument/2006/relationships/hyperlink" Target="mailto:Bern.Sachbearbeiterin@diartis.ch" TargetMode="External"/><Relationship Id="rId28" Type="http://schemas.openxmlformats.org/officeDocument/2006/relationships/hyperlink" Target="mailto:XXxa22?pdTA66-S@" TargetMode="External"/><Relationship Id="rId36" Type="http://schemas.openxmlformats.org/officeDocument/2006/relationships/hyperlink" Target="mailto:XXxa22?pdTA66-S@" TargetMode="External"/><Relationship Id="rId49" Type="http://schemas.openxmlformats.org/officeDocument/2006/relationships/drawing" Target="../drawings/drawing1.xml"/><Relationship Id="rId10" Type="http://schemas.openxmlformats.org/officeDocument/2006/relationships/hyperlink" Target="mailto:XXxa22?pdTA66-S@" TargetMode="External"/><Relationship Id="rId19" Type="http://schemas.openxmlformats.org/officeDocument/2006/relationships/hyperlink" Target="mailto:Bern.Sachbearbeiterin@diartis.ch" TargetMode="External"/><Relationship Id="rId31" Type="http://schemas.openxmlformats.org/officeDocument/2006/relationships/hyperlink" Target="mailto:Bern.Sachbearbeiterin@diartis.ch" TargetMode="External"/><Relationship Id="rId44" Type="http://schemas.openxmlformats.org/officeDocument/2006/relationships/hyperlink" Target="mailto:XXxa22?pdTA66-S@" TargetMode="External"/><Relationship Id="rId4" Type="http://schemas.openxmlformats.org/officeDocument/2006/relationships/hyperlink" Target="mailto:XXxa22?pdTA66-S@" TargetMode="External"/><Relationship Id="rId9" Type="http://schemas.openxmlformats.org/officeDocument/2006/relationships/hyperlink" Target="mailto:Bern.Sachbearbeiterin@diartis.ch" TargetMode="External"/><Relationship Id="rId14" Type="http://schemas.openxmlformats.org/officeDocument/2006/relationships/hyperlink" Target="mailto:XXxa22?pdTA66-S@" TargetMode="External"/><Relationship Id="rId22" Type="http://schemas.openxmlformats.org/officeDocument/2006/relationships/hyperlink" Target="mailto:XXxa22?pdTA66-S@" TargetMode="External"/><Relationship Id="rId27" Type="http://schemas.openxmlformats.org/officeDocument/2006/relationships/hyperlink" Target="mailto:Bern.Sachbearbeiterin@diartis.ch" TargetMode="External"/><Relationship Id="rId30" Type="http://schemas.openxmlformats.org/officeDocument/2006/relationships/hyperlink" Target="mailto:XXxa22?pdTA66-S@" TargetMode="External"/><Relationship Id="rId35" Type="http://schemas.openxmlformats.org/officeDocument/2006/relationships/hyperlink" Target="mailto:Bern.Sachbearbeiterin@diartis.ch" TargetMode="External"/><Relationship Id="rId43" Type="http://schemas.openxmlformats.org/officeDocument/2006/relationships/hyperlink" Target="mailto:aventis-gemeinde-ma@diartis.ch" TargetMode="External"/><Relationship Id="rId48" Type="http://schemas.openxmlformats.org/officeDocument/2006/relationships/hyperlink" Target="mailto:XXxa22?pdTA66-S@" TargetMode="External"/><Relationship Id="rId8" Type="http://schemas.openxmlformats.org/officeDocument/2006/relationships/hyperlink" Target="mailto:XXxa22?pdTA66-S@" TargetMode="External"/><Relationship Id="rId3" Type="http://schemas.openxmlformats.org/officeDocument/2006/relationships/hyperlink" Target="mailto:Bern.Sachbearbeiterin@diartis.ch" TargetMode="External"/><Relationship Id="rId12" Type="http://schemas.openxmlformats.org/officeDocument/2006/relationships/hyperlink" Target="mailto:XXxa22?pdTA66-S@" TargetMode="External"/><Relationship Id="rId17" Type="http://schemas.openxmlformats.org/officeDocument/2006/relationships/hyperlink" Target="mailto:Bern.Sachbearbeiterin@diartis.ch" TargetMode="External"/><Relationship Id="rId25" Type="http://schemas.openxmlformats.org/officeDocument/2006/relationships/hyperlink" Target="mailto:Bern.Sachbearbeiterin@diartis.ch" TargetMode="External"/><Relationship Id="rId33" Type="http://schemas.openxmlformats.org/officeDocument/2006/relationships/hyperlink" Target="mailto:Bern.Sachbearbeiterin@diartis.ch" TargetMode="External"/><Relationship Id="rId38" Type="http://schemas.openxmlformats.org/officeDocument/2006/relationships/hyperlink" Target="mailto:XXxa22?pdTA66-S@" TargetMode="External"/><Relationship Id="rId46" Type="http://schemas.openxmlformats.org/officeDocument/2006/relationships/hyperlink" Target="mailto:XXxa22?pdTA66-S@" TargetMode="External"/><Relationship Id="rId20" Type="http://schemas.openxmlformats.org/officeDocument/2006/relationships/hyperlink" Target="mailto:XXxa22?pdTA66-S@" TargetMode="External"/><Relationship Id="rId41" Type="http://schemas.openxmlformats.org/officeDocument/2006/relationships/hyperlink" Target="mailto:Bern.Sachbearbeiterin@diartis.ch" TargetMode="External"/><Relationship Id="rId1" Type="http://schemas.openxmlformats.org/officeDocument/2006/relationships/hyperlink" Target="https://dev.aventis.swiss/" TargetMode="External"/><Relationship Id="rId6" Type="http://schemas.openxmlformats.org/officeDocument/2006/relationships/hyperlink" Target="mailto:XXxa22?pdTA66-S@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XXxa22?pdTA66-S@" TargetMode="External"/><Relationship Id="rId3" Type="http://schemas.openxmlformats.org/officeDocument/2006/relationships/hyperlink" Target="mailto:aventis-gemeinde-ma@diartis.ch" TargetMode="External"/><Relationship Id="rId7" Type="http://schemas.openxmlformats.org/officeDocument/2006/relationships/hyperlink" Target="mailto:Bern.Sachbearbeiterin@diartis.ch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https://dev.aventis.swiss/" TargetMode="External"/><Relationship Id="rId6" Type="http://schemas.openxmlformats.org/officeDocument/2006/relationships/hyperlink" Target="mailto:XXxa22?pdTA66-S@" TargetMode="External"/><Relationship Id="rId11" Type="http://schemas.openxmlformats.org/officeDocument/2006/relationships/comments" Target="../comments4.xml"/><Relationship Id="rId5" Type="http://schemas.openxmlformats.org/officeDocument/2006/relationships/hyperlink" Target="mailto:Bern.Sachbearbeiterin@diartis.ch" TargetMode="External"/><Relationship Id="rId10" Type="http://schemas.openxmlformats.org/officeDocument/2006/relationships/vmlDrawing" Target="../drawings/vmlDrawing4.vml"/><Relationship Id="rId4" Type="http://schemas.openxmlformats.org/officeDocument/2006/relationships/hyperlink" Target="mailto:XXxa22?pdTA66-S@" TargetMode="External"/><Relationship Id="rId9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XXxa22?pdTA66-S@" TargetMode="External"/><Relationship Id="rId3" Type="http://schemas.openxmlformats.org/officeDocument/2006/relationships/hyperlink" Target="mailto:aventis-gemeinde-ma@diartis.ch" TargetMode="External"/><Relationship Id="rId7" Type="http://schemas.openxmlformats.org/officeDocument/2006/relationships/hyperlink" Target="mailto:Bern.Sachbearbeiterin@diartis.ch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https://dev.aventis.swiss/" TargetMode="External"/><Relationship Id="rId6" Type="http://schemas.openxmlformats.org/officeDocument/2006/relationships/hyperlink" Target="mailto:XXxa22?pdTA66-S@" TargetMode="External"/><Relationship Id="rId11" Type="http://schemas.openxmlformats.org/officeDocument/2006/relationships/comments" Target="../comments5.xml"/><Relationship Id="rId5" Type="http://schemas.openxmlformats.org/officeDocument/2006/relationships/hyperlink" Target="mailto:Bern.Sachbearbeiterin@diartis.ch" TargetMode="External"/><Relationship Id="rId10" Type="http://schemas.openxmlformats.org/officeDocument/2006/relationships/vmlDrawing" Target="../drawings/vmlDrawing5.vml"/><Relationship Id="rId4" Type="http://schemas.openxmlformats.org/officeDocument/2006/relationships/hyperlink" Target="mailto:XXxa22?pdTA66-S@" TargetMode="External"/><Relationship Id="rId9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Bern.Sachbearbeiterin@diartis.ch" TargetMode="External"/><Relationship Id="rId13" Type="http://schemas.openxmlformats.org/officeDocument/2006/relationships/hyperlink" Target="mailto:XXxa22?pdTA66-S@" TargetMode="External"/><Relationship Id="rId18" Type="http://schemas.openxmlformats.org/officeDocument/2006/relationships/comments" Target="../comments6.xml"/><Relationship Id="rId3" Type="http://schemas.openxmlformats.org/officeDocument/2006/relationships/hyperlink" Target="mailto:XXxa22?pdTA66-S@" TargetMode="External"/><Relationship Id="rId7" Type="http://schemas.openxmlformats.org/officeDocument/2006/relationships/hyperlink" Target="mailto:XXxa22?pdTA66-S@" TargetMode="External"/><Relationship Id="rId12" Type="http://schemas.openxmlformats.org/officeDocument/2006/relationships/hyperlink" Target="mailto:Bern.Sachbearbeiterin@diartis.ch" TargetMode="External"/><Relationship Id="rId17" Type="http://schemas.openxmlformats.org/officeDocument/2006/relationships/vmlDrawing" Target="../drawings/vmlDrawing6.vml"/><Relationship Id="rId2" Type="http://schemas.openxmlformats.org/officeDocument/2006/relationships/hyperlink" Target="mailto:Bern.Sachbearbeiterin@diartis.ch" TargetMode="External"/><Relationship Id="rId16" Type="http://schemas.openxmlformats.org/officeDocument/2006/relationships/hyperlink" Target="https://dev.aventis.swiss/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ventis-gemeinde-ma@diartis.ch" TargetMode="External"/><Relationship Id="rId11" Type="http://schemas.openxmlformats.org/officeDocument/2006/relationships/hyperlink" Target="mailto:XXxa22?pdTA66-S@" TargetMode="External"/><Relationship Id="rId5" Type="http://schemas.openxmlformats.org/officeDocument/2006/relationships/hyperlink" Target="mailto:XXxa22?pdTA66-S@" TargetMode="External"/><Relationship Id="rId15" Type="http://schemas.openxmlformats.org/officeDocument/2006/relationships/hyperlink" Target="mailto:XXxa22?pdTA66-S@" TargetMode="External"/><Relationship Id="rId10" Type="http://schemas.openxmlformats.org/officeDocument/2006/relationships/hyperlink" Target="mailto:aventis-gemeinde-ma@diartis.ch" TargetMode="External"/><Relationship Id="rId4" Type="http://schemas.openxmlformats.org/officeDocument/2006/relationships/hyperlink" Target="mailto:Bern.Sachbearbeiterin@diartis.ch" TargetMode="External"/><Relationship Id="rId9" Type="http://schemas.openxmlformats.org/officeDocument/2006/relationships/hyperlink" Target="mailto:XXxa22?pdTA66-S@" TargetMode="External"/><Relationship Id="rId14" Type="http://schemas.openxmlformats.org/officeDocument/2006/relationships/hyperlink" Target="mailto:Bern.Sachbearbeiterin@diartis.ch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dev.aventis.swiss/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https://www.web.ww/" TargetMode="External"/><Relationship Id="rId1" Type="http://schemas.openxmlformats.org/officeDocument/2006/relationships/hyperlink" Target="mailto:ein@zwei.ch" TargetMode="Externa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eb.ww/" TargetMode="External"/><Relationship Id="rId1" Type="http://schemas.openxmlformats.org/officeDocument/2006/relationships/hyperlink" Target="mailto:ein@zwei.ch" TargetMode="Externa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.aventis.swiss/" TargetMode="External"/><Relationship Id="rId2" Type="http://schemas.openxmlformats.org/officeDocument/2006/relationships/hyperlink" Target="mailto:XXxa22?pdTA66-S@" TargetMode="External"/><Relationship Id="rId1" Type="http://schemas.openxmlformats.org/officeDocument/2006/relationships/hyperlink" Target="mailto:Bern.Sachbearbeiterin@diartis.ch" TargetMode="Externa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hyperlink" Target="https://diartis.atlassian.net/wiki/spaces/aventisde/overview" TargetMode="External"/><Relationship Id="rId2" Type="http://schemas.openxmlformats.org/officeDocument/2006/relationships/hyperlink" Target="https://diartis.atlassian.net/wiki/spaces/aventisde/overview" TargetMode="External"/><Relationship Id="rId1" Type="http://schemas.openxmlformats.org/officeDocument/2006/relationships/hyperlink" Target="https://diartis.atlassian.net/wiki/spaces/aventisde/overview" TargetMode="External"/><Relationship Id="rId5" Type="http://schemas.openxmlformats.org/officeDocument/2006/relationships/hyperlink" Target="https://diartis.atlassian.net/wiki/spaces/aventisde/overview" TargetMode="External"/><Relationship Id="rId4" Type="http://schemas.openxmlformats.org/officeDocument/2006/relationships/hyperlink" Target="https://diartis.atlassian.net/wiki/spaces/aventisde/overview" TargetMode="Externa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hyperlink" Target="mailto:e@mailgeschaeft.mail" TargetMode="External"/><Relationship Id="rId1" Type="http://schemas.openxmlformats.org/officeDocument/2006/relationships/hyperlink" Target="mailto:e@mail.mail" TargetMode="Externa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hyperlink" Target="https://dev.aventis.swiss/" TargetMode="Externa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hyperlink" Target="mailto:qwe@sss.ch" TargetMode="External"/><Relationship Id="rId2" Type="http://schemas.openxmlformats.org/officeDocument/2006/relationships/hyperlink" Target="mailto:test@test.ch" TargetMode="External"/><Relationship Id="rId1" Type="http://schemas.openxmlformats.org/officeDocument/2006/relationships/hyperlink" Target="mailto:test@test.ch" TargetMode="External"/><Relationship Id="rId4" Type="http://schemas.openxmlformats.org/officeDocument/2006/relationships/hyperlink" Target="mailto:ww@ddd.ch" TargetMode="Externa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hyperlink" Target="mailto:ahd@dd.ch" TargetMode="External"/><Relationship Id="rId2" Type="http://schemas.openxmlformats.org/officeDocument/2006/relationships/hyperlink" Target="mailto:test@test.ch" TargetMode="External"/><Relationship Id="rId1" Type="http://schemas.openxmlformats.org/officeDocument/2006/relationships/hyperlink" Target="mailto:test@test.ch" TargetMode="External"/></Relationships>
</file>

<file path=xl/worksheets/_rels/sheet86.xml.rels><?xml version="1.0" encoding="UTF-8" standalone="yes"?>
<Relationships xmlns="http://schemas.openxmlformats.org/package/2006/relationships"><Relationship Id="rId8" Type="http://schemas.openxmlformats.org/officeDocument/2006/relationships/hyperlink" Target="mailto:Bern.Sachbearbeiterin@diartis.ch" TargetMode="External"/><Relationship Id="rId13" Type="http://schemas.openxmlformats.org/officeDocument/2006/relationships/hyperlink" Target="mailto:XXxa22?pdTA66-S@" TargetMode="External"/><Relationship Id="rId3" Type="http://schemas.openxmlformats.org/officeDocument/2006/relationships/hyperlink" Target="mailto:abc@gmail.com" TargetMode="External"/><Relationship Id="rId7" Type="http://schemas.openxmlformats.org/officeDocument/2006/relationships/hyperlink" Target="mailto:XXxa22?pdTA66-S@" TargetMode="External"/><Relationship Id="rId12" Type="http://schemas.openxmlformats.org/officeDocument/2006/relationships/hyperlink" Target="mailto:Bern.Sachbearbeiterin@diartis.ch" TargetMode="External"/><Relationship Id="rId17" Type="http://schemas.openxmlformats.org/officeDocument/2006/relationships/hyperlink" Target="mailto:XXxa22?pdTA66-S@" TargetMode="External"/><Relationship Id="rId2" Type="http://schemas.openxmlformats.org/officeDocument/2006/relationships/hyperlink" Target="mailto:bern.sozialarbeiterin1a@diartis.ch" TargetMode="External"/><Relationship Id="rId16" Type="http://schemas.openxmlformats.org/officeDocument/2006/relationships/hyperlink" Target="mailto:Bern.Sachbearbeiterin@diartis.ch" TargetMode="External"/><Relationship Id="rId1" Type="http://schemas.openxmlformats.org/officeDocument/2006/relationships/hyperlink" Target="https://dev.aventis.swiss/" TargetMode="External"/><Relationship Id="rId6" Type="http://schemas.openxmlformats.org/officeDocument/2006/relationships/hyperlink" Target="mailto:Bern.Sachbearbeiterin@diartis.ch" TargetMode="External"/><Relationship Id="rId11" Type="http://schemas.openxmlformats.org/officeDocument/2006/relationships/hyperlink" Target="mailto:XXxa22?pdTA66-S@" TargetMode="External"/><Relationship Id="rId5" Type="http://schemas.openxmlformats.org/officeDocument/2006/relationships/hyperlink" Target="mailto:XXxa22?pdTA66-S@" TargetMode="External"/><Relationship Id="rId15" Type="http://schemas.openxmlformats.org/officeDocument/2006/relationships/hyperlink" Target="mailto:XXxa22?pdTA66-S@" TargetMode="External"/><Relationship Id="rId10" Type="http://schemas.openxmlformats.org/officeDocument/2006/relationships/hyperlink" Target="mailto:aventis-gemeinde-ma@diartis.ch" TargetMode="External"/><Relationship Id="rId4" Type="http://schemas.openxmlformats.org/officeDocument/2006/relationships/hyperlink" Target="mailto:Bern.Sachbearbeiterin@diartis.ch" TargetMode="External"/><Relationship Id="rId9" Type="http://schemas.openxmlformats.org/officeDocument/2006/relationships/hyperlink" Target="mailto:XXxa22?pdTA66-S@" TargetMode="External"/><Relationship Id="rId14" Type="http://schemas.openxmlformats.org/officeDocument/2006/relationships/hyperlink" Target="mailto:Bern.Sachbearbeiterin@diartis.ch" TargetMode="External"/></Relationships>
</file>

<file path=xl/worksheets/_rels/sheet87.xml.rels><?xml version="1.0" encoding="UTF-8" standalone="yes"?>
<Relationships xmlns="http://schemas.openxmlformats.org/package/2006/relationships"><Relationship Id="rId8" Type="http://schemas.openxmlformats.org/officeDocument/2006/relationships/hyperlink" Target="mailto:XXxa22?pdTA66-S@" TargetMode="External"/><Relationship Id="rId3" Type="http://schemas.openxmlformats.org/officeDocument/2006/relationships/hyperlink" Target="mailto:Bern.Sachbearbeiterin@diartis.ch" TargetMode="External"/><Relationship Id="rId7" Type="http://schemas.openxmlformats.org/officeDocument/2006/relationships/hyperlink" Target="mailto:Bern.Sachbearbeiterin@diartis.ch" TargetMode="External"/><Relationship Id="rId12" Type="http://schemas.openxmlformats.org/officeDocument/2006/relationships/hyperlink" Target="mailto:XXxa22?pdTA66-S@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https://dev.aventis.swiss/" TargetMode="External"/><Relationship Id="rId6" Type="http://schemas.openxmlformats.org/officeDocument/2006/relationships/hyperlink" Target="mailto:XXxa22?pdTA66-S@" TargetMode="External"/><Relationship Id="rId11" Type="http://schemas.openxmlformats.org/officeDocument/2006/relationships/hyperlink" Target="mailto:Bern.Sachbearbeiterin@diartis.ch" TargetMode="External"/><Relationship Id="rId5" Type="http://schemas.openxmlformats.org/officeDocument/2006/relationships/hyperlink" Target="mailto:Bern.Sachbearbeiterin@diartis.ch" TargetMode="External"/><Relationship Id="rId10" Type="http://schemas.openxmlformats.org/officeDocument/2006/relationships/hyperlink" Target="mailto:XXxa22?pdTA66-S@" TargetMode="External"/><Relationship Id="rId4" Type="http://schemas.openxmlformats.org/officeDocument/2006/relationships/hyperlink" Target="mailto:XXxa22?pdTA66-S@" TargetMode="External"/><Relationship Id="rId9" Type="http://schemas.openxmlformats.org/officeDocument/2006/relationships/hyperlink" Target="mailto:aventis-gemeinde-ma@diartis.ch" TargetMode="External"/></Relationships>
</file>

<file path=xl/worksheets/_rels/sheet88.xml.rels><?xml version="1.0" encoding="UTF-8" standalone="yes"?>
<Relationships xmlns="http://schemas.openxmlformats.org/package/2006/relationships"><Relationship Id="rId8" Type="http://schemas.openxmlformats.org/officeDocument/2006/relationships/hyperlink" Target="mailto:XXxa22?pdTA66-S@" TargetMode="External"/><Relationship Id="rId3" Type="http://schemas.openxmlformats.org/officeDocument/2006/relationships/hyperlink" Target="mailto:Bern.Sachbearbeiterin@diartis.ch" TargetMode="External"/><Relationship Id="rId7" Type="http://schemas.openxmlformats.org/officeDocument/2006/relationships/hyperlink" Target="mailto:Bern.Sachbearbeiterin@diartis.ch" TargetMode="External"/><Relationship Id="rId12" Type="http://schemas.openxmlformats.org/officeDocument/2006/relationships/hyperlink" Target="mailto:XXxa22?pdTA66-S@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https://dev.aventis.swiss/" TargetMode="External"/><Relationship Id="rId6" Type="http://schemas.openxmlformats.org/officeDocument/2006/relationships/hyperlink" Target="mailto:XXxa22?pdTA66-S@" TargetMode="External"/><Relationship Id="rId11" Type="http://schemas.openxmlformats.org/officeDocument/2006/relationships/hyperlink" Target="mailto:Bern.Sachbearbeiterin@diartis.ch" TargetMode="External"/><Relationship Id="rId5" Type="http://schemas.openxmlformats.org/officeDocument/2006/relationships/hyperlink" Target="mailto:Bern.Sachbearbeiterin@diartis.ch" TargetMode="External"/><Relationship Id="rId10" Type="http://schemas.openxmlformats.org/officeDocument/2006/relationships/hyperlink" Target="mailto:XXxa22?pdTA66-S@" TargetMode="External"/><Relationship Id="rId4" Type="http://schemas.openxmlformats.org/officeDocument/2006/relationships/hyperlink" Target="mailto:XXxa22?pdTA66-S@" TargetMode="External"/><Relationship Id="rId9" Type="http://schemas.openxmlformats.org/officeDocument/2006/relationships/hyperlink" Target="mailto:aventis-gemeinde-ma@diartis.ch" TargetMode="External"/></Relationships>
</file>

<file path=xl/worksheets/_rels/sheet89.xml.rels><?xml version="1.0" encoding="UTF-8" standalone="yes"?>
<Relationships xmlns="http://schemas.openxmlformats.org/package/2006/relationships"><Relationship Id="rId8" Type="http://schemas.openxmlformats.org/officeDocument/2006/relationships/hyperlink" Target="mailto:XXxa22?pdTA66-S@" TargetMode="External"/><Relationship Id="rId3" Type="http://schemas.openxmlformats.org/officeDocument/2006/relationships/hyperlink" Target="mailto:Bern.Sachbearbeiterin@diartis.ch" TargetMode="External"/><Relationship Id="rId7" Type="http://schemas.openxmlformats.org/officeDocument/2006/relationships/hyperlink" Target="mailto:Bern.Sachbearbeiterin@diartis.ch" TargetMode="External"/><Relationship Id="rId12" Type="http://schemas.openxmlformats.org/officeDocument/2006/relationships/hyperlink" Target="mailto:XXxa22?pdTA66-S@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https://dev.aventis.swiss/" TargetMode="External"/><Relationship Id="rId6" Type="http://schemas.openxmlformats.org/officeDocument/2006/relationships/hyperlink" Target="mailto:XXxa22?pdTA66-S@" TargetMode="External"/><Relationship Id="rId11" Type="http://schemas.openxmlformats.org/officeDocument/2006/relationships/hyperlink" Target="mailto:Bern.Sachbearbeiterin@diartis.ch" TargetMode="External"/><Relationship Id="rId5" Type="http://schemas.openxmlformats.org/officeDocument/2006/relationships/hyperlink" Target="mailto:Bern.Sachbearbeiterin@diartis.ch" TargetMode="External"/><Relationship Id="rId10" Type="http://schemas.openxmlformats.org/officeDocument/2006/relationships/hyperlink" Target="mailto:XXxa22?pdTA66-S@" TargetMode="External"/><Relationship Id="rId4" Type="http://schemas.openxmlformats.org/officeDocument/2006/relationships/hyperlink" Target="mailto:XXxa22?pdTA66-S@" TargetMode="External"/><Relationship Id="rId9" Type="http://schemas.openxmlformats.org/officeDocument/2006/relationships/hyperlink" Target="mailto:aventis-gemeinde-ma@diartis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DE67"/>
  <sheetViews>
    <sheetView topLeftCell="D1" zoomScale="115" zoomScaleNormal="115" workbookViewId="0">
      <selection activeCell="M4" sqref="M4"/>
    </sheetView>
  </sheetViews>
  <sheetFormatPr defaultColWidth="9.140625" defaultRowHeight="14.25" customHeight="1"/>
  <cols>
    <col min="1" max="1" width="4.85546875" style="1" customWidth="1"/>
    <col min="2" max="2" width="31.7109375" style="2" customWidth="1"/>
    <col min="3" max="3" width="130" style="2" customWidth="1"/>
    <col min="4" max="4" width="9.140625" style="2" customWidth="1"/>
    <col min="5" max="5" width="9.85546875" style="3" customWidth="1"/>
    <col min="6" max="6" width="7.7109375" style="2" customWidth="1"/>
    <col min="7" max="7" width="11.28515625" style="2" customWidth="1"/>
    <col min="8" max="8" width="4" style="2" customWidth="1"/>
    <col min="9" max="9" width="10.5703125" style="2" customWidth="1"/>
    <col min="10" max="10" width="5" style="2" customWidth="1"/>
    <col min="11" max="11" width="11.42578125" style="2" customWidth="1"/>
    <col min="12" max="12" width="4.7109375" style="2" customWidth="1"/>
    <col min="13" max="13" width="24.42578125" style="2" customWidth="1"/>
    <col min="14" max="14" width="9.42578125" style="2" customWidth="1"/>
    <col min="15" max="15" width="13.85546875" style="2" customWidth="1"/>
    <col min="16" max="16" width="3" style="2" customWidth="1"/>
    <col min="17" max="17" width="15" style="2" customWidth="1"/>
    <col min="18" max="18" width="12" style="4" customWidth="1"/>
    <col min="19" max="19" width="14.28515625" style="4" customWidth="1"/>
    <col min="20" max="20" width="10.28515625" style="2" customWidth="1"/>
    <col min="21" max="21" width="9.7109375" style="2" customWidth="1"/>
    <col min="22" max="22" width="9.140625" style="4" customWidth="1"/>
    <col min="23" max="23" width="12.7109375" style="2" hidden="1" customWidth="1"/>
    <col min="24" max="24" width="20" style="2" hidden="1" customWidth="1"/>
    <col min="25" max="25" width="50" style="2" hidden="1" customWidth="1"/>
    <col min="26" max="26" width="20" style="2" hidden="1" customWidth="1"/>
    <col min="27" max="27" width="50" style="2" hidden="1" customWidth="1"/>
    <col min="28" max="28" width="20" style="2" hidden="1" customWidth="1"/>
    <col min="29" max="29" width="50" style="2" hidden="1" customWidth="1"/>
    <col min="30" max="30" width="20" style="2" hidden="1" customWidth="1"/>
    <col min="31" max="31" width="50" style="2" hidden="1" customWidth="1"/>
    <col min="32" max="32" width="20" style="2" hidden="1" customWidth="1"/>
    <col min="33" max="33" width="50" style="2" hidden="1" customWidth="1"/>
    <col min="34" max="34" width="9.85546875" style="2" customWidth="1"/>
    <col min="35" max="35" width="9.140625" style="4" customWidth="1"/>
    <col min="36" max="36" width="9.85546875" style="2" customWidth="1"/>
    <col min="37" max="37" width="9.140625" style="4" customWidth="1"/>
    <col min="38" max="38" width="9.5703125" style="2" customWidth="1"/>
    <col min="39" max="39" width="9.140625" style="4" customWidth="1"/>
    <col min="40" max="40" width="9" style="2" customWidth="1"/>
    <col min="41" max="41" width="9.140625" style="4" customWidth="1"/>
    <col min="42" max="42" width="10" style="2" customWidth="1"/>
    <col min="43" max="43" width="9.140625" style="4" customWidth="1"/>
    <col min="44" max="44" width="11.42578125" style="2" customWidth="1"/>
    <col min="45" max="45" width="9.140625" style="4" customWidth="1"/>
    <col min="46" max="46" width="11.140625" style="2" customWidth="1"/>
    <col min="47" max="47" width="9.140625" style="4" customWidth="1"/>
    <col min="48" max="48" width="11.140625" style="2" customWidth="1"/>
    <col min="49" max="49" width="9.140625" style="4" customWidth="1"/>
    <col min="50" max="50" width="11.140625" style="2" customWidth="1"/>
    <col min="51" max="51" width="9.140625" style="4" customWidth="1"/>
    <col min="52" max="52" width="30" style="2" customWidth="1"/>
    <col min="53" max="53" width="50" style="2" customWidth="1"/>
    <col min="54" max="54" width="30" style="2" customWidth="1"/>
    <col min="55" max="55" width="50" style="2" customWidth="1"/>
    <col min="56" max="56" width="20" style="2" customWidth="1"/>
    <col min="57" max="57" width="50" style="2" customWidth="1"/>
    <col min="58" max="58" width="20" style="2" customWidth="1"/>
    <col min="59" max="59" width="50" style="2" customWidth="1"/>
    <col min="60" max="60" width="20" style="2" customWidth="1"/>
    <col min="61" max="61" width="50" style="2" customWidth="1"/>
    <col min="62" max="62" width="20" style="2" customWidth="1"/>
    <col min="63" max="63" width="50" style="2" customWidth="1"/>
    <col min="64" max="64" width="20" style="2" customWidth="1"/>
    <col min="65" max="65" width="50" style="2" customWidth="1"/>
    <col min="66" max="66" width="20" style="2" customWidth="1"/>
    <col min="67" max="67" width="50" style="2" customWidth="1"/>
    <col min="68" max="68" width="20" style="2" customWidth="1"/>
    <col min="69" max="69" width="50" style="2" customWidth="1"/>
    <col min="70" max="70" width="20" style="2" customWidth="1"/>
    <col min="71" max="71" width="50" style="2" customWidth="1"/>
    <col min="72" max="72" width="20" style="2" customWidth="1"/>
    <col min="73" max="73" width="50" style="2" customWidth="1"/>
    <col min="74" max="74" width="20" style="2" customWidth="1"/>
    <col min="75" max="75" width="50" style="2" customWidth="1"/>
    <col min="76" max="76" width="20" style="2" customWidth="1"/>
    <col min="77" max="77" width="50" style="2" customWidth="1"/>
    <col min="78" max="78" width="20" style="2" customWidth="1"/>
    <col min="79" max="79" width="50" style="2" customWidth="1"/>
    <col min="80" max="80" width="20" style="2" customWidth="1"/>
    <col min="81" max="81" width="50" style="2" customWidth="1"/>
    <col min="82" max="82" width="20" style="2" customWidth="1"/>
    <col min="83" max="83" width="50" style="2" customWidth="1"/>
    <col min="84" max="84" width="20" style="2" customWidth="1"/>
    <col min="85" max="85" width="50" style="2" customWidth="1"/>
    <col min="86" max="86" width="20" style="2" customWidth="1"/>
    <col min="87" max="87" width="50" style="2" customWidth="1"/>
    <col min="88" max="88" width="20" style="2" customWidth="1"/>
    <col min="89" max="89" width="50" style="2" customWidth="1"/>
    <col min="90" max="90" width="20" style="2" customWidth="1"/>
    <col min="91" max="91" width="50" style="2" customWidth="1"/>
    <col min="92" max="92" width="20" style="2" customWidth="1"/>
    <col min="93" max="93" width="50" style="2" customWidth="1"/>
    <col min="94" max="94" width="20" style="2" customWidth="1"/>
    <col min="95" max="95" width="50" style="2" customWidth="1"/>
    <col min="96" max="96" width="20" style="2" customWidth="1"/>
    <col min="97" max="97" width="50" style="2" customWidth="1"/>
    <col min="98" max="98" width="20" style="2" customWidth="1"/>
    <col min="99" max="99" width="50" style="2" customWidth="1"/>
    <col min="100" max="100" width="20" style="2" customWidth="1"/>
    <col min="101" max="101" width="50" style="2" customWidth="1"/>
    <col min="102" max="102" width="20" style="2" customWidth="1"/>
    <col min="103" max="103" width="50" style="2" customWidth="1"/>
    <col min="104" max="104" width="20" style="2" customWidth="1"/>
    <col min="105" max="105" width="50" style="2" customWidth="1"/>
    <col min="106" max="106" width="20" style="2" customWidth="1"/>
    <col min="107" max="107" width="50" style="2" customWidth="1"/>
    <col min="108" max="108" width="20" style="2" customWidth="1"/>
    <col min="109" max="109" width="50" style="2" customWidth="1"/>
    <col min="110" max="16384" width="9.140625" style="2"/>
  </cols>
  <sheetData>
    <row r="1" spans="1:109" s="53" customFormat="1" ht="14.25" customHeight="1">
      <c r="A1" s="5" t="s">
        <v>0</v>
      </c>
      <c r="B1" s="5" t="s">
        <v>1</v>
      </c>
      <c r="C1" s="5" t="s">
        <v>2</v>
      </c>
      <c r="D1" s="5" t="s">
        <v>3</v>
      </c>
      <c r="E1" s="1190"/>
      <c r="F1" s="53" t="s">
        <v>4</v>
      </c>
      <c r="G1" s="2558">
        <f>30*1000*SpeedFaktor</f>
        <v>30000</v>
      </c>
      <c r="H1" s="53">
        <v>10</v>
      </c>
      <c r="R1" s="10"/>
      <c r="S1" s="94" t="s">
        <v>5</v>
      </c>
      <c r="T1" s="8" t="s">
        <v>6</v>
      </c>
      <c r="U1" s="53" t="s">
        <v>7</v>
      </c>
      <c r="V1" s="60" t="s">
        <v>8</v>
      </c>
      <c r="X1" s="1191" t="s">
        <v>1303</v>
      </c>
      <c r="Y1" s="1192" t="s">
        <v>572</v>
      </c>
      <c r="Z1" s="1193" t="s">
        <v>1306</v>
      </c>
      <c r="AA1" s="1194" t="s">
        <v>572</v>
      </c>
      <c r="AB1" s="1195" t="s">
        <v>1311</v>
      </c>
      <c r="AC1" s="1196" t="s">
        <v>572</v>
      </c>
      <c r="AD1" s="1197" t="s">
        <v>1318</v>
      </c>
      <c r="AE1" s="1198" t="s">
        <v>572</v>
      </c>
      <c r="AF1" s="1199" t="s">
        <v>1322</v>
      </c>
      <c r="AG1" s="1200" t="s">
        <v>572</v>
      </c>
      <c r="AH1" s="53" t="s">
        <v>9</v>
      </c>
      <c r="AI1" s="60" t="s">
        <v>8</v>
      </c>
      <c r="AJ1" s="53" t="s">
        <v>10</v>
      </c>
      <c r="AK1" s="60" t="s">
        <v>8</v>
      </c>
      <c r="AL1" s="53" t="s">
        <v>11</v>
      </c>
      <c r="AM1" s="60" t="s">
        <v>8</v>
      </c>
      <c r="AN1" s="53" t="s">
        <v>12</v>
      </c>
      <c r="AO1" s="60" t="s">
        <v>8</v>
      </c>
      <c r="AP1" s="53" t="s">
        <v>13</v>
      </c>
      <c r="AQ1" s="60" t="s">
        <v>8</v>
      </c>
      <c r="AR1" s="53" t="s">
        <v>14</v>
      </c>
      <c r="AS1" s="60" t="s">
        <v>8</v>
      </c>
      <c r="AT1" s="53" t="s">
        <v>15</v>
      </c>
      <c r="AU1" s="60" t="s">
        <v>8</v>
      </c>
      <c r="AV1" s="53" t="s">
        <v>16</v>
      </c>
      <c r="AW1" s="60" t="s">
        <v>8</v>
      </c>
      <c r="AX1" s="53" t="s">
        <v>17</v>
      </c>
      <c r="AY1" s="60" t="s">
        <v>8</v>
      </c>
      <c r="AZ1" s="53" t="s">
        <v>18</v>
      </c>
      <c r="BA1" s="53" t="s">
        <v>19</v>
      </c>
      <c r="BB1" s="53" t="s">
        <v>1286</v>
      </c>
      <c r="BC1" s="53" t="s">
        <v>20</v>
      </c>
      <c r="BD1" s="1201" t="s">
        <v>1324</v>
      </c>
      <c r="BE1" s="1202" t="s">
        <v>572</v>
      </c>
      <c r="BF1" s="1203" t="s">
        <v>1327</v>
      </c>
      <c r="BG1" s="1204" t="s">
        <v>572</v>
      </c>
      <c r="BH1" s="1238" t="s">
        <v>1335</v>
      </c>
      <c r="BI1" s="1239" t="s">
        <v>572</v>
      </c>
      <c r="BJ1" s="1257" t="s">
        <v>1341</v>
      </c>
      <c r="BK1" s="1258" t="s">
        <v>572</v>
      </c>
      <c r="BL1" s="1389" t="s">
        <v>1347</v>
      </c>
      <c r="BM1" s="1390" t="s">
        <v>572</v>
      </c>
      <c r="BN1" s="1486" t="s">
        <v>1361</v>
      </c>
      <c r="BO1" s="1487" t="s">
        <v>572</v>
      </c>
      <c r="BP1" s="1493" t="s">
        <v>1362</v>
      </c>
      <c r="BQ1" s="1494" t="s">
        <v>572</v>
      </c>
      <c r="BR1" s="1495" t="s">
        <v>1363</v>
      </c>
      <c r="BS1" s="1496" t="s">
        <v>572</v>
      </c>
      <c r="BT1" s="1643" t="s">
        <v>1368</v>
      </c>
      <c r="BU1" s="1644" t="s">
        <v>572</v>
      </c>
      <c r="BV1" s="1784" t="s">
        <v>1371</v>
      </c>
      <c r="BW1" s="1785" t="s">
        <v>572</v>
      </c>
      <c r="BX1" s="1925" t="s">
        <v>1375</v>
      </c>
      <c r="BY1" s="1926" t="s">
        <v>572</v>
      </c>
      <c r="BZ1" s="1977" t="s">
        <v>1387</v>
      </c>
      <c r="CA1" s="1978" t="s">
        <v>572</v>
      </c>
      <c r="CB1" s="1983" t="s">
        <v>1388</v>
      </c>
      <c r="CC1" s="1984" t="s">
        <v>572</v>
      </c>
      <c r="CD1" s="1987" t="s">
        <v>1389</v>
      </c>
      <c r="CE1" s="1988" t="s">
        <v>572</v>
      </c>
      <c r="CF1" s="2000" t="s">
        <v>1392</v>
      </c>
      <c r="CG1" s="2001" t="s">
        <v>572</v>
      </c>
      <c r="CH1" s="2009" t="s">
        <v>1394</v>
      </c>
      <c r="CI1" s="2010" t="s">
        <v>572</v>
      </c>
      <c r="CJ1" s="2037" t="s">
        <v>1397</v>
      </c>
      <c r="CK1" s="2038" t="s">
        <v>572</v>
      </c>
      <c r="CL1" s="2233" t="s">
        <v>1421</v>
      </c>
      <c r="CM1" s="2234" t="s">
        <v>572</v>
      </c>
      <c r="CN1" s="2400" t="s">
        <v>1430</v>
      </c>
      <c r="CO1" s="2401" t="s">
        <v>572</v>
      </c>
      <c r="CP1" s="2559" t="s">
        <v>1442</v>
      </c>
      <c r="CQ1" s="2560" t="s">
        <v>572</v>
      </c>
      <c r="CR1" s="2738" t="s">
        <v>1460</v>
      </c>
      <c r="CS1" s="2739" t="s">
        <v>572</v>
      </c>
      <c r="CT1" s="2906" t="s">
        <v>1472</v>
      </c>
      <c r="CU1" s="2907" t="s">
        <v>572</v>
      </c>
      <c r="CV1" s="3096" t="s">
        <v>1492</v>
      </c>
      <c r="CW1" s="3097" t="s">
        <v>572</v>
      </c>
      <c r="CX1" s="3278" t="s">
        <v>1503</v>
      </c>
      <c r="CY1" s="3279" t="s">
        <v>572</v>
      </c>
      <c r="CZ1" s="3448" t="s">
        <v>1519</v>
      </c>
      <c r="DA1" s="3449" t="s">
        <v>572</v>
      </c>
      <c r="DB1" s="3734" t="s">
        <v>1666</v>
      </c>
      <c r="DC1" s="3735" t="s">
        <v>572</v>
      </c>
      <c r="DD1" s="3961" t="s">
        <v>1717</v>
      </c>
      <c r="DE1" s="3962" t="s">
        <v>572</v>
      </c>
    </row>
    <row r="2" spans="1:109" s="10" customFormat="1" ht="14.25" customHeight="1">
      <c r="A2" s="119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3"/>
      <c r="S2" s="13"/>
      <c r="T2" s="2">
        <v>3063</v>
      </c>
      <c r="U2" s="2">
        <v>1257</v>
      </c>
      <c r="V2" s="14">
        <f>U2/$T2</f>
        <v>0.41038197845249758</v>
      </c>
      <c r="W2" s="2"/>
      <c r="X2" s="2">
        <v>1232</v>
      </c>
      <c r="Y2" s="2"/>
      <c r="Z2" s="2">
        <v>808</v>
      </c>
      <c r="AA2" s="2"/>
      <c r="AB2" s="2">
        <v>812</v>
      </c>
      <c r="AC2" s="2"/>
      <c r="AD2" s="2">
        <v>1260</v>
      </c>
      <c r="AE2" s="2"/>
      <c r="AF2" s="2">
        <v>1167</v>
      </c>
      <c r="AG2" s="2"/>
      <c r="AH2" s="2">
        <v>1292</v>
      </c>
      <c r="AI2" s="14">
        <f>AH2/$T2</f>
        <v>0.42180868429644142</v>
      </c>
      <c r="AJ2" s="2">
        <v>1857</v>
      </c>
      <c r="AK2" s="14">
        <f>AJ2/$T2</f>
        <v>0.60626836434867781</v>
      </c>
      <c r="AL2" s="2">
        <v>1313</v>
      </c>
      <c r="AM2" s="14">
        <f>AL2/$T2</f>
        <v>0.42866470780280769</v>
      </c>
      <c r="AN2" s="2">
        <v>2008</v>
      </c>
      <c r="AO2" s="14">
        <f>AN2/$T2</f>
        <v>0.65556643813254978</v>
      </c>
      <c r="AP2" s="2">
        <v>1711</v>
      </c>
      <c r="AQ2" s="14">
        <f>AP2/$T2</f>
        <v>0.55860267711394063</v>
      </c>
      <c r="AR2" s="2">
        <v>1108</v>
      </c>
      <c r="AS2" s="14">
        <f>AR2/$T2</f>
        <v>0.36173685928827948</v>
      </c>
      <c r="AT2" s="2">
        <v>1035</v>
      </c>
      <c r="AU2" s="14">
        <f>AT2/$T2</f>
        <v>0.33790401567091088</v>
      </c>
      <c r="AV2" s="2">
        <v>925</v>
      </c>
      <c r="AW2" s="14">
        <f>AV2/$T2</f>
        <v>0.30199151158994447</v>
      </c>
      <c r="AX2" s="2">
        <v>775</v>
      </c>
      <c r="AY2" s="14">
        <f>AX2/$T2</f>
        <v>0.25301991511589944</v>
      </c>
      <c r="AZ2" s="2">
        <v>1532</v>
      </c>
      <c r="BA2" s="2"/>
      <c r="BB2" s="2">
        <v>606</v>
      </c>
      <c r="BC2" s="2"/>
      <c r="BD2" s="10">
        <v>1190</v>
      </c>
      <c r="BF2" s="10">
        <v>826</v>
      </c>
      <c r="BH2" s="10">
        <v>943</v>
      </c>
      <c r="BJ2" s="10">
        <v>913</v>
      </c>
      <c r="BL2" s="10">
        <v>966</v>
      </c>
      <c r="BN2" s="10">
        <v>680</v>
      </c>
      <c r="BP2" s="10">
        <v>1429</v>
      </c>
      <c r="BR2" s="10">
        <v>786</v>
      </c>
      <c r="BT2" s="10">
        <v>861</v>
      </c>
      <c r="BV2" s="10">
        <v>826</v>
      </c>
      <c r="BX2" s="10">
        <v>1630</v>
      </c>
      <c r="BZ2" s="10">
        <v>1666</v>
      </c>
      <c r="CB2" s="10">
        <v>1701</v>
      </c>
      <c r="CD2" s="10">
        <v>1482</v>
      </c>
      <c r="CF2" s="10">
        <v>1623</v>
      </c>
      <c r="CH2" s="10">
        <v>1615</v>
      </c>
      <c r="CJ2" s="10">
        <v>1643</v>
      </c>
      <c r="CL2" s="10">
        <v>1574</v>
      </c>
      <c r="CN2" s="10">
        <v>1630</v>
      </c>
      <c r="CP2" s="10">
        <v>887</v>
      </c>
      <c r="CR2" s="10">
        <v>876</v>
      </c>
      <c r="CT2" s="10">
        <v>1644</v>
      </c>
      <c r="CV2" s="10">
        <v>879</v>
      </c>
      <c r="CX2" s="10">
        <v>907</v>
      </c>
      <c r="CZ2" s="10">
        <v>877</v>
      </c>
      <c r="DB2" s="10">
        <v>857</v>
      </c>
      <c r="DD2" s="10">
        <v>559</v>
      </c>
      <c r="DE2" s="10" t="s">
        <v>1718</v>
      </c>
    </row>
    <row r="3" spans="1:109" s="10" customFormat="1" ht="14.25" customHeight="1" thickBot="1">
      <c r="A3" s="119">
        <v>3</v>
      </c>
      <c r="B3" s="122" t="s">
        <v>25</v>
      </c>
      <c r="C3" s="120" t="s">
        <v>26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0"/>
      <c r="S3" s="20"/>
      <c r="T3" s="2">
        <v>7444</v>
      </c>
      <c r="U3" s="2">
        <v>8520</v>
      </c>
      <c r="V3" s="14">
        <f t="shared" ref="V3:V4" si="0">U3/$T3</f>
        <v>1.1445459430413756</v>
      </c>
      <c r="W3" s="2"/>
      <c r="X3" s="2">
        <v>4903</v>
      </c>
      <c r="Y3" s="2"/>
      <c r="Z3" s="2">
        <v>5580</v>
      </c>
      <c r="AA3" s="2"/>
      <c r="AB3" s="2">
        <v>5670</v>
      </c>
      <c r="AC3" s="2"/>
      <c r="AD3" s="2">
        <v>7847</v>
      </c>
      <c r="AE3" s="2"/>
      <c r="AF3" s="2">
        <v>7797</v>
      </c>
      <c r="AG3" s="2"/>
      <c r="AH3" s="2">
        <v>8584</v>
      </c>
      <c r="AI3" s="14">
        <f t="shared" ref="AI3:AI4" si="1">AH3/$T3</f>
        <v>1.153143471252015</v>
      </c>
      <c r="AJ3" s="2">
        <v>10657</v>
      </c>
      <c r="AK3" s="14">
        <f t="shared" ref="AK3:AY4" si="2">AJ3/$T3</f>
        <v>1.4316227834497581</v>
      </c>
      <c r="AL3" s="2">
        <v>6184</v>
      </c>
      <c r="AM3" s="14">
        <f t="shared" si="2"/>
        <v>0.83073616335303602</v>
      </c>
      <c r="AN3" s="2">
        <v>9052</v>
      </c>
      <c r="AO3" s="14">
        <f t="shared" si="2"/>
        <v>1.216012896292316</v>
      </c>
      <c r="AP3" s="2">
        <v>9966</v>
      </c>
      <c r="AQ3" s="14">
        <f t="shared" si="2"/>
        <v>1.3387963460505106</v>
      </c>
      <c r="AR3" s="2">
        <v>9882</v>
      </c>
      <c r="AS3" s="14">
        <f t="shared" si="2"/>
        <v>1.3275120902740463</v>
      </c>
      <c r="AT3" s="2">
        <v>11480</v>
      </c>
      <c r="AU3" s="14">
        <f t="shared" si="2"/>
        <v>1.5421816227834497</v>
      </c>
      <c r="AV3" s="2">
        <v>4115</v>
      </c>
      <c r="AW3" s="14">
        <f t="shared" si="2"/>
        <v>0.55279419666845786</v>
      </c>
      <c r="AX3" s="2">
        <v>4455</v>
      </c>
      <c r="AY3" s="14">
        <f t="shared" si="2"/>
        <v>0.59846856528747983</v>
      </c>
      <c r="AZ3" s="2">
        <v>5668</v>
      </c>
      <c r="BA3" s="2"/>
      <c r="BB3" s="2">
        <v>3456</v>
      </c>
      <c r="BC3" s="2"/>
      <c r="BD3" s="10">
        <v>7938</v>
      </c>
      <c r="BF3" s="10">
        <v>8216</v>
      </c>
      <c r="BH3" s="10">
        <v>7025</v>
      </c>
      <c r="BJ3" s="10">
        <v>6381</v>
      </c>
      <c r="BL3" s="10">
        <v>4986</v>
      </c>
      <c r="BN3" s="10">
        <v>6752</v>
      </c>
      <c r="BP3" s="10">
        <v>7092</v>
      </c>
      <c r="BR3" s="10">
        <v>5294</v>
      </c>
      <c r="BT3" s="10">
        <v>5692</v>
      </c>
      <c r="BV3" s="10">
        <v>6212</v>
      </c>
      <c r="BX3" s="10">
        <v>5490</v>
      </c>
      <c r="BZ3" s="10">
        <v>5038</v>
      </c>
      <c r="CB3" s="10">
        <v>6857</v>
      </c>
      <c r="CD3" s="10">
        <v>5431</v>
      </c>
      <c r="CF3" s="10">
        <v>6550</v>
      </c>
      <c r="CH3" s="10">
        <v>5365</v>
      </c>
      <c r="CJ3" s="10">
        <v>5553</v>
      </c>
      <c r="CL3" s="10">
        <v>6093</v>
      </c>
      <c r="CN3" s="10">
        <v>5638</v>
      </c>
      <c r="CP3" s="10">
        <v>5456</v>
      </c>
      <c r="CR3" s="10">
        <v>8101</v>
      </c>
      <c r="CT3" s="10">
        <v>8444</v>
      </c>
      <c r="CV3" s="10">
        <v>7435</v>
      </c>
      <c r="CX3" s="10">
        <v>6390</v>
      </c>
      <c r="CZ3" s="10">
        <v>7346</v>
      </c>
      <c r="DB3" s="10">
        <v>8137</v>
      </c>
      <c r="DD3" s="10">
        <v>6289</v>
      </c>
      <c r="DE3" s="10" t="s">
        <v>1718</v>
      </c>
    </row>
    <row r="4" spans="1:109" s="10" customFormat="1" ht="15.75" customHeight="1" thickBot="1">
      <c r="A4" s="21">
        <v>4</v>
      </c>
      <c r="B4" s="22" t="s">
        <v>27</v>
      </c>
      <c r="C4" s="261" t="str">
        <f>E4</f>
        <v>{"username":"Bern.Sachbearbeiterin@diartis.ch","password":"XXxa22?pdTA66-S@","url":p.AventisURL,"version":"2025.5.275-stable"}</v>
      </c>
      <c r="D4" s="24" t="s">
        <v>28</v>
      </c>
      <c r="E4" s="24" t="str">
        <f>F4&amp;G4&amp;H4&amp;I4&amp;J4&amp;K4&amp;L4&amp;M4&amp;N4&amp;O4&amp;P4</f>
        <v>{"username":"Bern.Sachbearbeiterin@diartis.ch","password":"XXxa22?pdTA66-S@","url":p.AventisURL,"version":"2025.5.275-stable"}</v>
      </c>
      <c r="F4" s="23" t="s">
        <v>29</v>
      </c>
      <c r="G4" s="25" t="s">
        <v>30</v>
      </c>
      <c r="H4" s="24" t="s">
        <v>31</v>
      </c>
      <c r="I4" s="25" t="s">
        <v>32</v>
      </c>
      <c r="J4" s="24" t="s">
        <v>33</v>
      </c>
      <c r="K4" s="25" t="s">
        <v>34</v>
      </c>
      <c r="L4" s="24" t="s">
        <v>35</v>
      </c>
      <c r="M4" s="3954" t="s">
        <v>1697</v>
      </c>
      <c r="N4" s="24" t="s">
        <v>37</v>
      </c>
      <c r="O4" s="24"/>
      <c r="P4" s="24"/>
      <c r="Q4" s="24"/>
      <c r="R4" s="13" t="s">
        <v>38</v>
      </c>
      <c r="S4" s="26"/>
      <c r="T4" s="24">
        <v>447</v>
      </c>
      <c r="U4" s="24">
        <v>0</v>
      </c>
      <c r="V4" s="14">
        <f t="shared" si="0"/>
        <v>0</v>
      </c>
      <c r="W4" s="24"/>
      <c r="X4" s="24">
        <v>800</v>
      </c>
      <c r="Y4" s="24"/>
      <c r="Z4" s="24">
        <v>999</v>
      </c>
      <c r="AA4" s="24"/>
      <c r="AB4" s="24">
        <v>951</v>
      </c>
      <c r="AC4" s="24"/>
      <c r="AD4" s="24">
        <v>1044</v>
      </c>
      <c r="AE4" s="24"/>
      <c r="AF4" s="24">
        <v>911</v>
      </c>
      <c r="AG4" s="24"/>
      <c r="AH4" s="24">
        <v>0</v>
      </c>
      <c r="AI4" s="14">
        <f t="shared" si="1"/>
        <v>0</v>
      </c>
      <c r="AJ4" s="24">
        <v>542</v>
      </c>
      <c r="AK4" s="14">
        <f t="shared" si="2"/>
        <v>1.2125279642058167</v>
      </c>
      <c r="AL4" s="24">
        <v>312</v>
      </c>
      <c r="AM4" s="14">
        <f t="shared" si="2"/>
        <v>0.69798657718120805</v>
      </c>
      <c r="AN4" s="24">
        <v>317</v>
      </c>
      <c r="AO4" s="14">
        <f t="shared" si="2"/>
        <v>0.70917225950783003</v>
      </c>
      <c r="AP4" s="24">
        <v>354</v>
      </c>
      <c r="AQ4" s="14">
        <f t="shared" si="2"/>
        <v>0.79194630872483218</v>
      </c>
      <c r="AR4" s="24">
        <v>369</v>
      </c>
      <c r="AS4" s="14">
        <f t="shared" si="2"/>
        <v>0.82550335570469802</v>
      </c>
      <c r="AT4" s="2">
        <v>283</v>
      </c>
      <c r="AU4" s="14">
        <f t="shared" si="2"/>
        <v>0.63310961968680091</v>
      </c>
      <c r="AV4" s="2">
        <v>808</v>
      </c>
      <c r="AW4" s="14">
        <f t="shared" si="2"/>
        <v>1.8076062639821029</v>
      </c>
      <c r="AX4" s="2">
        <v>1103</v>
      </c>
      <c r="AY4" s="14">
        <f t="shared" si="2"/>
        <v>2.4675615212527964</v>
      </c>
      <c r="AZ4" s="2">
        <v>908</v>
      </c>
      <c r="BA4" s="2"/>
      <c r="BB4" s="2">
        <v>691</v>
      </c>
      <c r="BC4" s="2"/>
      <c r="BD4" s="10">
        <v>901</v>
      </c>
      <c r="BF4" s="10">
        <v>1028</v>
      </c>
      <c r="BH4" s="10">
        <v>1047</v>
      </c>
      <c r="BJ4" s="1259">
        <v>0</v>
      </c>
      <c r="BK4" s="1260" t="s">
        <v>1342</v>
      </c>
      <c r="BL4" s="10">
        <v>462</v>
      </c>
      <c r="BN4" s="10">
        <v>868</v>
      </c>
      <c r="BP4" s="10">
        <v>817</v>
      </c>
      <c r="BR4" s="10">
        <v>406</v>
      </c>
      <c r="BT4" s="10">
        <v>664</v>
      </c>
      <c r="BV4" s="10">
        <v>468</v>
      </c>
      <c r="BX4" s="10">
        <v>666</v>
      </c>
      <c r="BZ4" s="10">
        <v>685</v>
      </c>
      <c r="CB4" s="10">
        <v>702</v>
      </c>
      <c r="CD4" s="10">
        <v>1155</v>
      </c>
      <c r="CF4" s="10">
        <v>729</v>
      </c>
      <c r="CH4" s="10">
        <v>639</v>
      </c>
      <c r="CJ4" s="10">
        <v>721</v>
      </c>
      <c r="CL4" s="10">
        <v>719</v>
      </c>
      <c r="CN4" s="10">
        <v>704</v>
      </c>
      <c r="CP4" s="10">
        <v>461</v>
      </c>
      <c r="CR4" s="10">
        <v>662</v>
      </c>
      <c r="CT4" s="10">
        <v>344</v>
      </c>
      <c r="CV4" s="10">
        <v>764</v>
      </c>
      <c r="CX4" s="10">
        <v>625</v>
      </c>
      <c r="CZ4" s="10">
        <v>595</v>
      </c>
      <c r="DB4" s="3736">
        <v>0</v>
      </c>
      <c r="DC4" s="3737" t="s">
        <v>1667</v>
      </c>
      <c r="DD4" s="10">
        <v>318</v>
      </c>
      <c r="DE4" s="10" t="s">
        <v>1718</v>
      </c>
    </row>
    <row r="5" spans="1:109">
      <c r="R5" s="13" t="s">
        <v>39</v>
      </c>
      <c r="S5" s="27"/>
      <c r="V5" s="14"/>
      <c r="AI5" s="14"/>
      <c r="AK5" s="14"/>
      <c r="AM5" s="14"/>
      <c r="AO5" s="14"/>
      <c r="AQ5" s="14"/>
      <c r="AS5" s="14"/>
      <c r="AU5" s="14"/>
      <c r="AW5" s="14"/>
      <c r="AY5" s="14"/>
    </row>
    <row r="6" spans="1:109">
      <c r="C6" s="2" t="s">
        <v>40</v>
      </c>
      <c r="M6" s="3732" t="s">
        <v>1665</v>
      </c>
      <c r="R6" s="13" t="s">
        <v>41</v>
      </c>
      <c r="S6" s="28"/>
      <c r="V6" s="14"/>
      <c r="AI6" s="14"/>
      <c r="AK6" s="14"/>
      <c r="AM6" s="14"/>
      <c r="AO6" s="14"/>
      <c r="AQ6" s="14"/>
      <c r="AS6" s="14"/>
      <c r="AU6" s="14"/>
      <c r="AW6" s="14"/>
      <c r="AY6" s="14"/>
    </row>
    <row r="7" spans="1:109">
      <c r="R7" s="13" t="s">
        <v>42</v>
      </c>
      <c r="S7" s="29"/>
      <c r="V7" s="14"/>
      <c r="AI7" s="14"/>
      <c r="AK7" s="14"/>
      <c r="AM7" s="14"/>
      <c r="AO7" s="14"/>
      <c r="AQ7" s="14"/>
      <c r="AS7" s="14"/>
      <c r="AU7" s="14"/>
      <c r="AW7" s="14"/>
      <c r="AY7" s="14"/>
    </row>
    <row r="8" spans="1:109">
      <c r="C8" s="30" t="s">
        <v>43</v>
      </c>
      <c r="R8" s="13" t="s">
        <v>44</v>
      </c>
      <c r="S8" s="31"/>
      <c r="V8" s="14"/>
      <c r="AI8" s="14"/>
      <c r="AK8" s="14"/>
      <c r="AM8" s="14"/>
      <c r="AO8" s="14"/>
      <c r="AQ8" s="14"/>
      <c r="AS8" s="14"/>
      <c r="AU8" s="14"/>
      <c r="AW8" s="14"/>
      <c r="AY8" s="14"/>
    </row>
    <row r="9" spans="1:109">
      <c r="C9" s="18" t="s">
        <v>45</v>
      </c>
      <c r="R9" s="13"/>
      <c r="S9" s="13"/>
      <c r="V9" s="14"/>
      <c r="AI9" s="14"/>
      <c r="AK9" s="14"/>
      <c r="AM9" s="14"/>
      <c r="AO9" s="14"/>
      <c r="AQ9" s="14"/>
      <c r="AS9" s="14"/>
      <c r="AU9" s="14"/>
      <c r="AW9" s="14"/>
      <c r="AY9" s="14"/>
    </row>
    <row r="10" spans="1:109">
      <c r="C10" s="18" t="s">
        <v>46</v>
      </c>
      <c r="R10" s="13"/>
      <c r="S10" s="13"/>
      <c r="V10" s="14"/>
      <c r="AI10" s="14"/>
      <c r="AK10" s="14"/>
      <c r="AM10" s="14"/>
      <c r="AO10" s="14"/>
      <c r="AQ10" s="14"/>
      <c r="AS10" s="14"/>
      <c r="AU10" s="14"/>
      <c r="AW10" s="14"/>
      <c r="AY10" s="14"/>
    </row>
    <row r="11" spans="1:109">
      <c r="C11" s="18" t="s">
        <v>47</v>
      </c>
      <c r="R11" s="32"/>
      <c r="S11" s="32"/>
      <c r="V11" s="14"/>
      <c r="AI11" s="14"/>
      <c r="AK11" s="14"/>
      <c r="AM11" s="14"/>
      <c r="AO11" s="14"/>
      <c r="AQ11" s="14"/>
      <c r="AS11" s="14"/>
      <c r="AU11" s="14"/>
      <c r="AW11" s="14"/>
      <c r="AY11" s="14"/>
    </row>
    <row r="12" spans="1:109">
      <c r="C12" s="18" t="s">
        <v>48</v>
      </c>
      <c r="R12" s="33"/>
      <c r="S12" s="33"/>
      <c r="V12" s="14"/>
      <c r="AI12" s="14"/>
      <c r="AK12" s="14"/>
      <c r="AM12" s="14"/>
      <c r="AO12" s="14"/>
      <c r="AQ12" s="14"/>
      <c r="AS12" s="14"/>
      <c r="AU12" s="14"/>
      <c r="AW12" s="14"/>
      <c r="AY12" s="14"/>
    </row>
    <row r="13" spans="1:109">
      <c r="C13" s="18" t="s">
        <v>48</v>
      </c>
      <c r="D13" s="2" t="s">
        <v>49</v>
      </c>
      <c r="V13" s="14"/>
      <c r="AI13" s="14"/>
      <c r="AK13" s="14"/>
      <c r="AM13" s="14"/>
      <c r="AO13" s="14"/>
      <c r="AQ13" s="14"/>
      <c r="AS13" s="14"/>
      <c r="AU13" s="14"/>
      <c r="AW13" s="14"/>
      <c r="AY13" s="14"/>
    </row>
    <row r="14" spans="1:109">
      <c r="C14" s="18" t="s">
        <v>50</v>
      </c>
      <c r="D14" s="2" t="s">
        <v>51</v>
      </c>
      <c r="V14" s="14"/>
      <c r="AI14" s="14"/>
      <c r="AK14" s="14"/>
      <c r="AM14" s="14"/>
      <c r="AO14" s="14"/>
      <c r="AQ14" s="14"/>
      <c r="AS14" s="14"/>
      <c r="AU14" s="14"/>
      <c r="AW14" s="14"/>
      <c r="AY14" s="14"/>
    </row>
    <row r="15" spans="1:109">
      <c r="C15" s="18" t="s">
        <v>48</v>
      </c>
      <c r="V15" s="14"/>
      <c r="AI15" s="14"/>
      <c r="AK15" s="14"/>
      <c r="AM15" s="14"/>
      <c r="AO15" s="14"/>
      <c r="AQ15" s="14"/>
      <c r="AS15" s="14"/>
      <c r="AU15" s="14"/>
      <c r="AW15" s="14"/>
      <c r="AY15" s="14"/>
    </row>
    <row r="16" spans="1:109">
      <c r="C16" s="18" t="s">
        <v>52</v>
      </c>
    </row>
    <row r="17" spans="1:3">
      <c r="C17" s="18" t="s">
        <v>53</v>
      </c>
    </row>
    <row r="18" spans="1:3">
      <c r="C18" s="18" t="s">
        <v>54</v>
      </c>
    </row>
    <row r="19" spans="1:3">
      <c r="C19" s="18" t="s">
        <v>55</v>
      </c>
    </row>
    <row r="20" spans="1:3">
      <c r="C20" s="18" t="s">
        <v>56</v>
      </c>
    </row>
    <row r="21" spans="1:3">
      <c r="C21" s="18" t="s">
        <v>57</v>
      </c>
    </row>
    <row r="22" spans="1:3" ht="14.25" customHeight="1">
      <c r="C22" s="18" t="s">
        <v>58</v>
      </c>
    </row>
    <row r="23" spans="1:3">
      <c r="C23" s="18" t="s">
        <v>36</v>
      </c>
    </row>
    <row r="24" spans="1:3">
      <c r="C24" s="1388" t="s">
        <v>1346</v>
      </c>
    </row>
    <row r="25" spans="1:3">
      <c r="C25" s="2556" t="s">
        <v>1440</v>
      </c>
    </row>
    <row r="26" spans="1:3">
      <c r="C26" s="3663" t="s">
        <v>1567</v>
      </c>
    </row>
    <row r="27" spans="1:3">
      <c r="A27" s="10" t="s">
        <v>1441</v>
      </c>
      <c r="B27" s="2">
        <v>1</v>
      </c>
    </row>
    <row r="28" spans="1:3"/>
    <row r="29" spans="1:3"/>
    <row r="30" spans="1:3"/>
    <row r="31" spans="1:3"/>
    <row r="32" spans="1:3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 spans="18:19"/>
    <row r="66" spans="18:19"/>
    <row r="67" spans="18:19">
      <c r="R67" s="34"/>
      <c r="S67" s="34"/>
    </row>
  </sheetData>
  <conditionalFormatting sqref="V2:V118 AI2:AI118 AK2:AK118 AM2:AM118 AO2:AO118 AQ2:AQ118 AS2:AS118 AU2:AU118 AW2:AW118 AY2:AY118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G4" r:id="rId1" xr:uid="{00000000-0004-0000-0000-000000000000}"/>
    <hyperlink ref="I4" r:id="rId2" xr:uid="{00000000-0004-0000-0000-000001000000}"/>
    <hyperlink ref="K4" r:id="rId3" xr:uid="{00000000-0004-0000-0000-000002000000}"/>
  </hyperlinks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39F4-9053-4307-AA96-ECE27A8958D2}">
  <sheetPr>
    <tabColor theme="0" tint="-0.249977111117893"/>
  </sheetPr>
  <dimension ref="A1:DH116"/>
  <sheetViews>
    <sheetView zoomScale="85" zoomScaleNormal="85" workbookViewId="0">
      <pane xSplit="2" ySplit="1" topLeftCell="D2" activePane="bottomRight" state="frozen"/>
      <selection activeCell="H1" sqref="H1"/>
      <selection pane="topRight" activeCell="H1" sqref="H1"/>
      <selection pane="bottomLeft" activeCell="H1" sqref="H1"/>
      <selection pane="bottomRight" activeCell="I23" sqref="I23"/>
    </sheetView>
  </sheetViews>
  <sheetFormatPr defaultColWidth="9.140625" defaultRowHeight="16.5" customHeight="1"/>
  <cols>
    <col min="1" max="1" width="9.140625" style="1" customWidth="1"/>
    <col min="2" max="2" width="89.85546875" style="2" customWidth="1"/>
    <col min="3" max="3" width="159.7109375" style="12" customWidth="1"/>
    <col min="4" max="4" width="7.140625" style="2" customWidth="1"/>
    <col min="5" max="5" width="9.7109375" style="12" customWidth="1"/>
    <col min="6" max="6" width="30" style="609" customWidth="1"/>
    <col min="7" max="7" width="47.5703125" style="611" customWidth="1"/>
    <col min="8" max="8" width="22" style="609" customWidth="1"/>
    <col min="9" max="9" width="36.28515625" style="611" customWidth="1"/>
    <col min="10" max="10" width="10.5703125" style="609" customWidth="1"/>
    <col min="11" max="11" width="23.5703125" style="611" customWidth="1"/>
    <col min="12" max="12" width="9.28515625" style="609" customWidth="1"/>
    <col min="13" max="13" width="24.42578125" style="611" customWidth="1"/>
    <col min="14" max="14" width="9.140625" style="609" customWidth="1"/>
    <col min="15" max="15" width="40.42578125" style="611" customWidth="1"/>
    <col min="16" max="16" width="9.140625" style="609" customWidth="1"/>
    <col min="17" max="17" width="16.140625" style="611" customWidth="1"/>
    <col min="18" max="18" width="9.140625" style="609" customWidth="1"/>
    <col min="19" max="19" width="9.140625" style="611" customWidth="1"/>
    <col min="20" max="20" width="9.140625" style="609" customWidth="1"/>
    <col min="21" max="21" width="9.140625" style="611" customWidth="1"/>
    <col min="22" max="22" width="9.140625" style="609" customWidth="1"/>
    <col min="23" max="23" width="9.140625" style="611" customWidth="1"/>
    <col min="24" max="25" width="9.140625" style="2" customWidth="1"/>
    <col min="26" max="26" width="13" style="2" hidden="1" customWidth="1"/>
    <col min="27" max="33" width="9.140625" style="2" hidden="1" customWidth="1"/>
    <col min="34" max="34" width="9.140625" style="2" customWidth="1"/>
    <col min="35" max="35" width="10.5703125" style="2" customWidth="1"/>
    <col min="36" max="36" width="14.7109375" style="36" customWidth="1"/>
    <col min="37" max="37" width="14.7109375" style="4" customWidth="1"/>
    <col min="38" max="38" width="15.28515625" style="2" customWidth="1"/>
    <col min="39" max="39" width="14.7109375" style="4" customWidth="1"/>
    <col min="40" max="40" width="12.7109375" style="2" customWidth="1"/>
    <col min="41" max="41" width="14.7109375" style="4" customWidth="1"/>
    <col min="42" max="42" width="14.28515625" style="2" customWidth="1"/>
    <col min="43" max="43" width="14.7109375" style="4" customWidth="1"/>
    <col min="44" max="44" width="13.85546875" style="2" customWidth="1"/>
    <col min="45" max="45" width="14.7109375" style="4" customWidth="1"/>
    <col min="46" max="46" width="17.140625" style="2" customWidth="1"/>
    <col min="47" max="47" width="14.7109375" style="4" customWidth="1"/>
    <col min="48" max="48" width="11.85546875" style="2" customWidth="1"/>
    <col min="49" max="49" width="14.7109375" style="4" customWidth="1"/>
    <col min="50" max="50" width="15.7109375" style="2" customWidth="1"/>
    <col min="51" max="51" width="14.7109375" style="4" customWidth="1"/>
    <col min="52" max="52" width="11.5703125" style="2" customWidth="1"/>
    <col min="53" max="53" width="20.42578125" style="2" customWidth="1"/>
    <col min="54" max="54" width="9.7109375" style="2" customWidth="1"/>
    <col min="55" max="55" width="14.7109375" style="4" customWidth="1"/>
    <col min="56" max="56" width="10.85546875" style="2" customWidth="1"/>
    <col min="57" max="57" width="14.7109375" style="4" customWidth="1"/>
    <col min="58" max="58" width="19.85546875" style="2" customWidth="1"/>
    <col min="59" max="59" width="14.7109375" style="4" customWidth="1"/>
    <col min="60" max="60" width="20.42578125" style="2" customWidth="1"/>
    <col min="61" max="61" width="14.7109375" style="4" customWidth="1"/>
    <col min="62" max="62" width="9.140625" style="2" customWidth="1"/>
    <col min="63" max="63" width="20" style="2" customWidth="1"/>
    <col min="64" max="64" width="14.7109375" style="4" customWidth="1"/>
    <col min="65" max="65" width="20" style="2" customWidth="1"/>
    <col min="66" max="66" width="14.7109375" style="4" customWidth="1"/>
    <col min="67" max="67" width="20" style="2" customWidth="1"/>
    <col min="68" max="68" width="14.7109375" style="4" customWidth="1"/>
    <col min="69" max="69" width="20" style="2" customWidth="1"/>
    <col min="70" max="70" width="14.7109375" style="4" customWidth="1"/>
    <col min="71" max="71" width="20" style="2" customWidth="1"/>
    <col min="72" max="72" width="14.7109375" style="4" customWidth="1"/>
    <col min="73" max="73" width="20" style="2" customWidth="1"/>
    <col min="74" max="74" width="14.7109375" style="4" customWidth="1"/>
    <col min="75" max="75" width="20" style="2" customWidth="1"/>
    <col min="76" max="76" width="14.7109375" style="4" customWidth="1"/>
    <col min="77" max="77" width="20" style="2" customWidth="1"/>
    <col min="78" max="78" width="14.7109375" style="4" customWidth="1"/>
    <col min="79" max="79" width="20" style="2" customWidth="1"/>
    <col min="80" max="80" width="14.7109375" style="4" customWidth="1"/>
    <col min="81" max="81" width="20" style="2" customWidth="1"/>
    <col min="82" max="82" width="14.7109375" style="4" customWidth="1"/>
    <col min="83" max="83" width="20" style="2" customWidth="1"/>
    <col min="84" max="84" width="14.7109375" style="4" customWidth="1"/>
    <col min="85" max="85" width="20" style="2" customWidth="1"/>
    <col min="86" max="86" width="14.7109375" style="4" customWidth="1"/>
    <col min="87" max="87" width="20" style="2" customWidth="1"/>
    <col min="88" max="88" width="14.7109375" style="4" customWidth="1"/>
    <col min="89" max="89" width="20" style="2" customWidth="1"/>
    <col min="90" max="90" width="14.7109375" style="4" customWidth="1"/>
    <col min="91" max="91" width="20" style="2" customWidth="1"/>
    <col min="92" max="92" width="14.7109375" style="4" customWidth="1"/>
    <col min="93" max="93" width="20" style="2" customWidth="1"/>
    <col min="94" max="94" width="14.7109375" style="4" customWidth="1"/>
    <col min="95" max="95" width="20" style="2" customWidth="1"/>
    <col min="96" max="96" width="14.7109375" style="4" customWidth="1"/>
    <col min="97" max="97" width="20" style="2" customWidth="1"/>
    <col min="98" max="98" width="14.7109375" style="4" customWidth="1"/>
    <col min="99" max="99" width="20" style="2" customWidth="1"/>
    <col min="100" max="100" width="14.7109375" style="4" customWidth="1"/>
    <col min="101" max="101" width="20" style="2" customWidth="1"/>
    <col min="102" max="102" width="14.7109375" style="4" customWidth="1"/>
    <col min="103" max="103" width="20" style="2" customWidth="1"/>
    <col min="104" max="104" width="50" style="2" customWidth="1"/>
    <col min="105" max="105" width="20" style="2" customWidth="1"/>
    <col min="106" max="106" width="50" style="2" customWidth="1"/>
    <col min="107" max="107" width="20" style="2" customWidth="1"/>
    <col min="108" max="108" width="50" style="2" customWidth="1"/>
    <col min="109" max="109" width="20" style="2" customWidth="1"/>
    <col min="110" max="110" width="50" style="2" customWidth="1"/>
    <col min="111" max="111" width="20" style="2" customWidth="1"/>
    <col min="112" max="112" width="50" style="2" customWidth="1"/>
    <col min="113" max="16384" width="9.140625" style="2"/>
  </cols>
  <sheetData>
    <row r="1" spans="1:112" ht="16.5" customHeight="1">
      <c r="A1" s="5" t="s">
        <v>59</v>
      </c>
      <c r="B1" s="37" t="s">
        <v>60</v>
      </c>
      <c r="C1" s="38" t="s">
        <v>61</v>
      </c>
      <c r="D1" s="39" t="s">
        <v>3</v>
      </c>
      <c r="E1" s="40" t="s">
        <v>735</v>
      </c>
      <c r="F1" s="609" t="s">
        <v>4</v>
      </c>
      <c r="G1" s="2558">
        <f>4*60*1000*SpeedFaktor</f>
        <v>240000</v>
      </c>
      <c r="H1" s="609">
        <v>300</v>
      </c>
      <c r="AH1" s="2" t="s">
        <v>5</v>
      </c>
      <c r="AI1" s="42" t="s">
        <v>62</v>
      </c>
      <c r="AJ1" s="4"/>
      <c r="AK1" s="7" t="s">
        <v>5</v>
      </c>
      <c r="AL1" s="2" t="s">
        <v>63</v>
      </c>
      <c r="AM1" s="43" t="s">
        <v>8</v>
      </c>
      <c r="AN1" s="3" t="s">
        <v>64</v>
      </c>
      <c r="AO1" s="24" t="s">
        <v>8</v>
      </c>
      <c r="AP1" s="3" t="s">
        <v>9</v>
      </c>
      <c r="AQ1" s="24" t="s">
        <v>8</v>
      </c>
      <c r="AR1" s="3" t="s">
        <v>10</v>
      </c>
      <c r="AS1" s="24" t="s">
        <v>8</v>
      </c>
      <c r="AT1" s="2" t="s">
        <v>11</v>
      </c>
      <c r="AU1" s="24" t="s">
        <v>8</v>
      </c>
      <c r="AV1" s="2" t="s">
        <v>12</v>
      </c>
      <c r="AW1" s="24" t="s">
        <v>8</v>
      </c>
      <c r="AX1" s="2" t="s">
        <v>13</v>
      </c>
      <c r="AY1" s="24" t="s">
        <v>8</v>
      </c>
      <c r="AZ1" s="2" t="s">
        <v>65</v>
      </c>
      <c r="BA1" s="2" t="s">
        <v>66</v>
      </c>
      <c r="BB1" s="2" t="s">
        <v>15</v>
      </c>
      <c r="BC1" s="24" t="s">
        <v>8</v>
      </c>
      <c r="BD1" s="2" t="s">
        <v>17</v>
      </c>
      <c r="BE1" s="24" t="s">
        <v>8</v>
      </c>
      <c r="BF1" s="2" t="s">
        <v>1285</v>
      </c>
      <c r="BG1" s="24" t="s">
        <v>8</v>
      </c>
      <c r="BH1" s="2" t="s">
        <v>1286</v>
      </c>
      <c r="BI1" s="24" t="s">
        <v>8</v>
      </c>
      <c r="BK1" s="488" t="s">
        <v>1303</v>
      </c>
      <c r="BL1" s="24" t="s">
        <v>8</v>
      </c>
      <c r="BM1" s="572" t="s">
        <v>1306</v>
      </c>
      <c r="BN1" s="24" t="s">
        <v>8</v>
      </c>
      <c r="BO1" s="788" t="s">
        <v>1311</v>
      </c>
      <c r="BP1" s="24" t="s">
        <v>8</v>
      </c>
      <c r="BQ1" s="914" t="s">
        <v>1318</v>
      </c>
      <c r="BR1" s="24" t="s">
        <v>8</v>
      </c>
      <c r="BS1" s="1039" t="s">
        <v>1322</v>
      </c>
      <c r="BT1" s="24" t="s">
        <v>8</v>
      </c>
      <c r="BU1" s="1061" t="s">
        <v>1324</v>
      </c>
      <c r="BV1" s="24" t="s">
        <v>8</v>
      </c>
      <c r="BW1" s="1183" t="s">
        <v>1327</v>
      </c>
      <c r="BX1" s="24" t="s">
        <v>8</v>
      </c>
      <c r="BY1" s="1240" t="s">
        <v>1335</v>
      </c>
      <c r="BZ1" s="24" t="s">
        <v>8</v>
      </c>
      <c r="CA1" s="1261" t="s">
        <v>1341</v>
      </c>
      <c r="CB1" s="24" t="s">
        <v>8</v>
      </c>
      <c r="CC1" s="1488" t="s">
        <v>1361</v>
      </c>
      <c r="CD1" s="24" t="s">
        <v>8</v>
      </c>
      <c r="CE1" s="1497" t="s">
        <v>1363</v>
      </c>
      <c r="CF1" s="24" t="s">
        <v>8</v>
      </c>
      <c r="CG1" s="1645" t="s">
        <v>1368</v>
      </c>
      <c r="CH1" s="24" t="s">
        <v>8</v>
      </c>
      <c r="CI1" s="1786" t="s">
        <v>1371</v>
      </c>
      <c r="CJ1" s="24" t="s">
        <v>8</v>
      </c>
      <c r="CK1" s="1927" t="s">
        <v>1375</v>
      </c>
      <c r="CL1" s="24" t="s">
        <v>8</v>
      </c>
      <c r="CM1" s="1979" t="s">
        <v>1387</v>
      </c>
      <c r="CN1" s="24" t="s">
        <v>8</v>
      </c>
      <c r="CO1" s="1985" t="s">
        <v>1388</v>
      </c>
      <c r="CP1" s="24" t="s">
        <v>8</v>
      </c>
      <c r="CQ1" s="1989" t="s">
        <v>1389</v>
      </c>
      <c r="CR1" s="24" t="s">
        <v>8</v>
      </c>
      <c r="CS1" s="2002" t="s">
        <v>1392</v>
      </c>
      <c r="CT1" s="24" t="s">
        <v>8</v>
      </c>
      <c r="CU1" s="2011" t="s">
        <v>1394</v>
      </c>
      <c r="CV1" s="24" t="s">
        <v>8</v>
      </c>
      <c r="CW1" s="2561" t="s">
        <v>1442</v>
      </c>
      <c r="CX1" s="24" t="s">
        <v>8</v>
      </c>
      <c r="CY1" s="2740" t="s">
        <v>1460</v>
      </c>
      <c r="CZ1" s="2741" t="s">
        <v>572</v>
      </c>
      <c r="DA1" s="2908" t="s">
        <v>1472</v>
      </c>
      <c r="DB1" s="2909" t="s">
        <v>572</v>
      </c>
      <c r="DC1" s="3098" t="s">
        <v>1492</v>
      </c>
      <c r="DD1" s="3099" t="s">
        <v>572</v>
      </c>
      <c r="DE1" s="3280" t="s">
        <v>1503</v>
      </c>
      <c r="DF1" s="3281" t="s">
        <v>572</v>
      </c>
      <c r="DG1" s="3450" t="s">
        <v>1519</v>
      </c>
      <c r="DH1" s="3451" t="s">
        <v>572</v>
      </c>
    </row>
    <row r="2" spans="1:112" s="10" customFormat="1" ht="16.5" customHeight="1">
      <c r="A2" s="119">
        <v>1</v>
      </c>
      <c r="B2" s="122" t="s">
        <v>21</v>
      </c>
      <c r="C2" s="44" t="str">
        <f>B58</f>
        <v>{"url":p.aventisURL}</v>
      </c>
      <c r="D2" s="13"/>
      <c r="E2" s="45" t="str">
        <f>F2&amp;G2&amp;H2&amp;I2&amp;J2&amp;K2&amp;L2&amp;M2&amp;N2&amp;O2&amp;P2&amp;Q2&amp;R2&amp;S2&amp;T2&amp;U2&amp;V2&amp;W2&amp;X2</f>
        <v>{"url":"https://dev.aventis.swiss"}</v>
      </c>
      <c r="F2" s="611" t="s">
        <v>67</v>
      </c>
      <c r="G2" s="612" t="s">
        <v>68</v>
      </c>
      <c r="H2" s="611" t="s">
        <v>37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48">
        <v>2535</v>
      </c>
      <c r="AJ2" s="13"/>
      <c r="AK2" s="13"/>
      <c r="AL2" s="13">
        <v>933</v>
      </c>
      <c r="AM2" s="14">
        <f>AL2/($AI2)</f>
        <v>0.36804733727810651</v>
      </c>
      <c r="AN2" s="13">
        <v>554</v>
      </c>
      <c r="AO2" s="14">
        <f>AN2/($AI2)</f>
        <v>0.21854043392504932</v>
      </c>
      <c r="AP2" s="13">
        <v>770</v>
      </c>
      <c r="AQ2" s="14">
        <f>AP2/($AI2)</f>
        <v>0.30374753451676528</v>
      </c>
      <c r="AR2" s="13">
        <v>382</v>
      </c>
      <c r="AS2" s="14">
        <f>AR2/($AI2)</f>
        <v>0.15069033530571993</v>
      </c>
      <c r="AT2" s="13">
        <v>555</v>
      </c>
      <c r="AU2" s="14">
        <f>AT2/($AI2)</f>
        <v>0.21893491124260356</v>
      </c>
      <c r="AV2" s="13">
        <v>356</v>
      </c>
      <c r="AW2" s="14">
        <f>AV2/($AI2)</f>
        <v>0.14043392504930965</v>
      </c>
      <c r="AX2" s="13">
        <v>355</v>
      </c>
      <c r="AY2" s="14">
        <f>AX2/($AI2)</f>
        <v>0.14003944773175542</v>
      </c>
      <c r="AZ2" s="13">
        <v>424</v>
      </c>
      <c r="BA2" s="13"/>
      <c r="BB2" s="2">
        <v>354</v>
      </c>
      <c r="BC2" s="14">
        <f>BB2/($AI2)</f>
        <v>0.13964497041420118</v>
      </c>
      <c r="BD2" s="2">
        <v>4014</v>
      </c>
      <c r="BE2" s="14">
        <f>BD2/($AI2)</f>
        <v>1.5834319526627219</v>
      </c>
      <c r="BF2" s="2">
        <v>4014</v>
      </c>
      <c r="BG2" s="14">
        <f>BF2/($AI2)</f>
        <v>1.5834319526627219</v>
      </c>
      <c r="BH2" s="2">
        <v>4011</v>
      </c>
      <c r="BI2" s="14">
        <f>BH2/($AI2)</f>
        <v>1.5822485207100592</v>
      </c>
      <c r="BK2" s="10">
        <v>338</v>
      </c>
      <c r="BL2" s="14">
        <f>BK2/($AI2)</f>
        <v>0.13333333333333333</v>
      </c>
      <c r="BM2" s="10">
        <v>299</v>
      </c>
      <c r="BN2" s="14">
        <f>BM2/($AI2)</f>
        <v>0.11794871794871795</v>
      </c>
      <c r="BO2" s="10">
        <v>331</v>
      </c>
      <c r="BP2" s="14">
        <f>BO2/($AI2)</f>
        <v>0.13057199211045364</v>
      </c>
      <c r="BQ2" s="10">
        <v>406</v>
      </c>
      <c r="BR2" s="14">
        <f>BQ2/($AI2)</f>
        <v>0.1601577909270217</v>
      </c>
      <c r="BS2" s="10">
        <v>356</v>
      </c>
      <c r="BT2" s="14">
        <f>BS2/($AI2)</f>
        <v>0.14043392504930965</v>
      </c>
      <c r="BU2" s="10">
        <v>295</v>
      </c>
      <c r="BV2" s="14">
        <f>BU2/($AI2)</f>
        <v>0.11637080867850098</v>
      </c>
      <c r="BW2" s="10">
        <v>291</v>
      </c>
      <c r="BX2" s="14">
        <f>BW2/($AI2)</f>
        <v>0.11479289940828402</v>
      </c>
      <c r="BY2" s="10">
        <v>367</v>
      </c>
      <c r="BZ2" s="14">
        <f>BY2/($AI2)</f>
        <v>0.14477317554240632</v>
      </c>
      <c r="CA2" s="10">
        <v>444</v>
      </c>
      <c r="CB2" s="14">
        <f>CA2/($AI2)</f>
        <v>0.17514792899408285</v>
      </c>
      <c r="CC2" s="10">
        <v>354</v>
      </c>
      <c r="CD2" s="14">
        <f>CC2/($AI2)</f>
        <v>0.13964497041420118</v>
      </c>
      <c r="CE2" s="10">
        <v>420</v>
      </c>
      <c r="CF2" s="14">
        <f>CE2/($AI2)</f>
        <v>0.16568047337278108</v>
      </c>
      <c r="CG2" s="10">
        <v>366</v>
      </c>
      <c r="CH2" s="14">
        <f>CG2/($AI2)</f>
        <v>0.14437869822485208</v>
      </c>
      <c r="CI2" s="10">
        <v>173</v>
      </c>
      <c r="CJ2" s="14">
        <f>CI2/($AI2)</f>
        <v>6.8244575936883628E-2</v>
      </c>
      <c r="CK2" s="10">
        <v>1013</v>
      </c>
      <c r="CL2" s="14">
        <f>CK2/($AI2)</f>
        <v>0.39960552268244576</v>
      </c>
      <c r="CM2" s="10">
        <v>707</v>
      </c>
      <c r="CN2" s="14">
        <f>CM2/($AI2)</f>
        <v>0.27889546351084815</v>
      </c>
      <c r="CO2" s="10">
        <v>733</v>
      </c>
      <c r="CP2" s="14">
        <f>CO2/($AI2)</f>
        <v>0.28915187376725837</v>
      </c>
      <c r="CQ2" s="10">
        <v>1009</v>
      </c>
      <c r="CR2" s="14">
        <f>CQ2/($AI2)</f>
        <v>0.39802761341222881</v>
      </c>
      <c r="CS2" s="10">
        <v>953</v>
      </c>
      <c r="CT2" s="14">
        <f>CS2/($AI2)</f>
        <v>0.37593688362919131</v>
      </c>
      <c r="CU2" s="10">
        <v>1182</v>
      </c>
      <c r="CV2" s="14">
        <f>CU2/($AI2)</f>
        <v>0.46627218934911241</v>
      </c>
      <c r="CW2" s="10">
        <v>213</v>
      </c>
      <c r="CX2" s="14">
        <f>CW2/($AI2)</f>
        <v>8.4023668639053251E-2</v>
      </c>
      <c r="CY2" s="10">
        <v>403</v>
      </c>
      <c r="DA2" s="10">
        <v>904</v>
      </c>
      <c r="DC2" s="10">
        <v>335</v>
      </c>
      <c r="DE2" s="10">
        <v>369</v>
      </c>
      <c r="DG2" s="10">
        <v>363</v>
      </c>
    </row>
    <row r="3" spans="1:112" s="10" customFormat="1" ht="16.5" customHeight="1">
      <c r="A3" s="119">
        <v>4</v>
      </c>
      <c r="B3" s="120" t="s">
        <v>25</v>
      </c>
      <c r="C3" s="19" t="str">
        <f t="shared" ref="C3:C8" si="0">E3</f>
        <v>{"username":"bern.sozialarbeiterin1a@diartis.ch","password":"SMze97-jkSJ59!F.","fullname":"Sozialarbeiterin 1A Bern","team":"Sozialarbeit Bern 1"}</v>
      </c>
      <c r="D3" s="13"/>
      <c r="E3" s="45" t="str">
        <f t="shared" ref="E3:E8" si="1"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611" t="s">
        <v>29</v>
      </c>
      <c r="G3" s="612" t="s">
        <v>71</v>
      </c>
      <c r="H3" s="611" t="s">
        <v>31</v>
      </c>
      <c r="I3" s="611" t="s">
        <v>72</v>
      </c>
      <c r="J3" s="611" t="s">
        <v>73</v>
      </c>
      <c r="K3" s="611" t="s">
        <v>74</v>
      </c>
      <c r="L3" s="611" t="s">
        <v>75</v>
      </c>
      <c r="M3" s="611" t="s">
        <v>76</v>
      </c>
      <c r="N3" s="611" t="s">
        <v>37</v>
      </c>
      <c r="O3" s="611"/>
      <c r="P3" s="611"/>
      <c r="Q3" s="611"/>
      <c r="R3" s="611"/>
      <c r="S3" s="611"/>
      <c r="T3" s="611"/>
      <c r="U3" s="611"/>
      <c r="V3" s="611"/>
      <c r="W3" s="611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48">
        <v>407</v>
      </c>
      <c r="AJ3" s="13" t="s">
        <v>38</v>
      </c>
      <c r="AK3" s="26"/>
      <c r="AL3" s="13">
        <v>407</v>
      </c>
      <c r="AM3" s="14">
        <f t="shared" ref="AM3:AO48" si="2">AL3/($AI3)</f>
        <v>1</v>
      </c>
      <c r="AN3" s="13">
        <v>417</v>
      </c>
      <c r="AO3" s="14">
        <f t="shared" si="2"/>
        <v>1.0245700245700247</v>
      </c>
      <c r="AP3" s="13">
        <v>412</v>
      </c>
      <c r="AQ3" s="14">
        <f t="shared" ref="AQ3:AY18" si="3">AP3/($AI3)</f>
        <v>1.0122850122850122</v>
      </c>
      <c r="AR3" s="13">
        <v>421</v>
      </c>
      <c r="AS3" s="14">
        <f t="shared" si="3"/>
        <v>1.0343980343980343</v>
      </c>
      <c r="AT3" s="13">
        <v>403</v>
      </c>
      <c r="AU3" s="14">
        <f t="shared" si="3"/>
        <v>0.9901719901719902</v>
      </c>
      <c r="AV3" s="13">
        <v>411</v>
      </c>
      <c r="AW3" s="14">
        <f t="shared" si="3"/>
        <v>1.0098280098280099</v>
      </c>
      <c r="AX3" s="13">
        <v>1391</v>
      </c>
      <c r="AY3" s="14">
        <f t="shared" si="3"/>
        <v>3.4176904176904177</v>
      </c>
      <c r="AZ3" s="13">
        <v>1355</v>
      </c>
      <c r="BA3" s="13"/>
      <c r="BB3" s="2">
        <v>1177</v>
      </c>
      <c r="BC3" s="14">
        <f t="shared" ref="BC3:BI25" si="4">BB3/($AI3)</f>
        <v>2.8918918918918921</v>
      </c>
      <c r="BD3" s="2">
        <v>410</v>
      </c>
      <c r="BE3" s="14">
        <f t="shared" si="4"/>
        <v>1.0073710073710074</v>
      </c>
      <c r="BF3" s="2">
        <v>416</v>
      </c>
      <c r="BG3" s="14">
        <f t="shared" si="4"/>
        <v>1.0221130221130221</v>
      </c>
      <c r="BH3" s="2">
        <v>404</v>
      </c>
      <c r="BI3" s="14">
        <f t="shared" si="4"/>
        <v>0.99262899262899262</v>
      </c>
      <c r="BK3" s="10">
        <v>413</v>
      </c>
      <c r="BL3" s="14">
        <f t="shared" ref="BL3:BL25" si="5">BK3/($AI3)</f>
        <v>1.0147420147420148</v>
      </c>
      <c r="BM3" s="10">
        <v>403</v>
      </c>
      <c r="BN3" s="14">
        <f t="shared" ref="BN3:CB25" si="6">BM3/($AI3)</f>
        <v>0.9901719901719902</v>
      </c>
      <c r="BO3" s="10">
        <v>1161</v>
      </c>
      <c r="BP3" s="14">
        <f t="shared" si="6"/>
        <v>2.8525798525798525</v>
      </c>
      <c r="BQ3" s="10">
        <v>1183</v>
      </c>
      <c r="BR3" s="14">
        <f t="shared" si="6"/>
        <v>2.9066339066339064</v>
      </c>
      <c r="BS3" s="10">
        <v>1170</v>
      </c>
      <c r="BT3" s="14">
        <f t="shared" si="6"/>
        <v>2.8746928746928746</v>
      </c>
      <c r="BU3" s="10">
        <v>1089</v>
      </c>
      <c r="BV3" s="14">
        <f t="shared" si="6"/>
        <v>2.6756756756756759</v>
      </c>
      <c r="BW3" s="10">
        <v>1108</v>
      </c>
      <c r="BX3" s="14">
        <f t="shared" si="6"/>
        <v>2.7223587223587224</v>
      </c>
      <c r="BY3" s="10">
        <v>1162</v>
      </c>
      <c r="BZ3" s="14">
        <f t="shared" si="6"/>
        <v>2.8550368550368552</v>
      </c>
      <c r="CA3" s="10">
        <v>1253</v>
      </c>
      <c r="CB3" s="14">
        <f t="shared" si="6"/>
        <v>3.0786240786240788</v>
      </c>
      <c r="CC3" s="10">
        <v>1022</v>
      </c>
      <c r="CD3" s="14">
        <f t="shared" ref="CD3:CJ25" si="7">CC3/($AI3)</f>
        <v>2.5110565110565108</v>
      </c>
      <c r="CE3" s="10">
        <v>1168</v>
      </c>
      <c r="CF3" s="14">
        <f t="shared" si="7"/>
        <v>2.86977886977887</v>
      </c>
      <c r="CG3" s="10">
        <v>1042</v>
      </c>
      <c r="CH3" s="14">
        <f t="shared" si="7"/>
        <v>2.5601965601965602</v>
      </c>
      <c r="CI3" s="10">
        <v>774</v>
      </c>
      <c r="CJ3" s="14">
        <f t="shared" si="7"/>
        <v>1.9017199017199018</v>
      </c>
      <c r="CK3" s="10">
        <v>1476</v>
      </c>
      <c r="CL3" s="14">
        <f t="shared" ref="CL3:CL25" si="8">CK3/($AI3)</f>
        <v>3.6265356265356266</v>
      </c>
      <c r="CM3" s="10">
        <v>1335</v>
      </c>
      <c r="CN3" s="14">
        <f t="shared" ref="CN3:CN25" si="9">CM3/($AI3)</f>
        <v>3.2800982800982803</v>
      </c>
      <c r="CO3" s="10">
        <v>1310</v>
      </c>
      <c r="CP3" s="14">
        <f t="shared" ref="CP3:CV25" si="10">CO3/($AI3)</f>
        <v>3.2186732186732185</v>
      </c>
      <c r="CQ3" s="10">
        <v>1597</v>
      </c>
      <c r="CR3" s="14">
        <f t="shared" si="10"/>
        <v>3.9238329238329239</v>
      </c>
      <c r="CS3" s="10">
        <v>1493</v>
      </c>
      <c r="CT3" s="14">
        <f t="shared" si="10"/>
        <v>3.6683046683046685</v>
      </c>
      <c r="CU3" s="10">
        <v>1812</v>
      </c>
      <c r="CV3" s="14">
        <f t="shared" si="10"/>
        <v>4.4520884520884518</v>
      </c>
      <c r="CW3" s="10">
        <v>814</v>
      </c>
      <c r="CX3" s="14">
        <f t="shared" ref="CX3:CX25" si="11">CW3/($AI3)</f>
        <v>2</v>
      </c>
      <c r="CY3" s="10">
        <v>1180</v>
      </c>
      <c r="DA3" s="10">
        <v>1383</v>
      </c>
      <c r="DC3" s="10">
        <v>1128</v>
      </c>
      <c r="DE3" s="10">
        <v>1072</v>
      </c>
      <c r="DG3" s="10">
        <v>1124</v>
      </c>
    </row>
    <row r="4" spans="1:112" s="10" customFormat="1" ht="16.5" customHeight="1">
      <c r="A4" s="119"/>
      <c r="B4" s="122" t="s">
        <v>77</v>
      </c>
      <c r="C4" s="19" t="str">
        <f t="shared" si="0"/>
        <v>{"name":p.FamilyName1,"vorname":p.ManFirstName1,"ahvNumber":"","geburtsdatum":""}</v>
      </c>
      <c r="D4" s="13"/>
      <c r="E4" s="45" t="str">
        <f t="shared" si="1"/>
        <v>{"name":p.FamilyName1,"vorname":p.ManFirstName1,"ahvNumber":"","geburtsdatum":""}</v>
      </c>
      <c r="F4" s="146" t="s">
        <v>78</v>
      </c>
      <c r="G4" s="611" t="str">
        <f>G$63</f>
        <v>p.FamilyName1</v>
      </c>
      <c r="H4" s="611" t="s">
        <v>79</v>
      </c>
      <c r="I4" s="611" t="str">
        <f>H$62</f>
        <v>p.ManFirstName1</v>
      </c>
      <c r="J4" s="611" t="s">
        <v>80</v>
      </c>
      <c r="K4" s="611"/>
      <c r="L4" s="611" t="s">
        <v>81</v>
      </c>
      <c r="M4" s="613"/>
      <c r="N4" s="611" t="s">
        <v>37</v>
      </c>
      <c r="O4" s="611"/>
      <c r="P4" s="611"/>
      <c r="Q4" s="611"/>
      <c r="R4" s="611"/>
      <c r="S4" s="611"/>
      <c r="T4" s="611"/>
      <c r="U4" s="611"/>
      <c r="V4" s="611"/>
      <c r="W4" s="611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48">
        <v>6791</v>
      </c>
      <c r="AJ4" s="13" t="s">
        <v>39</v>
      </c>
      <c r="AK4" s="27"/>
      <c r="AL4" s="13">
        <v>9630</v>
      </c>
      <c r="AM4" s="14">
        <f t="shared" si="2"/>
        <v>1.4180533058459726</v>
      </c>
      <c r="AN4" s="13">
        <v>8889</v>
      </c>
      <c r="AO4" s="14">
        <f t="shared" si="2"/>
        <v>1.3089383006920925</v>
      </c>
      <c r="AP4" s="13">
        <v>10209</v>
      </c>
      <c r="AQ4" s="14">
        <f t="shared" si="3"/>
        <v>1.5033132086585186</v>
      </c>
      <c r="AR4" s="13">
        <v>9507</v>
      </c>
      <c r="AS4" s="14">
        <f t="shared" si="3"/>
        <v>1.3999410985127374</v>
      </c>
      <c r="AT4" s="13">
        <v>6454</v>
      </c>
      <c r="AU4" s="14">
        <f t="shared" si="3"/>
        <v>0.95037549698129875</v>
      </c>
      <c r="AV4" s="13">
        <v>8318</v>
      </c>
      <c r="AW4" s="14">
        <f t="shared" si="3"/>
        <v>1.2248564276247975</v>
      </c>
      <c r="AX4" s="13">
        <v>10072</v>
      </c>
      <c r="AY4" s="14">
        <f t="shared" si="3"/>
        <v>1.4831394492710941</v>
      </c>
      <c r="AZ4" s="13">
        <v>10056</v>
      </c>
      <c r="BA4" s="13"/>
      <c r="BB4" s="2">
        <v>9423</v>
      </c>
      <c r="BC4" s="14">
        <f t="shared" si="4"/>
        <v>1.3875717861876011</v>
      </c>
      <c r="BD4" s="2">
        <v>6604</v>
      </c>
      <c r="BE4" s="14">
        <f t="shared" si="4"/>
        <v>0.97246355470475632</v>
      </c>
      <c r="BF4" s="2">
        <v>10404</v>
      </c>
      <c r="BG4" s="14">
        <f t="shared" si="4"/>
        <v>1.5320276836990134</v>
      </c>
      <c r="BH4" s="2">
        <v>4702</v>
      </c>
      <c r="BI4" s="14">
        <f t="shared" si="4"/>
        <v>0.69238698277131494</v>
      </c>
      <c r="BK4" s="10">
        <v>7245</v>
      </c>
      <c r="BL4" s="14">
        <f t="shared" si="5"/>
        <v>1.0668531880429981</v>
      </c>
      <c r="BM4" s="10">
        <v>6500</v>
      </c>
      <c r="BN4" s="14">
        <f t="shared" si="6"/>
        <v>0.95714916801649241</v>
      </c>
      <c r="BO4" s="10">
        <v>7445</v>
      </c>
      <c r="BP4" s="14">
        <f t="shared" si="6"/>
        <v>1.0963039316742749</v>
      </c>
      <c r="BQ4" s="10">
        <v>7658</v>
      </c>
      <c r="BR4" s="14">
        <f t="shared" si="6"/>
        <v>1.1276689736415844</v>
      </c>
      <c r="BS4" s="10">
        <v>6851</v>
      </c>
      <c r="BT4" s="14">
        <f t="shared" si="6"/>
        <v>1.0088352230893831</v>
      </c>
      <c r="BU4" s="10">
        <v>7556</v>
      </c>
      <c r="BV4" s="14">
        <f t="shared" si="6"/>
        <v>1.1126490943896334</v>
      </c>
      <c r="BW4" s="10">
        <v>7074</v>
      </c>
      <c r="BX4" s="14">
        <f t="shared" si="6"/>
        <v>1.0416728022382564</v>
      </c>
      <c r="BY4" s="10">
        <v>7362</v>
      </c>
      <c r="BZ4" s="14">
        <f t="shared" si="6"/>
        <v>1.084081873067295</v>
      </c>
      <c r="CA4" s="10">
        <v>6882</v>
      </c>
      <c r="CB4" s="14">
        <f t="shared" si="6"/>
        <v>1.0134000883522309</v>
      </c>
      <c r="CC4" s="10">
        <v>7465</v>
      </c>
      <c r="CD4" s="14">
        <f t="shared" si="7"/>
        <v>1.0992490060374025</v>
      </c>
      <c r="CE4" s="10">
        <v>7303</v>
      </c>
      <c r="CF4" s="14">
        <f t="shared" si="7"/>
        <v>1.0753939036960682</v>
      </c>
      <c r="CG4" s="10">
        <v>6858</v>
      </c>
      <c r="CH4" s="14">
        <f t="shared" si="7"/>
        <v>1.0098659991164778</v>
      </c>
      <c r="CI4" s="10">
        <v>5092</v>
      </c>
      <c r="CJ4" s="14">
        <f t="shared" si="7"/>
        <v>0.74981593285230452</v>
      </c>
      <c r="CK4" s="10">
        <v>6341</v>
      </c>
      <c r="CL4" s="14">
        <f t="shared" si="8"/>
        <v>0.93373582682962741</v>
      </c>
      <c r="CM4" s="10">
        <v>6443</v>
      </c>
      <c r="CN4" s="14">
        <f t="shared" si="9"/>
        <v>0.94875570608157855</v>
      </c>
      <c r="CO4" s="10">
        <v>6003</v>
      </c>
      <c r="CP4" s="14">
        <f t="shared" si="10"/>
        <v>0.88396407009276989</v>
      </c>
      <c r="CQ4" s="10">
        <v>6485</v>
      </c>
      <c r="CR4" s="14">
        <f t="shared" si="10"/>
        <v>0.95494036224414669</v>
      </c>
      <c r="CS4" s="10">
        <v>10819</v>
      </c>
      <c r="CT4" s="14">
        <f t="shared" si="10"/>
        <v>1.5931379767339124</v>
      </c>
      <c r="CU4" s="10">
        <v>6713</v>
      </c>
      <c r="CV4" s="14">
        <f t="shared" si="10"/>
        <v>0.98851420998380213</v>
      </c>
      <c r="CW4" s="10">
        <v>5703</v>
      </c>
      <c r="CX4" s="14">
        <f t="shared" si="11"/>
        <v>0.83978795464585476</v>
      </c>
      <c r="CY4" s="10">
        <v>8793</v>
      </c>
      <c r="DA4" s="10">
        <v>6465</v>
      </c>
      <c r="DC4" s="10">
        <v>8399</v>
      </c>
      <c r="DE4" s="10">
        <v>7518</v>
      </c>
      <c r="DG4" s="10">
        <v>8015</v>
      </c>
    </row>
    <row r="5" spans="1:112" s="10" customFormat="1" ht="16.5" customHeight="1">
      <c r="A5" s="119">
        <v>6</v>
      </c>
      <c r="B5" s="120" t="s">
        <v>82</v>
      </c>
      <c r="C5" s="38" t="str">
        <f t="shared" si="0"/>
        <v>{"name":p.FamilyName1,"vorname":p.ManFirstName1,"ahvNumber":p.AHVNumber1,"language":"Deutsch","zivilstand":"ledig","geburtsdatum":p.BirthdayAdult1,"national":"Schweiz","gender":"männlich","aufenthalt":""}</v>
      </c>
      <c r="D5" s="13"/>
      <c r="E5" s="45" t="str">
        <f t="shared" si="1"/>
        <v>{"name":p.FamilyName1,"vorname":p.ManFirstName1,"ahvNumber":p.AHVNumber1,"language":"Deutsch","zivilstand":"ledig","geburtsdatum":p.BirthdayAdult1,"national":"Schweiz","gender":"männlich","aufenthalt":""}</v>
      </c>
      <c r="F5" s="146" t="s">
        <v>78</v>
      </c>
      <c r="G5" s="611" t="str">
        <f>G4</f>
        <v>p.FamilyName1</v>
      </c>
      <c r="H5" s="611" t="s">
        <v>79</v>
      </c>
      <c r="I5" s="611" t="str">
        <f>I4</f>
        <v>p.ManFirstName1</v>
      </c>
      <c r="J5" s="611" t="s">
        <v>83</v>
      </c>
      <c r="K5" s="609" t="str">
        <f>I$62</f>
        <v>p.AHVNumber1</v>
      </c>
      <c r="L5" s="611" t="s">
        <v>84</v>
      </c>
      <c r="M5" s="613" t="s">
        <v>85</v>
      </c>
      <c r="N5" s="611" t="s">
        <v>86</v>
      </c>
      <c r="O5" s="611" t="s">
        <v>87</v>
      </c>
      <c r="P5" s="611" t="s">
        <v>88</v>
      </c>
      <c r="Q5" s="614" t="str">
        <f>J62</f>
        <v>p.BirthdayAdult1</v>
      </c>
      <c r="R5" s="611" t="s">
        <v>89</v>
      </c>
      <c r="S5" s="611" t="s">
        <v>90</v>
      </c>
      <c r="T5" s="611" t="s">
        <v>91</v>
      </c>
      <c r="U5" s="611" t="s">
        <v>92</v>
      </c>
      <c r="V5" s="611" t="s">
        <v>93</v>
      </c>
      <c r="W5" s="611"/>
      <c r="X5" s="13" t="s">
        <v>37</v>
      </c>
      <c r="Y5" s="13"/>
      <c r="Z5" s="66"/>
      <c r="AA5" s="13"/>
      <c r="AB5" s="13"/>
      <c r="AC5" s="13"/>
      <c r="AD5" s="13"/>
      <c r="AE5" s="13"/>
      <c r="AF5" s="13"/>
      <c r="AG5" s="13"/>
      <c r="AH5" s="13"/>
      <c r="AI5" s="48">
        <v>4248</v>
      </c>
      <c r="AJ5" s="13" t="s">
        <v>41</v>
      </c>
      <c r="AK5" s="28"/>
      <c r="AL5" s="13">
        <v>2994</v>
      </c>
      <c r="AM5" s="14">
        <f t="shared" si="2"/>
        <v>0.70480225988700562</v>
      </c>
      <c r="AN5" s="13">
        <v>3290</v>
      </c>
      <c r="AO5" s="14">
        <f t="shared" si="2"/>
        <v>0.77448210922787197</v>
      </c>
      <c r="AP5" s="13">
        <v>3368</v>
      </c>
      <c r="AQ5" s="14">
        <f t="shared" si="3"/>
        <v>0.79284369114877584</v>
      </c>
      <c r="AR5" s="13">
        <v>3306</v>
      </c>
      <c r="AS5" s="14">
        <f t="shared" si="3"/>
        <v>0.77824858757062143</v>
      </c>
      <c r="AT5" s="13">
        <v>1785</v>
      </c>
      <c r="AU5" s="14">
        <f t="shared" si="3"/>
        <v>0.42019774011299438</v>
      </c>
      <c r="AV5" s="13">
        <v>3248</v>
      </c>
      <c r="AW5" s="14">
        <f t="shared" si="3"/>
        <v>0.76459510357815441</v>
      </c>
      <c r="AX5" s="13">
        <v>3124</v>
      </c>
      <c r="AY5" s="14">
        <f t="shared" si="3"/>
        <v>0.73540489642184559</v>
      </c>
      <c r="AZ5" s="13">
        <v>2770</v>
      </c>
      <c r="BA5" s="13"/>
      <c r="BB5" s="2">
        <v>2828</v>
      </c>
      <c r="BC5" s="14">
        <f t="shared" si="4"/>
        <v>0.66572504708097924</v>
      </c>
      <c r="BD5" s="2">
        <v>1839</v>
      </c>
      <c r="BE5" s="14">
        <f t="shared" si="4"/>
        <v>0.43290960451977401</v>
      </c>
      <c r="BF5" s="2">
        <v>3591</v>
      </c>
      <c r="BG5" s="14">
        <f t="shared" si="4"/>
        <v>0.84533898305084743</v>
      </c>
      <c r="BH5" s="2">
        <v>1286</v>
      </c>
      <c r="BI5" s="14">
        <f t="shared" si="4"/>
        <v>0.3027306967984934</v>
      </c>
      <c r="BK5" s="10">
        <v>1866</v>
      </c>
      <c r="BL5" s="14">
        <f t="shared" si="5"/>
        <v>0.43926553672316382</v>
      </c>
      <c r="BM5" s="10">
        <v>1734</v>
      </c>
      <c r="BN5" s="14">
        <f t="shared" si="6"/>
        <v>0.40819209039548021</v>
      </c>
      <c r="BO5" s="10">
        <v>1743</v>
      </c>
      <c r="BP5" s="14">
        <f t="shared" si="6"/>
        <v>0.41031073446327682</v>
      </c>
      <c r="BQ5" s="10">
        <v>1989</v>
      </c>
      <c r="BR5" s="14">
        <f t="shared" si="6"/>
        <v>0.46822033898305082</v>
      </c>
      <c r="BS5" s="10">
        <v>1938</v>
      </c>
      <c r="BT5" s="14">
        <f t="shared" si="6"/>
        <v>0.45621468926553671</v>
      </c>
      <c r="BU5" s="10">
        <v>1806</v>
      </c>
      <c r="BV5" s="14">
        <f t="shared" si="6"/>
        <v>0.4251412429378531</v>
      </c>
      <c r="BW5" s="10">
        <v>1746</v>
      </c>
      <c r="BX5" s="14">
        <f t="shared" si="6"/>
        <v>0.41101694915254239</v>
      </c>
      <c r="BY5" s="10">
        <v>1735</v>
      </c>
      <c r="BZ5" s="14">
        <f t="shared" si="6"/>
        <v>0.40842749529190209</v>
      </c>
      <c r="CA5" s="10">
        <v>1625</v>
      </c>
      <c r="CB5" s="14">
        <f t="shared" si="6"/>
        <v>0.38253295668549908</v>
      </c>
      <c r="CC5" s="10">
        <v>1839</v>
      </c>
      <c r="CD5" s="14">
        <f t="shared" si="7"/>
        <v>0.43290960451977401</v>
      </c>
      <c r="CE5" s="10">
        <v>1633</v>
      </c>
      <c r="CF5" s="14">
        <f t="shared" si="7"/>
        <v>0.38441619585687381</v>
      </c>
      <c r="CG5" s="10">
        <v>1427</v>
      </c>
      <c r="CH5" s="14">
        <f t="shared" si="7"/>
        <v>0.33592278719397362</v>
      </c>
      <c r="CI5" s="10">
        <v>569</v>
      </c>
      <c r="CJ5" s="14">
        <f t="shared" si="7"/>
        <v>0.13394538606403014</v>
      </c>
      <c r="CK5" s="10">
        <v>459</v>
      </c>
      <c r="CL5" s="14">
        <f t="shared" si="8"/>
        <v>0.10805084745762712</v>
      </c>
      <c r="CM5" s="10">
        <v>1317</v>
      </c>
      <c r="CN5" s="14">
        <f t="shared" si="9"/>
        <v>0.31002824858757061</v>
      </c>
      <c r="CO5" s="10">
        <v>1435</v>
      </c>
      <c r="CP5" s="14">
        <f t="shared" si="10"/>
        <v>0.3378060263653484</v>
      </c>
      <c r="CQ5" s="10">
        <v>1356</v>
      </c>
      <c r="CR5" s="14">
        <f t="shared" si="10"/>
        <v>0.3192090395480226</v>
      </c>
      <c r="CS5" s="10">
        <v>1454</v>
      </c>
      <c r="CT5" s="14">
        <f t="shared" si="10"/>
        <v>0.34227871939736348</v>
      </c>
      <c r="CU5" s="10">
        <v>1334</v>
      </c>
      <c r="CV5" s="14">
        <f t="shared" si="10"/>
        <v>0.314030131826742</v>
      </c>
      <c r="CW5" s="10">
        <v>1162</v>
      </c>
      <c r="CX5" s="14">
        <f t="shared" si="11"/>
        <v>0.27354048964218458</v>
      </c>
      <c r="CY5" s="10">
        <v>1488</v>
      </c>
      <c r="DA5" s="10">
        <v>484</v>
      </c>
      <c r="DC5" s="10">
        <v>1126</v>
      </c>
      <c r="DE5" s="10">
        <v>1206</v>
      </c>
      <c r="DG5" s="10">
        <v>1425</v>
      </c>
    </row>
    <row r="6" spans="1:112" s="10" customFormat="1" ht="16.5" customHeight="1" thickBot="1">
      <c r="A6" s="119">
        <v>7</v>
      </c>
      <c r="B6" s="120" t="s">
        <v>94</v>
      </c>
      <c r="C6" s="38" t="str">
        <f t="shared" ca="1" si="0"/>
        <v>{"mobile":"079 5413355","privateNumber":"079 5309370","email":"5624abc@gmail.com"}</v>
      </c>
      <c r="D6" s="13"/>
      <c r="E6" s="45" t="str">
        <f t="shared" ca="1" si="1"/>
        <v>{"mobile":"079 5413355","privateNumber":"079 5309370","email":"5624abc@gmail.com"}</v>
      </c>
      <c r="F6" s="146" t="s">
        <v>95</v>
      </c>
      <c r="G6" s="611" t="str">
        <f ca="1">"079 "&amp;RANDBETWEEN(5234500,5699999)</f>
        <v>079 5413355</v>
      </c>
      <c r="H6" s="611" t="s">
        <v>96</v>
      </c>
      <c r="I6" s="611" t="str">
        <f ca="1">"079 "&amp;RANDBETWEEN(5234500,5699999)</f>
        <v>079 5309370</v>
      </c>
      <c r="J6" s="611" t="s">
        <v>97</v>
      </c>
      <c r="K6" s="612" t="s">
        <v>98</v>
      </c>
      <c r="L6" s="611" t="s">
        <v>37</v>
      </c>
      <c r="M6" s="611"/>
      <c r="N6" s="611"/>
      <c r="O6" s="611"/>
      <c r="P6" s="611"/>
      <c r="Q6" s="611"/>
      <c r="R6" s="611"/>
      <c r="S6" s="611"/>
      <c r="T6" s="611"/>
      <c r="U6" s="611"/>
      <c r="V6" s="611"/>
      <c r="W6" s="611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48">
        <v>3639</v>
      </c>
      <c r="AJ6" s="13" t="s">
        <v>42</v>
      </c>
      <c r="AK6" s="29"/>
      <c r="AL6" s="13">
        <v>3657</v>
      </c>
      <c r="AM6" s="14">
        <f t="shared" si="2"/>
        <v>1.0049464138499589</v>
      </c>
      <c r="AN6" s="13">
        <v>4534</v>
      </c>
      <c r="AO6" s="14">
        <f t="shared" si="2"/>
        <v>1.2459466886507282</v>
      </c>
      <c r="AP6" s="13">
        <v>4999</v>
      </c>
      <c r="AQ6" s="14">
        <f t="shared" si="3"/>
        <v>1.3737290464413301</v>
      </c>
      <c r="AR6" s="13">
        <v>4750</v>
      </c>
      <c r="AS6" s="14">
        <f t="shared" si="3"/>
        <v>1.3053036548502335</v>
      </c>
      <c r="AT6" s="13">
        <v>2507</v>
      </c>
      <c r="AU6" s="14">
        <f t="shared" si="3"/>
        <v>0.68892552899148118</v>
      </c>
      <c r="AV6" s="13">
        <v>4176</v>
      </c>
      <c r="AW6" s="14">
        <f t="shared" si="3"/>
        <v>1.1475680131904369</v>
      </c>
      <c r="AX6" s="13">
        <v>3909</v>
      </c>
      <c r="AY6" s="14">
        <f t="shared" si="3"/>
        <v>1.0741962077493816</v>
      </c>
      <c r="AZ6" s="13">
        <v>3585</v>
      </c>
      <c r="BA6" s="13"/>
      <c r="BB6" s="2">
        <v>3326</v>
      </c>
      <c r="BC6" s="14">
        <f t="shared" si="4"/>
        <v>0.91398735916460561</v>
      </c>
      <c r="BD6" s="2">
        <v>3008</v>
      </c>
      <c r="BE6" s="14">
        <f t="shared" si="4"/>
        <v>0.82660071448200056</v>
      </c>
      <c r="BF6" s="2">
        <v>4148</v>
      </c>
      <c r="BG6" s="14">
        <f t="shared" si="4"/>
        <v>1.1398735916460565</v>
      </c>
      <c r="BH6" s="2">
        <v>2528</v>
      </c>
      <c r="BI6" s="14">
        <f t="shared" si="4"/>
        <v>0.69469634514976641</v>
      </c>
      <c r="BK6" s="10">
        <v>3014</v>
      </c>
      <c r="BL6" s="14">
        <f t="shared" si="5"/>
        <v>0.82824951909865352</v>
      </c>
      <c r="BM6" s="10">
        <v>2617</v>
      </c>
      <c r="BN6" s="14">
        <f t="shared" si="6"/>
        <v>0.7191536136301182</v>
      </c>
      <c r="BO6" s="10">
        <v>2785</v>
      </c>
      <c r="BP6" s="14">
        <f t="shared" si="6"/>
        <v>0.76532014289640016</v>
      </c>
      <c r="BQ6" s="10">
        <v>3146</v>
      </c>
      <c r="BR6" s="14">
        <f t="shared" si="6"/>
        <v>0.86452322066501786</v>
      </c>
      <c r="BS6" s="10">
        <v>3792</v>
      </c>
      <c r="BT6" s="14">
        <f t="shared" si="6"/>
        <v>1.0420445177246496</v>
      </c>
      <c r="BU6" s="10">
        <v>3891</v>
      </c>
      <c r="BV6" s="14">
        <f t="shared" si="6"/>
        <v>1.069249793899423</v>
      </c>
      <c r="BW6" s="10">
        <v>3784</v>
      </c>
      <c r="BX6" s="14">
        <f t="shared" si="6"/>
        <v>1.0398461115691124</v>
      </c>
      <c r="BY6" s="10">
        <v>3631</v>
      </c>
      <c r="BZ6" s="14">
        <f t="shared" si="6"/>
        <v>0.99780159384446276</v>
      </c>
      <c r="CA6" s="10">
        <v>2395</v>
      </c>
      <c r="CB6" s="14">
        <f t="shared" si="6"/>
        <v>0.65814784281395988</v>
      </c>
      <c r="CC6" s="10">
        <v>3816</v>
      </c>
      <c r="CD6" s="14">
        <f t="shared" si="7"/>
        <v>1.0486397361912614</v>
      </c>
      <c r="CE6" s="10">
        <v>2687</v>
      </c>
      <c r="CF6" s="14">
        <f t="shared" si="7"/>
        <v>0.73838966749106894</v>
      </c>
      <c r="CG6" s="10">
        <v>2464</v>
      </c>
      <c r="CH6" s="14">
        <f t="shared" si="7"/>
        <v>0.67710909590546853</v>
      </c>
      <c r="CI6" s="10">
        <v>2247</v>
      </c>
      <c r="CJ6" s="14">
        <f t="shared" si="7"/>
        <v>0.61747732893652107</v>
      </c>
      <c r="CK6" s="10">
        <v>2207</v>
      </c>
      <c r="CL6" s="14">
        <f t="shared" si="8"/>
        <v>0.6064852981588349</v>
      </c>
      <c r="CM6" s="10">
        <v>2514</v>
      </c>
      <c r="CN6" s="14">
        <f t="shared" si="9"/>
        <v>0.69084913437757622</v>
      </c>
      <c r="CO6" s="10">
        <v>2449</v>
      </c>
      <c r="CP6" s="14">
        <f t="shared" si="10"/>
        <v>0.67298708436383625</v>
      </c>
      <c r="CQ6" s="10">
        <v>2560</v>
      </c>
      <c r="CR6" s="14">
        <f t="shared" si="10"/>
        <v>0.70348996977191536</v>
      </c>
      <c r="CS6" s="10">
        <v>2643</v>
      </c>
      <c r="CT6" s="14">
        <f t="shared" si="10"/>
        <v>0.72629843363561419</v>
      </c>
      <c r="CU6" s="10">
        <v>2534</v>
      </c>
      <c r="CV6" s="14">
        <f t="shared" si="10"/>
        <v>0.69634514976641937</v>
      </c>
      <c r="CW6" s="10">
        <v>2486</v>
      </c>
      <c r="CX6" s="14">
        <f t="shared" si="11"/>
        <v>0.68315471283319595</v>
      </c>
      <c r="CY6" s="10">
        <v>2948</v>
      </c>
      <c r="DA6" s="10">
        <v>2208</v>
      </c>
      <c r="DC6" s="10">
        <v>2753</v>
      </c>
      <c r="DE6" s="10">
        <v>2659</v>
      </c>
      <c r="DG6" s="10">
        <v>2809</v>
      </c>
    </row>
    <row r="7" spans="1:112" s="10" customFormat="1" ht="16.5" customHeight="1" thickBot="1">
      <c r="A7" s="119">
        <v>8</v>
      </c>
      <c r="B7" s="120" t="s">
        <v>99</v>
      </c>
      <c r="C7" s="38" t="str">
        <f t="shared" ca="1" si="0"/>
        <v>{"zusatz":"","strasse":"Strasse_566","houseNumber":"5","ort":"3053 Münchenbuchsee","validDate":"01.01.2025"}</v>
      </c>
      <c r="D7" s="13"/>
      <c r="E7" s="45" t="str">
        <f t="shared" ca="1" si="1"/>
        <v>{"zusatz":"","strasse":"Strasse_566","houseNumber":"5","ort":"3053 Münchenbuchsee","validDate":"01.01.2025"}</v>
      </c>
      <c r="F7" s="611" t="s">
        <v>100</v>
      </c>
      <c r="G7" s="611"/>
      <c r="H7" s="611" t="s">
        <v>101</v>
      </c>
      <c r="I7" s="611" t="str">
        <f ca="1">"Strasse_"&amp;RANDBETWEEN(1,1000)</f>
        <v>Strasse_566</v>
      </c>
      <c r="J7" s="611" t="s">
        <v>102</v>
      </c>
      <c r="K7" s="611">
        <f ca="1">RANDBETWEEN(1,100)</f>
        <v>5</v>
      </c>
      <c r="L7" s="609" t="s">
        <v>103</v>
      </c>
      <c r="M7" s="611" t="s">
        <v>104</v>
      </c>
      <c r="N7" s="611" t="s">
        <v>105</v>
      </c>
      <c r="O7" s="615" t="str">
        <f ca="1">"01.01."&amp;TEXT(TODAY(),"YYYY")</f>
        <v>01.01.2025</v>
      </c>
      <c r="P7" s="611" t="s">
        <v>37</v>
      </c>
      <c r="Q7" s="611"/>
      <c r="R7" s="611"/>
      <c r="S7" s="611"/>
      <c r="T7" s="611"/>
      <c r="U7" s="611"/>
      <c r="V7" s="611"/>
      <c r="W7" s="611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48">
        <v>434</v>
      </c>
      <c r="AJ7" s="13" t="s">
        <v>44</v>
      </c>
      <c r="AK7" s="31"/>
      <c r="AL7" s="13">
        <v>443</v>
      </c>
      <c r="AM7" s="14">
        <f t="shared" si="2"/>
        <v>1.0207373271889402</v>
      </c>
      <c r="AN7" s="13">
        <v>807</v>
      </c>
      <c r="AO7" s="14">
        <f t="shared" si="2"/>
        <v>1.8594470046082949</v>
      </c>
      <c r="AP7" s="13">
        <v>785</v>
      </c>
      <c r="AQ7" s="14">
        <f t="shared" si="3"/>
        <v>1.8087557603686637</v>
      </c>
      <c r="AR7" s="13">
        <v>742</v>
      </c>
      <c r="AS7" s="14">
        <f t="shared" si="3"/>
        <v>1.7096774193548387</v>
      </c>
      <c r="AT7" s="13">
        <v>407</v>
      </c>
      <c r="AU7" s="14">
        <f t="shared" si="3"/>
        <v>0.93778801843317972</v>
      </c>
      <c r="AV7" s="13">
        <v>629</v>
      </c>
      <c r="AW7" s="14">
        <f t="shared" si="3"/>
        <v>1.4493087557603688</v>
      </c>
      <c r="AX7" s="13">
        <v>624</v>
      </c>
      <c r="AY7" s="14">
        <f t="shared" si="3"/>
        <v>1.4377880184331797</v>
      </c>
      <c r="AZ7" s="13">
        <v>547</v>
      </c>
      <c r="BA7" s="13"/>
      <c r="BB7" s="2">
        <v>428</v>
      </c>
      <c r="BC7" s="14">
        <f t="shared" si="4"/>
        <v>0.98617511520737322</v>
      </c>
      <c r="BD7" s="2">
        <v>246</v>
      </c>
      <c r="BE7" s="14">
        <f t="shared" si="4"/>
        <v>0.56682027649769584</v>
      </c>
      <c r="BF7" s="2">
        <v>641</v>
      </c>
      <c r="BG7" s="14">
        <f t="shared" si="4"/>
        <v>1.4769585253456221</v>
      </c>
      <c r="BH7" s="2">
        <v>247</v>
      </c>
      <c r="BI7" s="14">
        <f t="shared" si="4"/>
        <v>0.56912442396313367</v>
      </c>
      <c r="BK7" s="10">
        <v>358</v>
      </c>
      <c r="BL7" s="14">
        <f t="shared" si="5"/>
        <v>0.82488479262672809</v>
      </c>
      <c r="BM7" s="10">
        <v>344</v>
      </c>
      <c r="BN7" s="14">
        <f t="shared" si="6"/>
        <v>0.79262672811059909</v>
      </c>
      <c r="BO7" s="10">
        <v>321</v>
      </c>
      <c r="BP7" s="14">
        <f t="shared" si="6"/>
        <v>0.73963133640552992</v>
      </c>
      <c r="BQ7" s="10">
        <v>400</v>
      </c>
      <c r="BR7" s="14">
        <f t="shared" si="6"/>
        <v>0.92165898617511521</v>
      </c>
      <c r="BS7" s="10">
        <v>509</v>
      </c>
      <c r="BT7" s="14">
        <f t="shared" si="6"/>
        <v>1.1728110599078341</v>
      </c>
      <c r="BU7" s="10">
        <v>513</v>
      </c>
      <c r="BV7" s="14">
        <f t="shared" si="6"/>
        <v>1.1820276497695852</v>
      </c>
      <c r="BW7" s="10">
        <v>456</v>
      </c>
      <c r="BX7" s="14">
        <f t="shared" si="6"/>
        <v>1.0506912442396312</v>
      </c>
      <c r="BY7" s="10">
        <v>457</v>
      </c>
      <c r="BZ7" s="14">
        <f t="shared" si="6"/>
        <v>1.0529953917050692</v>
      </c>
      <c r="CA7" s="10">
        <v>366</v>
      </c>
      <c r="CB7" s="14">
        <f t="shared" si="6"/>
        <v>0.84331797235023043</v>
      </c>
      <c r="CC7" s="10">
        <v>422</v>
      </c>
      <c r="CD7" s="14">
        <f t="shared" si="7"/>
        <v>0.97235023041474655</v>
      </c>
      <c r="CE7" s="10">
        <v>346</v>
      </c>
      <c r="CF7" s="14">
        <f t="shared" si="7"/>
        <v>0.79723502304147464</v>
      </c>
      <c r="CG7" s="10">
        <v>294</v>
      </c>
      <c r="CH7" s="14">
        <f t="shared" si="7"/>
        <v>0.67741935483870963</v>
      </c>
      <c r="CI7" s="10">
        <v>174</v>
      </c>
      <c r="CJ7" s="14">
        <f t="shared" si="7"/>
        <v>0.4009216589861751</v>
      </c>
      <c r="CK7" s="10">
        <v>148</v>
      </c>
      <c r="CL7" s="14">
        <f t="shared" si="8"/>
        <v>0.34101382488479265</v>
      </c>
      <c r="CM7" s="10">
        <v>240</v>
      </c>
      <c r="CN7" s="14">
        <f t="shared" si="9"/>
        <v>0.55299539170506917</v>
      </c>
      <c r="CO7" s="10">
        <v>234</v>
      </c>
      <c r="CP7" s="14">
        <f t="shared" si="10"/>
        <v>0.53917050691244239</v>
      </c>
      <c r="CQ7" s="10">
        <v>248</v>
      </c>
      <c r="CR7" s="14">
        <f t="shared" si="10"/>
        <v>0.5714285714285714</v>
      </c>
      <c r="CS7" s="10">
        <v>224</v>
      </c>
      <c r="CT7" s="14">
        <f t="shared" si="10"/>
        <v>0.5161290322580645</v>
      </c>
      <c r="CU7" s="10">
        <v>252</v>
      </c>
      <c r="CV7" s="14">
        <f t="shared" si="10"/>
        <v>0.58064516129032262</v>
      </c>
      <c r="CW7" s="10">
        <v>175</v>
      </c>
      <c r="CX7" s="14">
        <f t="shared" si="11"/>
        <v>0.40322580645161288</v>
      </c>
      <c r="CY7" s="10">
        <v>403</v>
      </c>
      <c r="DA7" s="10">
        <v>151</v>
      </c>
      <c r="DC7" s="10">
        <v>237</v>
      </c>
      <c r="DE7" s="10">
        <v>293</v>
      </c>
      <c r="DG7" s="10">
        <v>325</v>
      </c>
    </row>
    <row r="8" spans="1:112" s="10" customFormat="1" ht="16.5" customHeight="1">
      <c r="A8" s="119">
        <v>9</v>
      </c>
      <c r="B8" s="120" t="s">
        <v>106</v>
      </c>
      <c r="C8" s="38" t="str">
        <f t="shared" si="0"/>
        <v>{"iban":p.IBAN1}</v>
      </c>
      <c r="D8" s="13"/>
      <c r="E8" s="45" t="str">
        <f t="shared" si="1"/>
        <v>{"iban":p.IBAN1}</v>
      </c>
      <c r="F8" s="146" t="s">
        <v>107</v>
      </c>
      <c r="G8" s="611" t="s">
        <v>108</v>
      </c>
      <c r="H8" s="611" t="s">
        <v>109</v>
      </c>
      <c r="I8" s="616"/>
      <c r="J8" s="611"/>
      <c r="K8" s="611"/>
      <c r="L8" s="611"/>
      <c r="M8" s="611"/>
      <c r="N8" s="611"/>
      <c r="O8" s="611"/>
      <c r="P8" s="611"/>
      <c r="Q8" s="611"/>
      <c r="R8" s="611"/>
      <c r="S8" s="611"/>
      <c r="T8" s="611"/>
      <c r="U8" s="611"/>
      <c r="V8" s="611"/>
      <c r="W8" s="611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48">
        <v>5206</v>
      </c>
      <c r="AJ8" s="13"/>
      <c r="AK8" s="13"/>
      <c r="AL8" s="13">
        <v>5243</v>
      </c>
      <c r="AM8" s="14">
        <f t="shared" si="2"/>
        <v>1.0071071840184402</v>
      </c>
      <c r="AN8" s="13">
        <v>5874</v>
      </c>
      <c r="AO8" s="14">
        <f t="shared" si="2"/>
        <v>1.1283134844410296</v>
      </c>
      <c r="AP8" s="13">
        <v>5927</v>
      </c>
      <c r="AQ8" s="14">
        <f t="shared" si="3"/>
        <v>1.1384940453323089</v>
      </c>
      <c r="AR8" s="13">
        <v>5864</v>
      </c>
      <c r="AS8" s="14">
        <f t="shared" si="3"/>
        <v>1.1263926238955051</v>
      </c>
      <c r="AT8" s="13">
        <v>5028</v>
      </c>
      <c r="AU8" s="14">
        <f t="shared" si="3"/>
        <v>0.96580868228966577</v>
      </c>
      <c r="AV8" s="13">
        <v>5359</v>
      </c>
      <c r="AW8" s="14">
        <f t="shared" si="3"/>
        <v>1.0293891663465233</v>
      </c>
      <c r="AX8" s="13">
        <v>5610</v>
      </c>
      <c r="AY8" s="14">
        <f t="shared" si="3"/>
        <v>1.0776027660391856</v>
      </c>
      <c r="AZ8" s="13">
        <v>5301</v>
      </c>
      <c r="BA8" s="13"/>
      <c r="BB8" s="2">
        <v>5109</v>
      </c>
      <c r="BC8" s="14">
        <f t="shared" si="4"/>
        <v>0.98136765270841342</v>
      </c>
      <c r="BD8" s="2">
        <v>4704</v>
      </c>
      <c r="BE8" s="14">
        <f t="shared" si="4"/>
        <v>0.90357280061467538</v>
      </c>
      <c r="BF8" s="2">
        <v>5426</v>
      </c>
      <c r="BG8" s="14">
        <f t="shared" si="4"/>
        <v>1.0422589320015367</v>
      </c>
      <c r="BH8" s="2">
        <v>4624</v>
      </c>
      <c r="BI8" s="14">
        <f t="shared" si="4"/>
        <v>0.88820591625048018</v>
      </c>
      <c r="BK8" s="10">
        <v>4951</v>
      </c>
      <c r="BL8" s="14">
        <f t="shared" si="5"/>
        <v>0.95101805608912793</v>
      </c>
      <c r="BM8" s="10">
        <v>4775</v>
      </c>
      <c r="BN8" s="14">
        <f t="shared" si="6"/>
        <v>0.9172109104878986</v>
      </c>
      <c r="BO8" s="10">
        <v>4813</v>
      </c>
      <c r="BP8" s="14">
        <f t="shared" si="6"/>
        <v>0.92451018056089129</v>
      </c>
      <c r="BQ8" s="10">
        <v>5016</v>
      </c>
      <c r="BR8" s="14">
        <f t="shared" si="6"/>
        <v>0.96350364963503654</v>
      </c>
      <c r="BS8" s="10">
        <v>5090</v>
      </c>
      <c r="BT8" s="14">
        <f t="shared" si="6"/>
        <v>0.97771801767191702</v>
      </c>
      <c r="BU8" s="10">
        <v>4875</v>
      </c>
      <c r="BV8" s="14">
        <f t="shared" si="6"/>
        <v>0.93641951594314254</v>
      </c>
      <c r="BW8" s="10">
        <v>5143</v>
      </c>
      <c r="BX8" s="14">
        <f t="shared" si="6"/>
        <v>0.98789857856319629</v>
      </c>
      <c r="BY8" s="10">
        <v>5098</v>
      </c>
      <c r="BZ8" s="14">
        <f t="shared" si="6"/>
        <v>0.97925470610833654</v>
      </c>
      <c r="CA8" s="10">
        <v>4840</v>
      </c>
      <c r="CB8" s="14">
        <f t="shared" si="6"/>
        <v>0.9296965040338071</v>
      </c>
      <c r="CC8" s="10">
        <v>5137</v>
      </c>
      <c r="CD8" s="14">
        <f t="shared" si="7"/>
        <v>0.98674606223588168</v>
      </c>
      <c r="CE8" s="10">
        <v>4898</v>
      </c>
      <c r="CF8" s="14">
        <f t="shared" si="7"/>
        <v>0.94083749519784865</v>
      </c>
      <c r="CG8" s="10">
        <v>4725</v>
      </c>
      <c r="CH8" s="14">
        <f t="shared" si="7"/>
        <v>0.90760660776027657</v>
      </c>
      <c r="CI8" s="10">
        <v>4511</v>
      </c>
      <c r="CJ8" s="14">
        <f t="shared" si="7"/>
        <v>0.86650019208605455</v>
      </c>
      <c r="CK8" s="10">
        <v>4489</v>
      </c>
      <c r="CL8" s="14">
        <f t="shared" si="8"/>
        <v>0.8622742988859009</v>
      </c>
      <c r="CM8" s="10">
        <v>4613</v>
      </c>
      <c r="CN8" s="14">
        <f t="shared" si="9"/>
        <v>0.88609296965040341</v>
      </c>
      <c r="CO8" s="10">
        <v>4618</v>
      </c>
      <c r="CP8" s="14">
        <f t="shared" si="10"/>
        <v>0.88705339992316556</v>
      </c>
      <c r="CQ8" s="10">
        <v>4611</v>
      </c>
      <c r="CR8" s="14">
        <f t="shared" si="10"/>
        <v>0.8857087975412985</v>
      </c>
      <c r="CS8" s="10">
        <v>4609</v>
      </c>
      <c r="CT8" s="14">
        <f t="shared" si="10"/>
        <v>0.88532462543219359</v>
      </c>
      <c r="CU8" s="10">
        <v>4684</v>
      </c>
      <c r="CV8" s="14">
        <f t="shared" si="10"/>
        <v>0.89973107952362663</v>
      </c>
      <c r="CW8" s="10">
        <v>1637</v>
      </c>
      <c r="CX8" s="14">
        <f t="shared" si="11"/>
        <v>0.31444487130234344</v>
      </c>
      <c r="CY8" s="10">
        <v>2374</v>
      </c>
      <c r="DA8" s="10">
        <v>984</v>
      </c>
      <c r="DC8" s="10">
        <v>1361</v>
      </c>
      <c r="DE8" s="10">
        <v>1502</v>
      </c>
      <c r="DG8" s="10">
        <v>1728</v>
      </c>
    </row>
    <row r="9" spans="1:112" s="10" customFormat="1" ht="16.5" customHeight="1">
      <c r="A9" s="119">
        <v>10</v>
      </c>
      <c r="B9" s="120" t="s">
        <v>110</v>
      </c>
      <c r="C9" s="38"/>
      <c r="D9" s="13"/>
      <c r="E9" s="45"/>
      <c r="F9" s="611"/>
      <c r="G9" s="611"/>
      <c r="H9" s="611"/>
      <c r="I9" s="611"/>
      <c r="J9" s="611"/>
      <c r="K9" s="611"/>
      <c r="L9" s="611"/>
      <c r="M9" s="611"/>
      <c r="N9" s="611"/>
      <c r="O9" s="611"/>
      <c r="P9" s="611"/>
      <c r="Q9" s="611"/>
      <c r="R9" s="611"/>
      <c r="S9" s="611"/>
      <c r="T9" s="611"/>
      <c r="U9" s="611"/>
      <c r="V9" s="611"/>
      <c r="W9" s="611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48">
        <v>2108</v>
      </c>
      <c r="AJ9" s="13"/>
      <c r="AK9" s="13"/>
      <c r="AL9" s="13">
        <v>2128</v>
      </c>
      <c r="AM9" s="14">
        <f t="shared" si="2"/>
        <v>1.0094876660341556</v>
      </c>
      <c r="AN9" s="13">
        <v>2253</v>
      </c>
      <c r="AO9" s="14">
        <f t="shared" si="2"/>
        <v>1.0687855787476281</v>
      </c>
      <c r="AP9" s="13">
        <v>2264</v>
      </c>
      <c r="AQ9" s="14">
        <f t="shared" si="3"/>
        <v>1.0740037950664136</v>
      </c>
      <c r="AR9" s="13">
        <v>2224</v>
      </c>
      <c r="AS9" s="14">
        <f t="shared" si="3"/>
        <v>1.0550284629981024</v>
      </c>
      <c r="AT9" s="13">
        <v>2165</v>
      </c>
      <c r="AU9" s="14">
        <f t="shared" si="3"/>
        <v>1.0270398481973435</v>
      </c>
      <c r="AV9" s="13">
        <v>2154</v>
      </c>
      <c r="AW9" s="14">
        <f t="shared" si="3"/>
        <v>1.0218216318785578</v>
      </c>
      <c r="AX9" s="13">
        <v>2204</v>
      </c>
      <c r="AY9" s="14">
        <f t="shared" si="3"/>
        <v>1.045540796963947</v>
      </c>
      <c r="AZ9" s="13">
        <v>2132</v>
      </c>
      <c r="BA9" s="13"/>
      <c r="BB9" s="2">
        <v>2158</v>
      </c>
      <c r="BC9" s="14">
        <f t="shared" si="4"/>
        <v>1.023719165085389</v>
      </c>
      <c r="BD9" s="2">
        <v>104</v>
      </c>
      <c r="BE9" s="14">
        <f t="shared" si="4"/>
        <v>4.9335863377609111E-2</v>
      </c>
      <c r="BF9" s="2">
        <v>93</v>
      </c>
      <c r="BG9" s="14">
        <f t="shared" si="4"/>
        <v>4.4117647058823532E-2</v>
      </c>
      <c r="BH9" s="2">
        <v>93</v>
      </c>
      <c r="BI9" s="14">
        <f t="shared" si="4"/>
        <v>4.4117647058823532E-2</v>
      </c>
      <c r="BK9" s="10">
        <v>80</v>
      </c>
      <c r="BL9" s="14">
        <f t="shared" si="5"/>
        <v>3.7950664136622389E-2</v>
      </c>
      <c r="BM9" s="10">
        <v>67</v>
      </c>
      <c r="BN9" s="14">
        <f t="shared" si="6"/>
        <v>3.1783681214421253E-2</v>
      </c>
      <c r="BO9" s="10">
        <v>75</v>
      </c>
      <c r="BP9" s="14">
        <f t="shared" si="6"/>
        <v>3.5578747628083489E-2</v>
      </c>
      <c r="BQ9" s="10">
        <v>87</v>
      </c>
      <c r="BR9" s="14">
        <f t="shared" si="6"/>
        <v>4.1271347248576853E-2</v>
      </c>
      <c r="BS9" s="10">
        <v>80</v>
      </c>
      <c r="BT9" s="14">
        <f t="shared" si="6"/>
        <v>3.7950664136622389E-2</v>
      </c>
      <c r="BU9" s="10">
        <v>107</v>
      </c>
      <c r="BV9" s="14">
        <f t="shared" si="6"/>
        <v>5.0759013282732447E-2</v>
      </c>
      <c r="BW9" s="10">
        <v>134</v>
      </c>
      <c r="BX9" s="14">
        <f t="shared" si="6"/>
        <v>6.3567362428842505E-2</v>
      </c>
      <c r="BY9" s="10">
        <v>78</v>
      </c>
      <c r="BZ9" s="14">
        <f t="shared" si="6"/>
        <v>3.7001897533206832E-2</v>
      </c>
      <c r="CA9" s="10">
        <v>55</v>
      </c>
      <c r="CB9" s="14">
        <f t="shared" si="6"/>
        <v>2.6091081593927895E-2</v>
      </c>
      <c r="CC9" s="10">
        <v>62</v>
      </c>
      <c r="CD9" s="14">
        <f t="shared" si="7"/>
        <v>2.9411764705882353E-2</v>
      </c>
      <c r="CE9" s="10">
        <v>83</v>
      </c>
      <c r="CF9" s="14">
        <f t="shared" si="7"/>
        <v>3.9373814041745732E-2</v>
      </c>
      <c r="CG9" s="10">
        <v>69</v>
      </c>
      <c r="CH9" s="14">
        <f t="shared" si="7"/>
        <v>3.273244781783681E-2</v>
      </c>
      <c r="CI9" s="10">
        <v>74</v>
      </c>
      <c r="CJ9" s="14">
        <f t="shared" si="7"/>
        <v>3.510436432637571E-2</v>
      </c>
      <c r="CK9" s="10">
        <v>58</v>
      </c>
      <c r="CL9" s="14">
        <f t="shared" si="8"/>
        <v>2.7514231499051234E-2</v>
      </c>
      <c r="CM9" s="10">
        <v>57</v>
      </c>
      <c r="CN9" s="14">
        <f t="shared" si="9"/>
        <v>2.7039848197343452E-2</v>
      </c>
      <c r="CO9" s="10">
        <v>57</v>
      </c>
      <c r="CP9" s="14">
        <f t="shared" si="10"/>
        <v>2.7039848197343452E-2</v>
      </c>
      <c r="CQ9" s="10">
        <v>54</v>
      </c>
      <c r="CR9" s="14">
        <f t="shared" si="10"/>
        <v>2.5616698292220113E-2</v>
      </c>
      <c r="CS9" s="10">
        <v>58</v>
      </c>
      <c r="CT9" s="14">
        <f t="shared" si="10"/>
        <v>2.7514231499051234E-2</v>
      </c>
      <c r="CU9" s="10">
        <v>55</v>
      </c>
      <c r="CV9" s="14">
        <f t="shared" si="10"/>
        <v>2.6091081593927895E-2</v>
      </c>
      <c r="CW9" s="10">
        <v>61</v>
      </c>
      <c r="CX9" s="14">
        <f t="shared" si="11"/>
        <v>2.8937381404174574E-2</v>
      </c>
      <c r="CY9" s="10">
        <v>147</v>
      </c>
      <c r="DA9" s="10">
        <v>79</v>
      </c>
      <c r="DC9" s="10">
        <v>104</v>
      </c>
      <c r="DE9" s="10">
        <v>121</v>
      </c>
      <c r="DG9" s="10">
        <v>150</v>
      </c>
    </row>
    <row r="10" spans="1:112" s="10" customFormat="1" ht="16.5" customHeight="1" thickBot="1">
      <c r="A10" s="119">
        <v>11</v>
      </c>
      <c r="B10" s="120" t="s">
        <v>111</v>
      </c>
      <c r="C10" s="38" t="str">
        <f>E10</f>
        <v>{"zust_Gemeinde":"Münchenbuchsee","zust_SozTeam":"Sozialarbeit Bern 1","zust_SozMitarbeiter":"Bern Sozialarbeiterin 1A","zust_SachbTeam":"Sachbearbeitung Bern","zust_SachbMitarbeiter":"Bern Sachbearbeiterin"}</v>
      </c>
      <c r="D10" s="13"/>
      <c r="E10" s="13" t="str">
        <f>F10&amp;G10&amp;H10&amp;I10&amp;J10&amp;K10&amp;L10&amp;M10&amp;N10&amp;O10&amp;P10&amp;Q10&amp;R10&amp;S10&amp;T10&amp;U10&amp;V10&amp;W10&amp;X10</f>
        <v>{"zust_Gemeinde":"Münchenbuchsee","zust_SozTeam":"Sozialarbeit Bern 1","zust_SozMitarbeiter":"Bern Sozialarbeiterin 1A","zust_SachbTeam":"Sachbearbeitung Bern","zust_SachbMitarbeiter":"Bern Sachbearbeiterin"}</v>
      </c>
      <c r="F10" s="611" t="s">
        <v>112</v>
      </c>
      <c r="G10" s="611" t="s">
        <v>113</v>
      </c>
      <c r="H10" s="611" t="s">
        <v>114</v>
      </c>
      <c r="I10" s="611" t="s">
        <v>76</v>
      </c>
      <c r="J10" s="611" t="s">
        <v>115</v>
      </c>
      <c r="K10" s="611" t="s">
        <v>116</v>
      </c>
      <c r="L10" s="611" t="s">
        <v>117</v>
      </c>
      <c r="M10" s="611" t="s">
        <v>118</v>
      </c>
      <c r="N10" s="611" t="s">
        <v>119</v>
      </c>
      <c r="O10" s="611" t="s">
        <v>120</v>
      </c>
      <c r="P10" s="611" t="s">
        <v>37</v>
      </c>
      <c r="Q10" s="611"/>
      <c r="R10" s="611"/>
      <c r="S10" s="611"/>
      <c r="T10" s="611"/>
      <c r="U10" s="611"/>
      <c r="V10" s="611"/>
      <c r="W10" s="611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48">
        <v>565</v>
      </c>
      <c r="AJ10" s="32" t="s">
        <v>121</v>
      </c>
      <c r="AK10" s="32"/>
      <c r="AL10" s="13">
        <v>227</v>
      </c>
      <c r="AM10" s="14">
        <f t="shared" si="2"/>
        <v>0.40176991150442476</v>
      </c>
      <c r="AN10" s="13">
        <v>510</v>
      </c>
      <c r="AO10" s="14">
        <f t="shared" si="2"/>
        <v>0.90265486725663713</v>
      </c>
      <c r="AP10" s="13">
        <v>511</v>
      </c>
      <c r="AQ10" s="14">
        <f t="shared" si="3"/>
        <v>0.90442477876106198</v>
      </c>
      <c r="AR10" s="13">
        <v>382</v>
      </c>
      <c r="AS10" s="14">
        <f t="shared" si="3"/>
        <v>0.67610619469026545</v>
      </c>
      <c r="AT10" s="13">
        <v>310</v>
      </c>
      <c r="AU10" s="14">
        <f t="shared" si="3"/>
        <v>0.54867256637168138</v>
      </c>
      <c r="AV10" s="13">
        <v>312</v>
      </c>
      <c r="AW10" s="14">
        <f t="shared" si="3"/>
        <v>0.55221238938053097</v>
      </c>
      <c r="AX10" s="13">
        <v>331</v>
      </c>
      <c r="AY10" s="14">
        <f t="shared" si="3"/>
        <v>0.58584070796460175</v>
      </c>
      <c r="AZ10" s="13">
        <v>160</v>
      </c>
      <c r="BA10" s="13"/>
      <c r="BB10" s="2">
        <v>192</v>
      </c>
      <c r="BC10" s="14">
        <f t="shared" si="4"/>
        <v>0.33982300884955752</v>
      </c>
      <c r="BD10" s="2">
        <v>1157</v>
      </c>
      <c r="BE10" s="14">
        <f t="shared" si="4"/>
        <v>2.0477876106194692</v>
      </c>
      <c r="BF10" s="2">
        <v>1275</v>
      </c>
      <c r="BG10" s="14">
        <f t="shared" si="4"/>
        <v>2.2566371681415931</v>
      </c>
      <c r="BH10" s="2">
        <v>1240</v>
      </c>
      <c r="BI10" s="14">
        <f t="shared" si="4"/>
        <v>2.1946902654867255</v>
      </c>
      <c r="BK10" s="10">
        <v>1219</v>
      </c>
      <c r="BL10" s="14">
        <f t="shared" si="5"/>
        <v>2.1575221238938052</v>
      </c>
      <c r="BM10" s="10">
        <v>2010</v>
      </c>
      <c r="BN10" s="14">
        <f t="shared" si="6"/>
        <v>3.5575221238938055</v>
      </c>
      <c r="BO10" s="10">
        <v>1166</v>
      </c>
      <c r="BP10" s="14">
        <f t="shared" si="6"/>
        <v>2.0637168141592919</v>
      </c>
      <c r="BQ10" s="10">
        <v>1218</v>
      </c>
      <c r="BR10" s="14">
        <f t="shared" si="6"/>
        <v>2.1557522123893804</v>
      </c>
      <c r="BS10" s="10">
        <v>1187</v>
      </c>
      <c r="BT10" s="14">
        <f t="shared" si="6"/>
        <v>2.1008849557522122</v>
      </c>
      <c r="BU10" s="10">
        <v>1174</v>
      </c>
      <c r="BV10" s="14">
        <f t="shared" si="6"/>
        <v>2.0778761061946902</v>
      </c>
      <c r="BW10" s="10">
        <v>1217</v>
      </c>
      <c r="BX10" s="14">
        <f t="shared" si="6"/>
        <v>2.1539823008849557</v>
      </c>
      <c r="BY10" s="10">
        <v>1162</v>
      </c>
      <c r="BZ10" s="14">
        <f t="shared" si="6"/>
        <v>2.0566371681415929</v>
      </c>
      <c r="CA10" s="10">
        <v>1386</v>
      </c>
      <c r="CB10" s="14">
        <f t="shared" si="6"/>
        <v>2.4530973451327434</v>
      </c>
      <c r="CC10" s="10">
        <v>1224</v>
      </c>
      <c r="CD10" s="14">
        <f t="shared" si="7"/>
        <v>2.1663716814159293</v>
      </c>
      <c r="CE10" s="10">
        <v>1191</v>
      </c>
      <c r="CF10" s="14">
        <f t="shared" si="7"/>
        <v>2.1079646017699116</v>
      </c>
      <c r="CG10" s="10">
        <v>1186</v>
      </c>
      <c r="CH10" s="14">
        <f t="shared" si="7"/>
        <v>2.0991150442477875</v>
      </c>
      <c r="CI10" s="10">
        <v>1151</v>
      </c>
      <c r="CJ10" s="14">
        <f t="shared" si="7"/>
        <v>2.0371681415929204</v>
      </c>
      <c r="CK10" s="10">
        <v>1152</v>
      </c>
      <c r="CL10" s="14">
        <f t="shared" si="8"/>
        <v>2.0389380530973451</v>
      </c>
      <c r="CM10" s="10">
        <v>1164</v>
      </c>
      <c r="CN10" s="14">
        <f t="shared" si="9"/>
        <v>2.0601769911504424</v>
      </c>
      <c r="CO10" s="10">
        <v>1181</v>
      </c>
      <c r="CP10" s="14">
        <f t="shared" si="10"/>
        <v>2.0902654867256638</v>
      </c>
      <c r="CQ10" s="10">
        <v>1144</v>
      </c>
      <c r="CR10" s="14">
        <f t="shared" si="10"/>
        <v>2.0247787610619468</v>
      </c>
      <c r="CS10" s="10">
        <v>1161</v>
      </c>
      <c r="CT10" s="14">
        <f t="shared" si="10"/>
        <v>2.0548672566371682</v>
      </c>
      <c r="CU10" s="10">
        <v>1162</v>
      </c>
      <c r="CV10" s="14">
        <f t="shared" si="10"/>
        <v>2.0566371681415929</v>
      </c>
      <c r="CW10" s="10">
        <v>1194</v>
      </c>
      <c r="CX10" s="14">
        <f t="shared" si="11"/>
        <v>2.1132743362831858</v>
      </c>
      <c r="CY10" s="10">
        <v>1313</v>
      </c>
      <c r="DA10" s="10">
        <v>1142</v>
      </c>
      <c r="DC10" s="10">
        <v>1185</v>
      </c>
      <c r="DE10" s="10">
        <v>1210</v>
      </c>
      <c r="DG10" s="10">
        <v>1267</v>
      </c>
    </row>
    <row r="11" spans="1:112" s="10" customFormat="1" ht="16.5" customHeight="1" thickBot="1">
      <c r="A11" s="119">
        <v>12</v>
      </c>
      <c r="B11" s="120" t="s">
        <v>122</v>
      </c>
      <c r="C11" s="38" t="str">
        <f ca="1">E11</f>
        <v>{"dossierBezeichnung":p.DossierName1,"eroeffnetAm":"04.11.2025","dossierSprache":"Deutsch"}</v>
      </c>
      <c r="D11" s="13"/>
      <c r="E11" s="45" t="str">
        <f ca="1">F11&amp;G11&amp;H11&amp;I11&amp;J11&amp;K11&amp;L11&amp;M11&amp;N11&amp;O11&amp;P11&amp;Q11&amp;R11&amp;S11&amp;T11&amp;U11&amp;V11&amp;W11&amp;X11</f>
        <v>{"dossierBezeichnung":p.DossierName1,"eroeffnetAm":"04.11.2025","dossierSprache":"Deutsch"}</v>
      </c>
      <c r="F11" s="611" t="s">
        <v>123</v>
      </c>
      <c r="G11" s="375" t="str">
        <f>G$62</f>
        <v>p.DossierName1</v>
      </c>
      <c r="H11" s="611" t="s">
        <v>124</v>
      </c>
      <c r="I11" s="615" t="str">
        <f ca="1">TEXT(TEXT(TODAY(),"DD")&amp;"."&amp;TEXT(TODAY(),"MM")&amp;"."&amp;TEXT(TODAY(),"YYYY"),"DD.MM.YYYY")</f>
        <v>04.11.2025</v>
      </c>
      <c r="J11" s="611" t="s">
        <v>125</v>
      </c>
      <c r="K11" s="611" t="s">
        <v>85</v>
      </c>
      <c r="L11" s="611" t="s">
        <v>37</v>
      </c>
      <c r="M11" s="611"/>
      <c r="N11" s="611"/>
      <c r="O11" s="611"/>
      <c r="P11" s="611"/>
      <c r="Q11" s="611"/>
      <c r="R11" s="611"/>
      <c r="S11" s="611"/>
      <c r="T11" s="611"/>
      <c r="U11" s="611"/>
      <c r="V11" s="611"/>
      <c r="W11" s="611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48">
        <v>3489</v>
      </c>
      <c r="AJ11" s="71"/>
      <c r="AK11" s="33"/>
      <c r="AL11" s="13">
        <v>3700</v>
      </c>
      <c r="AM11" s="14">
        <f t="shared" si="2"/>
        <v>1.0604757810260819</v>
      </c>
      <c r="AN11" s="13">
        <v>4194</v>
      </c>
      <c r="AO11" s="14">
        <f t="shared" si="2"/>
        <v>1.2020636285468616</v>
      </c>
      <c r="AP11" s="13">
        <v>4214</v>
      </c>
      <c r="AQ11" s="14">
        <f t="shared" si="3"/>
        <v>1.2077959300659216</v>
      </c>
      <c r="AR11" s="13">
        <v>3773</v>
      </c>
      <c r="AS11" s="14">
        <f t="shared" si="3"/>
        <v>1.0813986815706507</v>
      </c>
      <c r="AT11" s="13">
        <v>3081</v>
      </c>
      <c r="AU11" s="14">
        <f t="shared" si="3"/>
        <v>0.88306104901117799</v>
      </c>
      <c r="AV11" s="13">
        <v>3350</v>
      </c>
      <c r="AW11" s="14">
        <f t="shared" si="3"/>
        <v>0.96016050444253365</v>
      </c>
      <c r="AX11" s="13">
        <v>3683</v>
      </c>
      <c r="AY11" s="14">
        <f t="shared" si="3"/>
        <v>1.0556033247348811</v>
      </c>
      <c r="AZ11" s="13">
        <v>4165</v>
      </c>
      <c r="BA11" s="13"/>
      <c r="BB11" s="2">
        <v>4143</v>
      </c>
      <c r="BC11" s="14">
        <f t="shared" si="4"/>
        <v>1.1874462596732589</v>
      </c>
      <c r="BD11" s="2">
        <v>3974</v>
      </c>
      <c r="BE11" s="14">
        <f t="shared" si="4"/>
        <v>1.1390083118372027</v>
      </c>
      <c r="BF11" s="2">
        <v>4600</v>
      </c>
      <c r="BG11" s="14">
        <f t="shared" si="4"/>
        <v>1.3184293493837775</v>
      </c>
      <c r="BH11" s="2">
        <v>3617</v>
      </c>
      <c r="BI11" s="14">
        <f t="shared" si="4"/>
        <v>1.0366867297219833</v>
      </c>
      <c r="BK11" s="10">
        <v>3983</v>
      </c>
      <c r="BL11" s="14">
        <f t="shared" si="5"/>
        <v>1.1415878475207797</v>
      </c>
      <c r="BM11" s="10">
        <v>3964</v>
      </c>
      <c r="BN11" s="14">
        <f t="shared" si="6"/>
        <v>1.1361421610776727</v>
      </c>
      <c r="BO11" s="10">
        <v>3973</v>
      </c>
      <c r="BP11" s="14">
        <f t="shared" si="6"/>
        <v>1.1387216967612497</v>
      </c>
      <c r="BQ11" s="10">
        <v>4033</v>
      </c>
      <c r="BR11" s="14">
        <f t="shared" si="6"/>
        <v>1.1559186013184293</v>
      </c>
      <c r="BS11" s="10">
        <v>4113</v>
      </c>
      <c r="BT11" s="14">
        <f t="shared" si="6"/>
        <v>1.1788478073946689</v>
      </c>
      <c r="BU11" s="10">
        <v>3934</v>
      </c>
      <c r="BV11" s="14">
        <f t="shared" si="6"/>
        <v>1.1275437087990827</v>
      </c>
      <c r="BW11" s="10">
        <v>3743</v>
      </c>
      <c r="BX11" s="14">
        <f t="shared" si="6"/>
        <v>1.0728002292920609</v>
      </c>
      <c r="BY11" s="10">
        <v>3999</v>
      </c>
      <c r="BZ11" s="14">
        <f t="shared" si="6"/>
        <v>1.1461736887360274</v>
      </c>
      <c r="CA11" s="10">
        <v>3854</v>
      </c>
      <c r="CB11" s="14">
        <f t="shared" si="6"/>
        <v>1.1046145027228431</v>
      </c>
      <c r="CC11" s="10">
        <v>4219</v>
      </c>
      <c r="CD11" s="14">
        <f t="shared" si="7"/>
        <v>1.2092290054456865</v>
      </c>
      <c r="CE11" s="10">
        <v>3977</v>
      </c>
      <c r="CF11" s="14">
        <f t="shared" si="7"/>
        <v>1.1398681570650617</v>
      </c>
      <c r="CG11" s="10">
        <v>4155</v>
      </c>
      <c r="CH11" s="14">
        <f t="shared" si="7"/>
        <v>1.1908856405846948</v>
      </c>
      <c r="CI11" s="10">
        <v>4192</v>
      </c>
      <c r="CJ11" s="14">
        <f t="shared" si="7"/>
        <v>1.2014903983949556</v>
      </c>
      <c r="CK11" s="10">
        <v>4325</v>
      </c>
      <c r="CL11" s="14">
        <f t="shared" si="8"/>
        <v>1.239610203496704</v>
      </c>
      <c r="CM11" s="10">
        <v>4199</v>
      </c>
      <c r="CN11" s="14">
        <f t="shared" si="9"/>
        <v>1.2034967039266264</v>
      </c>
      <c r="CO11" s="10">
        <v>4214</v>
      </c>
      <c r="CP11" s="14">
        <f t="shared" si="10"/>
        <v>1.2077959300659216</v>
      </c>
      <c r="CQ11" s="10">
        <v>3978</v>
      </c>
      <c r="CR11" s="14">
        <f t="shared" si="10"/>
        <v>1.1401547721410146</v>
      </c>
      <c r="CS11" s="10">
        <v>4207</v>
      </c>
      <c r="CT11" s="14">
        <f t="shared" si="10"/>
        <v>1.2057896245342505</v>
      </c>
      <c r="CU11" s="10">
        <v>4243</v>
      </c>
      <c r="CV11" s="14">
        <f t="shared" si="10"/>
        <v>1.2161077672685583</v>
      </c>
      <c r="CW11" s="10">
        <v>4067</v>
      </c>
      <c r="CX11" s="14">
        <f t="shared" si="11"/>
        <v>1.1656635139008311</v>
      </c>
      <c r="CY11" s="10">
        <v>4229</v>
      </c>
      <c r="DA11" s="10">
        <v>4044</v>
      </c>
      <c r="DC11" s="10">
        <v>4085</v>
      </c>
      <c r="DE11" s="10">
        <v>4121</v>
      </c>
      <c r="DG11" s="10">
        <v>4106</v>
      </c>
    </row>
    <row r="12" spans="1:112" s="10" customFormat="1" ht="16.5" customHeight="1">
      <c r="A12" s="119">
        <v>14</v>
      </c>
      <c r="B12" s="120" t="s">
        <v>127</v>
      </c>
      <c r="C12" s="38" t="str">
        <f>E12</f>
        <v>{"dossierInstitution":p.DossierName1,"klientschaft":`${p.FamilyName1}, ${p.ManFirstName1}`,"buttonBewilligung":"Anfragen","checkStatus":"In Bearbeitung"}</v>
      </c>
      <c r="D12" s="76"/>
      <c r="E12" s="77" t="str">
        <f t="shared" ref="E12:E29" si="12">F12&amp;G12&amp;H12&amp;I12&amp;J12&amp;K12&amp;L12&amp;M12&amp;N12&amp;O12&amp;P12&amp;Q12&amp;R12&amp;S12&amp;T12&amp;U12&amp;V12&amp;W12&amp;X12</f>
        <v>{"dossierInstitution":p.DossierName1,"klientschaft":`${p.FamilyName1}, ${p.ManFirstName1}`,"buttonBewilligung":"Anfragen","checkStatus":"In Bearbeitung"}</v>
      </c>
      <c r="F12" s="611" t="s">
        <v>128</v>
      </c>
      <c r="G12" s="611" t="str">
        <f>G11</f>
        <v>p.DossierName1</v>
      </c>
      <c r="H12" s="611" t="s">
        <v>129</v>
      </c>
      <c r="I12" s="609" t="str">
        <f>I23</f>
        <v>${p.FamilyName1}, ${p.ManFirstName1}</v>
      </c>
      <c r="J12" s="611" t="s">
        <v>130</v>
      </c>
      <c r="K12" s="614" t="s">
        <v>131</v>
      </c>
      <c r="L12" s="611" t="s">
        <v>132</v>
      </c>
      <c r="M12" s="611" t="s">
        <v>133</v>
      </c>
      <c r="N12" s="611" t="s">
        <v>37</v>
      </c>
      <c r="O12" s="611"/>
      <c r="P12" s="611"/>
      <c r="Q12" s="611"/>
      <c r="R12" s="611"/>
      <c r="S12" s="611"/>
      <c r="T12" s="611"/>
      <c r="U12" s="611"/>
      <c r="V12" s="611"/>
      <c r="W12" s="611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48">
        <v>1017</v>
      </c>
      <c r="AJ12" s="81"/>
      <c r="AK12" s="4"/>
      <c r="AL12" s="76">
        <v>1012</v>
      </c>
      <c r="AM12" s="14">
        <f t="shared" si="2"/>
        <v>0.99508357915437562</v>
      </c>
      <c r="AN12" s="76">
        <v>1010</v>
      </c>
      <c r="AO12" s="14">
        <f t="shared" si="2"/>
        <v>0.99311701081612591</v>
      </c>
      <c r="AP12" s="76">
        <v>1013</v>
      </c>
      <c r="AQ12" s="14">
        <f t="shared" si="3"/>
        <v>0.99606686332350047</v>
      </c>
      <c r="AR12" s="76">
        <v>1021</v>
      </c>
      <c r="AS12" s="14">
        <f t="shared" si="3"/>
        <v>1.0039331366764994</v>
      </c>
      <c r="AT12" s="76">
        <v>1017</v>
      </c>
      <c r="AU12" s="14">
        <f t="shared" si="3"/>
        <v>1</v>
      </c>
      <c r="AV12" s="76">
        <v>1012</v>
      </c>
      <c r="AW12" s="14">
        <f t="shared" si="3"/>
        <v>0.99508357915437562</v>
      </c>
      <c r="AX12" s="76">
        <v>1006</v>
      </c>
      <c r="AY12" s="14">
        <f t="shared" si="3"/>
        <v>0.98918387413962638</v>
      </c>
      <c r="AZ12" s="76">
        <v>1010</v>
      </c>
      <c r="BA12" s="76"/>
      <c r="BB12" s="2">
        <v>1011</v>
      </c>
      <c r="BC12" s="14">
        <f t="shared" si="4"/>
        <v>0.99410029498525077</v>
      </c>
      <c r="BD12" s="2">
        <v>1544</v>
      </c>
      <c r="BE12" s="14">
        <f t="shared" si="4"/>
        <v>1.5181907571288102</v>
      </c>
      <c r="BF12" s="2">
        <v>1115</v>
      </c>
      <c r="BG12" s="14">
        <f t="shared" si="4"/>
        <v>1.0963618485742379</v>
      </c>
      <c r="BH12" s="2">
        <v>1067</v>
      </c>
      <c r="BI12" s="14">
        <f t="shared" si="4"/>
        <v>1.0491642084562438</v>
      </c>
      <c r="BK12" s="10">
        <v>917</v>
      </c>
      <c r="BL12" s="14">
        <f t="shared" si="5"/>
        <v>0.90167158308751227</v>
      </c>
      <c r="BM12" s="10">
        <v>1533</v>
      </c>
      <c r="BN12" s="14">
        <f t="shared" si="6"/>
        <v>1.5073746312684366</v>
      </c>
      <c r="BO12" s="10">
        <v>1538</v>
      </c>
      <c r="BP12" s="14">
        <f t="shared" si="6"/>
        <v>1.5122910521140609</v>
      </c>
      <c r="BQ12" s="10">
        <v>1396</v>
      </c>
      <c r="BR12" s="14">
        <f t="shared" si="6"/>
        <v>1.3726647000983285</v>
      </c>
      <c r="BS12" s="10">
        <v>900</v>
      </c>
      <c r="BT12" s="14">
        <f t="shared" si="6"/>
        <v>0.88495575221238942</v>
      </c>
      <c r="BU12" s="10">
        <v>914</v>
      </c>
      <c r="BV12" s="14">
        <f t="shared" si="6"/>
        <v>0.89872173058013771</v>
      </c>
      <c r="BW12" s="10">
        <v>1098</v>
      </c>
      <c r="BX12" s="14">
        <f t="shared" si="6"/>
        <v>1.0796460176991149</v>
      </c>
      <c r="BY12" s="10">
        <v>941</v>
      </c>
      <c r="BZ12" s="14">
        <f t="shared" si="6"/>
        <v>0.92527040314650932</v>
      </c>
      <c r="CA12" s="10">
        <v>1066</v>
      </c>
      <c r="CB12" s="14">
        <f t="shared" si="6"/>
        <v>1.048180924287119</v>
      </c>
      <c r="CC12" s="10">
        <v>1093</v>
      </c>
      <c r="CD12" s="14">
        <f t="shared" si="7"/>
        <v>1.0747295968534907</v>
      </c>
      <c r="CE12" s="10">
        <v>1629</v>
      </c>
      <c r="CF12" s="14">
        <f t="shared" si="7"/>
        <v>1.6017699115044248</v>
      </c>
      <c r="CG12" s="10">
        <v>952</v>
      </c>
      <c r="CH12" s="14">
        <f t="shared" si="7"/>
        <v>0.93608652900688294</v>
      </c>
      <c r="CI12" s="10">
        <v>1544</v>
      </c>
      <c r="CJ12" s="14">
        <f t="shared" si="7"/>
        <v>1.5181907571288102</v>
      </c>
      <c r="CK12" s="10">
        <v>1495</v>
      </c>
      <c r="CL12" s="14">
        <f t="shared" si="8"/>
        <v>1.4700098328416913</v>
      </c>
      <c r="CM12" s="10">
        <v>1464</v>
      </c>
      <c r="CN12" s="14">
        <f t="shared" si="9"/>
        <v>1.4395280235988202</v>
      </c>
      <c r="CO12" s="10">
        <v>1522</v>
      </c>
      <c r="CP12" s="14">
        <f t="shared" si="10"/>
        <v>1.496558505408063</v>
      </c>
      <c r="CQ12" s="10">
        <v>1520</v>
      </c>
      <c r="CR12" s="14">
        <f t="shared" si="10"/>
        <v>1.4945919370698131</v>
      </c>
      <c r="CS12" s="10">
        <v>1481</v>
      </c>
      <c r="CT12" s="14">
        <f t="shared" si="10"/>
        <v>1.4562438544739429</v>
      </c>
      <c r="CU12" s="10">
        <v>1517</v>
      </c>
      <c r="CV12" s="14">
        <f t="shared" si="10"/>
        <v>1.4916420845624385</v>
      </c>
      <c r="CW12" s="10">
        <v>8953</v>
      </c>
      <c r="CX12" s="14">
        <f t="shared" si="11"/>
        <v>8.8033431661750239</v>
      </c>
      <c r="CY12" s="10">
        <v>5523</v>
      </c>
      <c r="DA12" s="10">
        <v>4299</v>
      </c>
      <c r="DC12" s="10">
        <v>5380</v>
      </c>
      <c r="DE12" s="10">
        <v>7390</v>
      </c>
      <c r="DG12" s="10">
        <v>9091</v>
      </c>
    </row>
    <row r="13" spans="1:112" s="10" customFormat="1" ht="16.5" customHeight="1">
      <c r="A13" s="119">
        <v>15</v>
      </c>
      <c r="B13" s="120" t="s">
        <v>134</v>
      </c>
      <c r="C13" s="38" t="str">
        <f>E13</f>
        <v>{"username":"Bern.Sachbearbeiterin@diartis.ch","password":"XXxa22?pdTA66-S@"}</v>
      </c>
      <c r="D13" s="82"/>
      <c r="E13" s="83" t="str">
        <f t="shared" si="12"/>
        <v>{"username":"Bern.Sachbearbeiterin@diartis.ch","password":"XXxa22?pdTA66-S@"}</v>
      </c>
      <c r="F13" s="609" t="s">
        <v>29</v>
      </c>
      <c r="G13" s="617" t="s">
        <v>30</v>
      </c>
      <c r="H13" s="609" t="s">
        <v>31</v>
      </c>
      <c r="I13" s="618" t="s">
        <v>32</v>
      </c>
      <c r="J13" s="609" t="s">
        <v>37</v>
      </c>
      <c r="K13" s="614"/>
      <c r="L13" s="609"/>
      <c r="M13" s="611"/>
      <c r="N13" s="609"/>
      <c r="O13" s="611"/>
      <c r="P13" s="609"/>
      <c r="Q13" s="611"/>
      <c r="R13" s="609"/>
      <c r="S13" s="611"/>
      <c r="T13" s="609"/>
      <c r="U13" s="611"/>
      <c r="V13" s="609"/>
      <c r="W13" s="611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48">
        <v>12078</v>
      </c>
      <c r="AJ13" s="74"/>
      <c r="AK13" s="4"/>
      <c r="AL13" s="82">
        <v>12419</v>
      </c>
      <c r="AM13" s="14">
        <f t="shared" si="2"/>
        <v>1.0282331511839709</v>
      </c>
      <c r="AN13" s="82">
        <v>12798</v>
      </c>
      <c r="AO13" s="14">
        <f t="shared" si="2"/>
        <v>1.059612518628912</v>
      </c>
      <c r="AP13" s="82">
        <v>12935</v>
      </c>
      <c r="AQ13" s="14">
        <f t="shared" si="3"/>
        <v>1.0709554562013579</v>
      </c>
      <c r="AR13" s="82">
        <v>14401</v>
      </c>
      <c r="AS13" s="14">
        <f t="shared" si="3"/>
        <v>1.1923331677430038</v>
      </c>
      <c r="AT13" s="82">
        <v>13760</v>
      </c>
      <c r="AU13" s="14">
        <f t="shared" si="3"/>
        <v>1.1392614671303196</v>
      </c>
      <c r="AV13" s="82">
        <v>14182</v>
      </c>
      <c r="AW13" s="14">
        <f t="shared" si="3"/>
        <v>1.1742010266600431</v>
      </c>
      <c r="AX13" s="82">
        <v>14251</v>
      </c>
      <c r="AY13" s="14">
        <f t="shared" si="3"/>
        <v>1.179913893028647</v>
      </c>
      <c r="AZ13" s="82">
        <v>9685</v>
      </c>
      <c r="BA13" s="82"/>
      <c r="BB13" s="2">
        <v>9964</v>
      </c>
      <c r="BC13" s="14">
        <f t="shared" si="4"/>
        <v>0.82497102169233316</v>
      </c>
      <c r="BD13" s="2">
        <v>4009</v>
      </c>
      <c r="BE13" s="14">
        <f t="shared" si="4"/>
        <v>0.33192581553237294</v>
      </c>
      <c r="BF13" s="2">
        <v>4022</v>
      </c>
      <c r="BG13" s="14">
        <f t="shared" si="4"/>
        <v>0.33300215267428385</v>
      </c>
      <c r="BH13" s="2">
        <v>4012</v>
      </c>
      <c r="BI13" s="14">
        <f t="shared" si="4"/>
        <v>0.33217420102666007</v>
      </c>
      <c r="BK13" s="10">
        <v>4017</v>
      </c>
      <c r="BL13" s="14">
        <f t="shared" si="5"/>
        <v>0.33258817685047193</v>
      </c>
      <c r="BM13" s="10">
        <v>4020</v>
      </c>
      <c r="BN13" s="14">
        <f t="shared" si="6"/>
        <v>0.33283656234475906</v>
      </c>
      <c r="BO13" s="10">
        <v>11484</v>
      </c>
      <c r="BP13" s="14">
        <f t="shared" si="6"/>
        <v>0.95081967213114749</v>
      </c>
      <c r="BQ13" s="10">
        <v>10053</v>
      </c>
      <c r="BR13" s="14">
        <f t="shared" si="6"/>
        <v>0.83233979135618474</v>
      </c>
      <c r="BS13" s="10">
        <v>11588</v>
      </c>
      <c r="BT13" s="14">
        <f t="shared" si="6"/>
        <v>0.95943036926643488</v>
      </c>
      <c r="BU13" s="10">
        <v>11166</v>
      </c>
      <c r="BV13" s="14">
        <f t="shared" si="6"/>
        <v>0.92449080973671138</v>
      </c>
      <c r="BW13" s="10">
        <v>11642</v>
      </c>
      <c r="BX13" s="14">
        <f t="shared" si="6"/>
        <v>0.9639013081636032</v>
      </c>
      <c r="BY13" s="10">
        <v>9693</v>
      </c>
      <c r="BZ13" s="14">
        <f t="shared" si="6"/>
        <v>0.80253353204172873</v>
      </c>
      <c r="CA13" s="10">
        <v>16101</v>
      </c>
      <c r="CB13" s="14">
        <f t="shared" si="6"/>
        <v>1.3330849478390463</v>
      </c>
      <c r="CC13" s="10">
        <v>9509</v>
      </c>
      <c r="CD13" s="14">
        <f t="shared" si="7"/>
        <v>0.78729922172545119</v>
      </c>
      <c r="CE13" s="10">
        <v>6931</v>
      </c>
      <c r="CF13" s="14">
        <f t="shared" si="7"/>
        <v>0.57385328696804105</v>
      </c>
      <c r="CG13" s="10">
        <v>6610</v>
      </c>
      <c r="CH13" s="14">
        <f t="shared" si="7"/>
        <v>0.54727603907931777</v>
      </c>
      <c r="CI13" s="10">
        <v>6177</v>
      </c>
      <c r="CJ13" s="14">
        <f t="shared" si="7"/>
        <v>0.51142573273720815</v>
      </c>
      <c r="CK13" s="10">
        <v>43627</v>
      </c>
      <c r="CL13" s="14">
        <f t="shared" si="8"/>
        <v>3.6121046530882595</v>
      </c>
      <c r="CM13" s="10">
        <v>32197</v>
      </c>
      <c r="CN13" s="14">
        <f t="shared" si="9"/>
        <v>2.6657559198542806</v>
      </c>
      <c r="CO13" s="10">
        <v>32138</v>
      </c>
      <c r="CP13" s="14">
        <f t="shared" si="10"/>
        <v>2.6608710051333002</v>
      </c>
      <c r="CQ13" s="10">
        <v>17430</v>
      </c>
      <c r="CR13" s="14">
        <f t="shared" si="10"/>
        <v>1.4431197218082463</v>
      </c>
      <c r="CS13" s="10">
        <v>27317</v>
      </c>
      <c r="CT13" s="14">
        <f t="shared" si="10"/>
        <v>2.2617155158138766</v>
      </c>
      <c r="CU13" s="10">
        <v>29239</v>
      </c>
      <c r="CV13" s="14">
        <f t="shared" si="10"/>
        <v>2.4208478224871666</v>
      </c>
      <c r="CW13" s="10">
        <v>20759</v>
      </c>
      <c r="CX13" s="14">
        <f t="shared" si="11"/>
        <v>1.7187448253022024</v>
      </c>
      <c r="CY13" s="10">
        <v>8304</v>
      </c>
      <c r="DA13" s="10">
        <v>8337</v>
      </c>
      <c r="DC13" s="10">
        <v>9721</v>
      </c>
      <c r="DE13" s="10">
        <v>11773</v>
      </c>
      <c r="DG13" s="10">
        <v>19902</v>
      </c>
    </row>
    <row r="14" spans="1:112" s="10" customFormat="1" ht="16.5" customHeight="1">
      <c r="A14" s="119">
        <v>17</v>
      </c>
      <c r="B14" s="120" t="s">
        <v>127</v>
      </c>
      <c r="C14" s="38" t="str">
        <f>E14</f>
        <v>{"dossierInstitution":p.DossierName1,"klientschaft":`${p.FamilyName1}, ${p.ManFirstName1}`,"buttonBewilligung":"Bewilligen","checkStatus":"Bewilligt"}</v>
      </c>
      <c r="D14" s="76"/>
      <c r="E14" s="77" t="str">
        <f t="shared" si="12"/>
        <v>{"dossierInstitution":p.DossierName1,"klientschaft":`${p.FamilyName1}, ${p.ManFirstName1}`,"buttonBewilligung":"Bewilligen","checkStatus":"Bewilligt"}</v>
      </c>
      <c r="F14" s="611" t="s">
        <v>128</v>
      </c>
      <c r="G14" s="611" t="str">
        <f>'001x'!$G$11</f>
        <v>p.DossierName1</v>
      </c>
      <c r="H14" s="611" t="s">
        <v>129</v>
      </c>
      <c r="I14" s="609" t="str">
        <f>I23</f>
        <v>${p.FamilyName1}, ${p.ManFirstName1}</v>
      </c>
      <c r="J14" s="611" t="s">
        <v>130</v>
      </c>
      <c r="K14" s="614" t="s">
        <v>136</v>
      </c>
      <c r="L14" s="611" t="s">
        <v>132</v>
      </c>
      <c r="M14" s="611" t="s">
        <v>137</v>
      </c>
      <c r="N14" s="611" t="s">
        <v>37</v>
      </c>
      <c r="O14" s="611"/>
      <c r="P14" s="611"/>
      <c r="Q14" s="611"/>
      <c r="R14" s="611"/>
      <c r="S14" s="611"/>
      <c r="T14" s="611"/>
      <c r="U14" s="611"/>
      <c r="V14" s="611"/>
      <c r="W14" s="611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48">
        <v>4790</v>
      </c>
      <c r="AJ14" s="74"/>
      <c r="AK14" s="4"/>
      <c r="AL14" s="76">
        <v>5007</v>
      </c>
      <c r="AM14" s="14">
        <f t="shared" si="2"/>
        <v>1.045302713987474</v>
      </c>
      <c r="AN14" s="76">
        <v>5015</v>
      </c>
      <c r="AO14" s="14">
        <f t="shared" si="2"/>
        <v>1.046972860125261</v>
      </c>
      <c r="AP14" s="76">
        <v>5014</v>
      </c>
      <c r="AQ14" s="14">
        <f t="shared" si="3"/>
        <v>1.0467640918580376</v>
      </c>
      <c r="AR14" s="76">
        <v>5021</v>
      </c>
      <c r="AS14" s="14">
        <f t="shared" si="3"/>
        <v>1.0482254697286013</v>
      </c>
      <c r="AT14" s="76">
        <v>5014</v>
      </c>
      <c r="AU14" s="14">
        <f t="shared" si="3"/>
        <v>1.0467640918580376</v>
      </c>
      <c r="AV14" s="76">
        <v>5009</v>
      </c>
      <c r="AW14" s="14">
        <f t="shared" si="3"/>
        <v>1.0457202505219207</v>
      </c>
      <c r="AX14" s="76">
        <v>5004</v>
      </c>
      <c r="AY14" s="14">
        <f t="shared" si="3"/>
        <v>1.0446764091858038</v>
      </c>
      <c r="AZ14" s="76">
        <v>5018</v>
      </c>
      <c r="BA14" s="76"/>
      <c r="BB14" s="2">
        <v>5021</v>
      </c>
      <c r="BC14" s="14">
        <f t="shared" si="4"/>
        <v>1.0482254697286013</v>
      </c>
      <c r="BD14" s="2">
        <v>8626</v>
      </c>
      <c r="BE14" s="14">
        <f t="shared" si="4"/>
        <v>1.8008350730688936</v>
      </c>
      <c r="BF14" s="2">
        <v>8975</v>
      </c>
      <c r="BG14" s="14">
        <f t="shared" si="4"/>
        <v>1.8736951983298538</v>
      </c>
      <c r="BH14" s="2">
        <v>9664</v>
      </c>
      <c r="BI14" s="14">
        <f t="shared" si="4"/>
        <v>2.017536534446764</v>
      </c>
      <c r="BK14" s="10">
        <v>8654</v>
      </c>
      <c r="BL14" s="14">
        <f t="shared" si="5"/>
        <v>1.8066805845511482</v>
      </c>
      <c r="BM14" s="10">
        <v>8903</v>
      </c>
      <c r="BN14" s="14">
        <f t="shared" si="6"/>
        <v>1.8586638830897704</v>
      </c>
      <c r="BO14" s="10">
        <v>10580</v>
      </c>
      <c r="BP14" s="14">
        <f t="shared" si="6"/>
        <v>2.2087682672233822</v>
      </c>
      <c r="BQ14" s="10">
        <v>9302</v>
      </c>
      <c r="BR14" s="14">
        <f t="shared" si="6"/>
        <v>1.9419624217118998</v>
      </c>
      <c r="BS14" s="10">
        <v>9758</v>
      </c>
      <c r="BT14" s="14">
        <f t="shared" si="6"/>
        <v>2.0371607515657622</v>
      </c>
      <c r="BU14" s="10">
        <v>9814</v>
      </c>
      <c r="BV14" s="14">
        <f t="shared" si="6"/>
        <v>2.0488517745302715</v>
      </c>
      <c r="BW14" s="10">
        <v>10548</v>
      </c>
      <c r="BX14" s="14">
        <f t="shared" si="6"/>
        <v>2.202087682672234</v>
      </c>
      <c r="BY14" s="10">
        <v>8948</v>
      </c>
      <c r="BZ14" s="14">
        <f t="shared" si="6"/>
        <v>1.8680584551148225</v>
      </c>
      <c r="CA14" s="10">
        <v>9461</v>
      </c>
      <c r="CB14" s="14">
        <f t="shared" si="6"/>
        <v>1.9751565762004175</v>
      </c>
      <c r="CC14" s="10">
        <v>9691</v>
      </c>
      <c r="CD14" s="14">
        <f t="shared" si="7"/>
        <v>2.0231732776617952</v>
      </c>
      <c r="CE14" s="10">
        <v>10751</v>
      </c>
      <c r="CF14" s="14">
        <f t="shared" si="7"/>
        <v>2.2444676409185802</v>
      </c>
      <c r="CG14" s="10">
        <v>9774</v>
      </c>
      <c r="CH14" s="14">
        <f t="shared" si="7"/>
        <v>2.0405010438413362</v>
      </c>
      <c r="CI14" s="10">
        <v>10115</v>
      </c>
      <c r="CJ14" s="14">
        <f t="shared" si="7"/>
        <v>2.1116910229645094</v>
      </c>
      <c r="CK14" s="10">
        <v>10077</v>
      </c>
      <c r="CL14" s="14">
        <f t="shared" si="8"/>
        <v>2.1037578288100209</v>
      </c>
      <c r="CM14" s="10">
        <v>9625</v>
      </c>
      <c r="CN14" s="14">
        <f t="shared" si="9"/>
        <v>2.0093945720250521</v>
      </c>
      <c r="CO14" s="10">
        <v>9869</v>
      </c>
      <c r="CP14" s="14">
        <f t="shared" si="10"/>
        <v>2.0603340292275574</v>
      </c>
      <c r="CQ14" s="10">
        <v>8732</v>
      </c>
      <c r="CR14" s="14">
        <f t="shared" si="10"/>
        <v>1.8229645093945721</v>
      </c>
      <c r="CS14" s="10">
        <v>10681</v>
      </c>
      <c r="CT14" s="14">
        <f t="shared" si="10"/>
        <v>2.2298538622129436</v>
      </c>
      <c r="CU14" s="10">
        <v>9851</v>
      </c>
      <c r="CV14" s="14">
        <f t="shared" si="10"/>
        <v>2.0565762004175365</v>
      </c>
      <c r="CW14" s="10">
        <v>9773</v>
      </c>
      <c r="CX14" s="14">
        <f t="shared" si="11"/>
        <v>2.0402922755741129</v>
      </c>
      <c r="CY14" s="10">
        <v>11811</v>
      </c>
      <c r="DA14" s="10">
        <v>12426</v>
      </c>
      <c r="DC14" s="10">
        <v>12341</v>
      </c>
      <c r="DE14" s="10">
        <v>12021</v>
      </c>
      <c r="DG14" s="10">
        <v>10831</v>
      </c>
    </row>
    <row r="15" spans="1:112" ht="16.5" customHeight="1" thickBot="1">
      <c r="A15" s="119">
        <v>18</v>
      </c>
      <c r="B15" s="120" t="s">
        <v>134</v>
      </c>
      <c r="C15" s="88" t="s">
        <v>138</v>
      </c>
      <c r="E15" s="2" t="str">
        <f t="shared" si="12"/>
        <v>{"username":"Bern.Sachbearbeiterin@diartis.ch","password":"XXxa22?pdTA66-S@"}</v>
      </c>
      <c r="F15" s="609" t="s">
        <v>29</v>
      </c>
      <c r="G15" s="611" t="s">
        <v>30</v>
      </c>
      <c r="H15" s="609" t="s">
        <v>31</v>
      </c>
      <c r="I15" s="611" t="s">
        <v>32</v>
      </c>
      <c r="J15" s="609" t="s">
        <v>37</v>
      </c>
      <c r="AI15" s="48">
        <v>12332</v>
      </c>
      <c r="AJ15" s="81"/>
      <c r="AL15" s="2">
        <v>12730</v>
      </c>
      <c r="AM15" s="14">
        <f t="shared" si="2"/>
        <v>1.0322737593253324</v>
      </c>
      <c r="AN15" s="2">
        <v>12589</v>
      </c>
      <c r="AO15" s="14">
        <f t="shared" si="2"/>
        <v>1.0208400908206292</v>
      </c>
      <c r="AP15" s="2">
        <v>13286</v>
      </c>
      <c r="AQ15" s="14">
        <f t="shared" si="3"/>
        <v>1.0773597145637366</v>
      </c>
      <c r="AR15" s="2">
        <v>13640</v>
      </c>
      <c r="AS15" s="14">
        <f t="shared" si="3"/>
        <v>1.1060655205968213</v>
      </c>
      <c r="AT15" s="2">
        <v>13635</v>
      </c>
      <c r="AU15" s="14">
        <f t="shared" si="3"/>
        <v>1.1056600713590659</v>
      </c>
      <c r="AV15" s="2">
        <v>13688</v>
      </c>
      <c r="AW15" s="14">
        <f t="shared" si="3"/>
        <v>1.1099578332792734</v>
      </c>
      <c r="AX15" s="2">
        <v>26297</v>
      </c>
      <c r="AY15" s="14">
        <f t="shared" si="3"/>
        <v>2.1324197210509244</v>
      </c>
      <c r="AZ15" s="2">
        <v>10616</v>
      </c>
      <c r="BB15" s="2">
        <v>10362</v>
      </c>
      <c r="BC15" s="14">
        <f t="shared" si="4"/>
        <v>0.84025300032435934</v>
      </c>
      <c r="BD15" s="2">
        <v>410</v>
      </c>
      <c r="BE15" s="14">
        <f t="shared" si="4"/>
        <v>3.3246837495945508E-2</v>
      </c>
      <c r="BF15" s="2">
        <v>416</v>
      </c>
      <c r="BG15" s="14">
        <f t="shared" si="4"/>
        <v>3.3733376581252028E-2</v>
      </c>
      <c r="BH15" s="2">
        <v>401</v>
      </c>
      <c r="BI15" s="14">
        <f t="shared" si="4"/>
        <v>3.2517028867985728E-2</v>
      </c>
      <c r="BK15" s="2">
        <v>418</v>
      </c>
      <c r="BL15" s="14">
        <f t="shared" si="5"/>
        <v>3.3895556276354204E-2</v>
      </c>
      <c r="BM15" s="2">
        <v>404</v>
      </c>
      <c r="BN15" s="14">
        <f t="shared" si="6"/>
        <v>3.2760298410638988E-2</v>
      </c>
      <c r="BO15" s="2">
        <v>10163</v>
      </c>
      <c r="BP15" s="14">
        <f t="shared" si="6"/>
        <v>0.82411612066169315</v>
      </c>
      <c r="BQ15" s="2">
        <v>10128</v>
      </c>
      <c r="BR15" s="14">
        <f t="shared" si="6"/>
        <v>0.82127797599740515</v>
      </c>
      <c r="BS15" s="2">
        <v>10432</v>
      </c>
      <c r="BT15" s="14">
        <f t="shared" si="6"/>
        <v>0.84592928965293546</v>
      </c>
      <c r="BU15" s="2">
        <v>10609</v>
      </c>
      <c r="BV15" s="14">
        <f t="shared" si="6"/>
        <v>0.86028219266947781</v>
      </c>
      <c r="BW15" s="2">
        <v>11196</v>
      </c>
      <c r="BX15" s="14">
        <f t="shared" si="6"/>
        <v>0.90788193318196564</v>
      </c>
      <c r="BY15" s="2">
        <v>10494</v>
      </c>
      <c r="BZ15" s="14">
        <f t="shared" si="6"/>
        <v>0.85095686020110284</v>
      </c>
      <c r="CA15" s="2">
        <v>8885</v>
      </c>
      <c r="CB15" s="14">
        <f t="shared" si="6"/>
        <v>0.72048329549140444</v>
      </c>
      <c r="CC15" s="2">
        <v>9805</v>
      </c>
      <c r="CD15" s="14">
        <f t="shared" si="7"/>
        <v>0.7950859552384042</v>
      </c>
      <c r="CE15" s="2">
        <v>8275</v>
      </c>
      <c r="CF15" s="14">
        <f t="shared" si="7"/>
        <v>0.67101848848524159</v>
      </c>
      <c r="CG15" s="2">
        <v>7229</v>
      </c>
      <c r="CH15" s="14">
        <f t="shared" si="7"/>
        <v>0.58619850794680506</v>
      </c>
      <c r="CI15" s="2">
        <v>5168</v>
      </c>
      <c r="CJ15" s="14">
        <f t="shared" si="7"/>
        <v>0.41907233214401557</v>
      </c>
      <c r="CK15" s="2">
        <v>14471</v>
      </c>
      <c r="CL15" s="14">
        <f t="shared" si="8"/>
        <v>1.1734511839117743</v>
      </c>
      <c r="CM15" s="2">
        <v>9363</v>
      </c>
      <c r="CN15" s="14">
        <f t="shared" si="9"/>
        <v>0.75924424262082391</v>
      </c>
      <c r="CO15" s="2">
        <v>9758</v>
      </c>
      <c r="CP15" s="14">
        <f t="shared" si="10"/>
        <v>0.7912747324035031</v>
      </c>
      <c r="CQ15" s="2">
        <v>8724</v>
      </c>
      <c r="CR15" s="14">
        <f t="shared" si="10"/>
        <v>0.70742783003567955</v>
      </c>
      <c r="CS15" s="2">
        <v>9595</v>
      </c>
      <c r="CT15" s="14">
        <f t="shared" si="10"/>
        <v>0.77805708725267597</v>
      </c>
      <c r="CU15" s="2">
        <v>8421</v>
      </c>
      <c r="CV15" s="14">
        <f t="shared" si="10"/>
        <v>0.68285760622770031</v>
      </c>
      <c r="CW15" s="2">
        <v>13550</v>
      </c>
      <c r="CX15" s="14">
        <f t="shared" si="11"/>
        <v>1.0987674343172236</v>
      </c>
      <c r="CY15" s="2">
        <v>10640</v>
      </c>
      <c r="DA15" s="2">
        <v>7882</v>
      </c>
      <c r="DC15" s="2">
        <v>9028</v>
      </c>
      <c r="DE15" s="2">
        <v>9203</v>
      </c>
      <c r="DG15" s="2">
        <v>8945</v>
      </c>
    </row>
    <row r="16" spans="1:112" s="10" customFormat="1" ht="16.5" customHeight="1" thickBot="1">
      <c r="A16" s="49">
        <v>20</v>
      </c>
      <c r="B16" s="54" t="s">
        <v>139</v>
      </c>
      <c r="C16" s="89" t="str">
        <f t="shared" ref="C16:C29" si="13">E16</f>
        <v>{"searchDossierOrKlient":p.DossierName1,"resultType":"Dossiers"}</v>
      </c>
      <c r="D16" s="90"/>
      <c r="E16" s="91" t="str">
        <f t="shared" si="12"/>
        <v>{"searchDossierOrKlient":p.DossierName1,"resultType":"Dossiers"}</v>
      </c>
      <c r="F16" s="609" t="s">
        <v>140</v>
      </c>
      <c r="G16" s="611" t="str">
        <f>'001x'!$G$11</f>
        <v>p.DossierName1</v>
      </c>
      <c r="H16" s="609" t="s">
        <v>141</v>
      </c>
      <c r="I16" s="611" t="s">
        <v>142</v>
      </c>
      <c r="J16" s="609" t="s">
        <v>37</v>
      </c>
      <c r="K16" s="611"/>
      <c r="L16" s="609"/>
      <c r="M16" s="611"/>
      <c r="N16" s="609"/>
      <c r="O16" s="611"/>
      <c r="P16" s="609"/>
      <c r="Q16" s="611"/>
      <c r="R16" s="609"/>
      <c r="S16" s="611"/>
      <c r="T16" s="609"/>
      <c r="U16" s="611"/>
      <c r="V16" s="609"/>
      <c r="W16" s="611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48">
        <v>5018</v>
      </c>
      <c r="AJ16" s="2"/>
      <c r="AK16" s="4"/>
      <c r="AL16" s="90">
        <v>5017</v>
      </c>
      <c r="AM16" s="14">
        <f t="shared" si="2"/>
        <v>0.9998007174172977</v>
      </c>
      <c r="AN16" s="90">
        <v>5008</v>
      </c>
      <c r="AO16" s="14">
        <f t="shared" si="2"/>
        <v>0.99800717417297724</v>
      </c>
      <c r="AP16" s="90">
        <v>5007</v>
      </c>
      <c r="AQ16" s="14">
        <f t="shared" si="3"/>
        <v>0.99780789159027505</v>
      </c>
      <c r="AR16" s="90">
        <v>5010</v>
      </c>
      <c r="AS16" s="14">
        <f t="shared" si="3"/>
        <v>0.99840573933838184</v>
      </c>
      <c r="AT16" s="90">
        <v>5024</v>
      </c>
      <c r="AU16" s="14">
        <f t="shared" si="3"/>
        <v>1.0011956954962136</v>
      </c>
      <c r="AV16" s="90">
        <v>5005</v>
      </c>
      <c r="AW16" s="14">
        <f t="shared" si="3"/>
        <v>0.99740932642487046</v>
      </c>
      <c r="AX16" s="90">
        <v>5011</v>
      </c>
      <c r="AY16" s="14">
        <f t="shared" si="3"/>
        <v>0.99860502192108413</v>
      </c>
      <c r="AZ16" s="90">
        <v>5005</v>
      </c>
      <c r="BA16" s="90"/>
      <c r="BB16" s="2">
        <v>5022</v>
      </c>
      <c r="BC16" s="14">
        <f t="shared" si="4"/>
        <v>1.0007971303308092</v>
      </c>
      <c r="BD16" s="2">
        <v>8677</v>
      </c>
      <c r="BE16" s="14">
        <f t="shared" si="4"/>
        <v>1.7291749701076127</v>
      </c>
      <c r="BF16" s="2">
        <v>10125</v>
      </c>
      <c r="BG16" s="14">
        <f t="shared" si="4"/>
        <v>2.017736149860502</v>
      </c>
      <c r="BH16" s="2">
        <v>9485</v>
      </c>
      <c r="BI16" s="14">
        <f t="shared" si="4"/>
        <v>1.8901952969310483</v>
      </c>
      <c r="BK16" s="10">
        <v>9709</v>
      </c>
      <c r="BL16" s="14">
        <f t="shared" si="5"/>
        <v>1.9348345954563571</v>
      </c>
      <c r="BM16" s="10">
        <v>9970</v>
      </c>
      <c r="BN16" s="14">
        <f t="shared" si="6"/>
        <v>1.9868473495416501</v>
      </c>
      <c r="BO16" s="10">
        <v>9975</v>
      </c>
      <c r="BP16" s="14">
        <f t="shared" si="6"/>
        <v>1.9878437624551615</v>
      </c>
      <c r="BQ16" s="10">
        <v>10619</v>
      </c>
      <c r="BR16" s="14">
        <f t="shared" si="6"/>
        <v>2.1161817457154246</v>
      </c>
      <c r="BS16" s="10">
        <v>9783</v>
      </c>
      <c r="BT16" s="14">
        <f t="shared" si="6"/>
        <v>1.9495815065763251</v>
      </c>
      <c r="BU16" s="10">
        <v>10225</v>
      </c>
      <c r="BV16" s="14">
        <f t="shared" si="6"/>
        <v>2.0376644081307296</v>
      </c>
      <c r="BW16" s="10">
        <v>10001</v>
      </c>
      <c r="BX16" s="14">
        <f t="shared" si="6"/>
        <v>1.9930251096054206</v>
      </c>
      <c r="BY16" s="10">
        <v>9332</v>
      </c>
      <c r="BZ16" s="14">
        <f t="shared" si="6"/>
        <v>1.8597050617776005</v>
      </c>
      <c r="CA16" s="10">
        <v>8820</v>
      </c>
      <c r="CB16" s="14">
        <f t="shared" si="6"/>
        <v>1.7576723794340374</v>
      </c>
      <c r="CC16" s="10">
        <v>10004</v>
      </c>
      <c r="CD16" s="14">
        <f t="shared" si="7"/>
        <v>1.9936229573535273</v>
      </c>
      <c r="CE16" s="10">
        <v>9135</v>
      </c>
      <c r="CF16" s="14">
        <f t="shared" si="7"/>
        <v>1.820446392985253</v>
      </c>
      <c r="CG16" s="10">
        <v>8970</v>
      </c>
      <c r="CH16" s="14">
        <f t="shared" si="7"/>
        <v>1.7875647668393781</v>
      </c>
      <c r="CI16" s="10">
        <v>9488</v>
      </c>
      <c r="CJ16" s="14">
        <f t="shared" si="7"/>
        <v>1.890793144679155</v>
      </c>
      <c r="CK16" s="10">
        <v>8800</v>
      </c>
      <c r="CL16" s="14">
        <f t="shared" si="8"/>
        <v>1.7536867277799921</v>
      </c>
      <c r="CM16" s="10">
        <v>10321</v>
      </c>
      <c r="CN16" s="14">
        <f t="shared" si="9"/>
        <v>2.0567955360701475</v>
      </c>
      <c r="CO16" s="10">
        <v>9974</v>
      </c>
      <c r="CP16" s="14">
        <f t="shared" si="10"/>
        <v>1.9876444798724591</v>
      </c>
      <c r="CQ16" s="10">
        <v>9194</v>
      </c>
      <c r="CR16" s="14">
        <f t="shared" si="10"/>
        <v>1.8322040653646872</v>
      </c>
      <c r="CS16" s="10">
        <v>9458</v>
      </c>
      <c r="CT16" s="14">
        <f t="shared" si="10"/>
        <v>1.884814667198087</v>
      </c>
      <c r="CU16" s="10">
        <v>9693</v>
      </c>
      <c r="CV16" s="14">
        <f t="shared" si="10"/>
        <v>1.9316460741331207</v>
      </c>
      <c r="CW16" s="10">
        <v>10242</v>
      </c>
      <c r="CX16" s="14">
        <f t="shared" si="11"/>
        <v>2.0410522120366679</v>
      </c>
      <c r="CY16" s="10">
        <v>21509</v>
      </c>
      <c r="DA16" s="10">
        <v>11750</v>
      </c>
      <c r="DC16" s="10">
        <v>11493</v>
      </c>
      <c r="DE16" s="10">
        <v>13832</v>
      </c>
      <c r="DG16" s="10">
        <v>11881</v>
      </c>
    </row>
    <row r="17" spans="1:112" s="10" customFormat="1" ht="16.5" customHeight="1" thickBot="1">
      <c r="A17" s="116">
        <v>21</v>
      </c>
      <c r="B17" s="272" t="s">
        <v>143</v>
      </c>
      <c r="C17" s="121" t="str">
        <f t="shared" si="13"/>
        <v>{"vermieter":"Graber Immobilien","wohnungsgrosse":"4 Zimmer","mietkosten":1200,"nebenkosten":100}</v>
      </c>
      <c r="D17" s="13"/>
      <c r="E17" s="45" t="str">
        <f t="shared" si="12"/>
        <v>{"vermieter":"Graber Immobilien","wohnungsgrosse":"4 Zimmer","mietkosten":1200,"nebenkosten":100}</v>
      </c>
      <c r="F17" s="611" t="s">
        <v>144</v>
      </c>
      <c r="G17" s="609" t="s">
        <v>145</v>
      </c>
      <c r="H17" s="611" t="s">
        <v>146</v>
      </c>
      <c r="I17" s="611" t="s">
        <v>147</v>
      </c>
      <c r="J17" s="611" t="s">
        <v>148</v>
      </c>
      <c r="K17" s="611">
        <v>1200</v>
      </c>
      <c r="L17" s="611" t="s">
        <v>149</v>
      </c>
      <c r="M17" s="611">
        <v>100</v>
      </c>
      <c r="N17" s="611" t="s">
        <v>109</v>
      </c>
      <c r="O17" s="611"/>
      <c r="P17" s="611"/>
      <c r="Q17" s="611"/>
      <c r="R17" s="611"/>
      <c r="S17" s="611"/>
      <c r="T17" s="611"/>
      <c r="U17" s="611"/>
      <c r="V17" s="611"/>
      <c r="W17" s="611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48">
        <v>10549</v>
      </c>
      <c r="AJ17" s="13"/>
      <c r="AK17" s="4"/>
      <c r="AL17" s="13">
        <v>10895</v>
      </c>
      <c r="AM17" s="14">
        <f t="shared" si="2"/>
        <v>1.0327993174708503</v>
      </c>
      <c r="AN17" s="13">
        <v>11011</v>
      </c>
      <c r="AO17" s="14">
        <f t="shared" si="2"/>
        <v>1.0437956204379562</v>
      </c>
      <c r="AP17" s="13">
        <v>11381</v>
      </c>
      <c r="AQ17" s="14">
        <f t="shared" si="3"/>
        <v>1.0788700350744147</v>
      </c>
      <c r="AR17" s="13">
        <v>10897</v>
      </c>
      <c r="AS17" s="14">
        <f t="shared" si="3"/>
        <v>1.0329889089013176</v>
      </c>
      <c r="AT17" s="13">
        <v>11079</v>
      </c>
      <c r="AU17" s="14">
        <f t="shared" si="3"/>
        <v>1.0502417290738459</v>
      </c>
      <c r="AV17" s="13">
        <v>11119</v>
      </c>
      <c r="AW17" s="14">
        <f t="shared" si="3"/>
        <v>1.0540335576831927</v>
      </c>
      <c r="AX17" s="13">
        <v>10646</v>
      </c>
      <c r="AY17" s="14">
        <f t="shared" si="3"/>
        <v>1.0091951843776661</v>
      </c>
      <c r="AZ17" s="13">
        <v>2477</v>
      </c>
      <c r="BA17" s="13"/>
      <c r="BB17" s="2">
        <v>2456</v>
      </c>
      <c r="BC17" s="14">
        <f t="shared" si="4"/>
        <v>0.23281827661389706</v>
      </c>
      <c r="BD17" s="2">
        <v>5594</v>
      </c>
      <c r="BE17" s="14">
        <f t="shared" si="4"/>
        <v>0.53028723101715802</v>
      </c>
      <c r="BF17" s="2">
        <v>6235</v>
      </c>
      <c r="BG17" s="14">
        <f t="shared" si="4"/>
        <v>0.59105128448194144</v>
      </c>
      <c r="BH17" s="2">
        <v>5583</v>
      </c>
      <c r="BI17" s="14">
        <f t="shared" si="4"/>
        <v>0.52924447814958764</v>
      </c>
      <c r="BK17" s="10">
        <v>5890</v>
      </c>
      <c r="BL17" s="14">
        <f t="shared" si="5"/>
        <v>0.55834676272632477</v>
      </c>
      <c r="BM17" s="10">
        <v>6024</v>
      </c>
      <c r="BN17" s="14">
        <f t="shared" si="6"/>
        <v>0.57104938856763676</v>
      </c>
      <c r="BO17" s="10">
        <v>5965</v>
      </c>
      <c r="BP17" s="14">
        <f t="shared" si="6"/>
        <v>0.56545644136885009</v>
      </c>
      <c r="BQ17" s="10">
        <v>5840</v>
      </c>
      <c r="BR17" s="14">
        <f t="shared" si="6"/>
        <v>0.55360697696464123</v>
      </c>
      <c r="BS17" s="10">
        <v>6394</v>
      </c>
      <c r="BT17" s="14">
        <f t="shared" si="6"/>
        <v>0.6061238032040952</v>
      </c>
      <c r="BU17" s="10">
        <v>6114</v>
      </c>
      <c r="BV17" s="14">
        <f t="shared" si="6"/>
        <v>0.57958100293866721</v>
      </c>
      <c r="BW17" s="10">
        <v>6376</v>
      </c>
      <c r="BX17" s="14">
        <f t="shared" si="6"/>
        <v>0.60441748032988907</v>
      </c>
      <c r="BY17" s="10">
        <v>5946</v>
      </c>
      <c r="BZ17" s="14">
        <f t="shared" si="6"/>
        <v>0.56365532277941033</v>
      </c>
      <c r="CA17" s="10">
        <v>5882</v>
      </c>
      <c r="CB17" s="14">
        <f t="shared" si="6"/>
        <v>0.55758839700445539</v>
      </c>
      <c r="CC17" s="10">
        <v>5357</v>
      </c>
      <c r="CD17" s="14">
        <f t="shared" si="7"/>
        <v>0.50782064650677794</v>
      </c>
      <c r="CE17" s="10">
        <v>3013</v>
      </c>
      <c r="CF17" s="14">
        <f t="shared" si="7"/>
        <v>0.28561948999905207</v>
      </c>
      <c r="CG17" s="10">
        <v>3110</v>
      </c>
      <c r="CH17" s="14">
        <f t="shared" si="7"/>
        <v>0.29481467437671816</v>
      </c>
      <c r="CI17" s="10">
        <v>3362</v>
      </c>
      <c r="CJ17" s="14">
        <f t="shared" si="7"/>
        <v>0.31870319461560337</v>
      </c>
      <c r="CK17" s="10">
        <v>115554</v>
      </c>
      <c r="CL17" s="14">
        <f t="shared" si="8"/>
        <v>10.954024078111669</v>
      </c>
      <c r="CM17" s="10">
        <v>5494</v>
      </c>
      <c r="CN17" s="14">
        <f t="shared" si="9"/>
        <v>0.52080765949379093</v>
      </c>
      <c r="CO17" s="10">
        <v>5566</v>
      </c>
      <c r="CP17" s="14">
        <f t="shared" si="10"/>
        <v>0.52763295099061525</v>
      </c>
      <c r="CQ17" s="10">
        <v>5405</v>
      </c>
      <c r="CR17" s="14">
        <f t="shared" si="10"/>
        <v>0.51237084083799411</v>
      </c>
      <c r="CS17" s="10">
        <v>4980</v>
      </c>
      <c r="CT17" s="14">
        <f t="shared" si="10"/>
        <v>0.47208266186368375</v>
      </c>
      <c r="CU17" s="10">
        <v>5271</v>
      </c>
      <c r="CV17" s="14">
        <f t="shared" si="10"/>
        <v>0.49966821499668213</v>
      </c>
      <c r="CW17" s="10">
        <v>6470</v>
      </c>
      <c r="CX17" s="14">
        <f t="shared" si="11"/>
        <v>0.61332827756185415</v>
      </c>
      <c r="CY17" s="10">
        <v>7151</v>
      </c>
      <c r="DA17" s="10">
        <v>5668</v>
      </c>
      <c r="DC17" s="10">
        <v>5046</v>
      </c>
      <c r="DE17" s="10">
        <v>5190</v>
      </c>
      <c r="DG17" s="10">
        <v>4642</v>
      </c>
    </row>
    <row r="18" spans="1:112" s="10" customFormat="1" ht="16.5" customHeight="1" thickBot="1">
      <c r="A18" s="119"/>
      <c r="B18" s="120" t="s">
        <v>150</v>
      </c>
      <c r="C18" s="121" t="str">
        <f t="shared" ca="1" si="13"/>
        <v>{"name":p.FamilyName1,"vorname":p.WomanFirstName1,"geburtsdatum":p.BirthdayAdult2,"ahvNumber":p.AHVNumber2,"personInhausltVon":"01.11.2025","inHauslt":"Übernehmen","ereignis":"Eheschliessung"}</v>
      </c>
      <c r="D18" s="13"/>
      <c r="E18" s="45" t="str">
        <f t="shared" ca="1" si="12"/>
        <v>{"name":p.FamilyName1,"vorname":p.WomanFirstName1,"geburtsdatum":p.BirthdayAdult2,"ahvNumber":p.AHVNumber2,"personInhausltVon":"01.11.2025","inHauslt":"Übernehmen","ereignis":"Eheschliessung"}</v>
      </c>
      <c r="F18" s="611" t="s">
        <v>78</v>
      </c>
      <c r="G18" s="611" t="str">
        <f>G5</f>
        <v>p.FamilyName1</v>
      </c>
      <c r="H18" s="611" t="s">
        <v>79</v>
      </c>
      <c r="I18" s="609" t="str">
        <f>H63</f>
        <v>p.WomanFirstName1</v>
      </c>
      <c r="J18" s="611" t="s">
        <v>151</v>
      </c>
      <c r="K18" s="614" t="str">
        <f>J63</f>
        <v>p.BirthdayAdult2</v>
      </c>
      <c r="L18" s="611" t="s">
        <v>83</v>
      </c>
      <c r="M18" s="609" t="str">
        <f>I63</f>
        <v>p.AHVNumber2</v>
      </c>
      <c r="N18" s="611" t="s">
        <v>152</v>
      </c>
      <c r="O18" s="615" t="str">
        <f ca="1">"01."&amp;MONTH(TODAY())&amp;"."&amp;YEAR(TODAY())</f>
        <v>01.11.2025</v>
      </c>
      <c r="P18" s="611" t="s">
        <v>153</v>
      </c>
      <c r="Q18" s="611" t="s">
        <v>154</v>
      </c>
      <c r="R18" s="611" t="s">
        <v>155</v>
      </c>
      <c r="S18" s="611" t="s">
        <v>156</v>
      </c>
      <c r="T18" s="611" t="s">
        <v>37</v>
      </c>
      <c r="U18" s="611"/>
      <c r="V18" s="611"/>
      <c r="W18" s="611"/>
      <c r="X18" s="13"/>
      <c r="Y18" s="13"/>
      <c r="Z18" s="66"/>
      <c r="AA18" s="13"/>
      <c r="AB18" s="13"/>
      <c r="AC18" s="13"/>
      <c r="AD18" s="13"/>
      <c r="AE18" s="13"/>
      <c r="AF18" s="13"/>
      <c r="AG18" s="13"/>
      <c r="AH18" s="13"/>
      <c r="AI18" s="48">
        <v>2974</v>
      </c>
      <c r="AJ18" s="13"/>
      <c r="AK18" s="4"/>
      <c r="AL18" s="13">
        <v>3318</v>
      </c>
      <c r="AM18" s="14">
        <f t="shared" si="2"/>
        <v>1.1156691324815065</v>
      </c>
      <c r="AN18" s="13">
        <v>5657</v>
      </c>
      <c r="AO18" s="14">
        <f t="shared" si="2"/>
        <v>1.9021519838601211</v>
      </c>
      <c r="AP18" s="13">
        <v>4597</v>
      </c>
      <c r="AQ18" s="14">
        <f t="shared" si="3"/>
        <v>1.5457296570275723</v>
      </c>
      <c r="AR18" s="13">
        <v>5547</v>
      </c>
      <c r="AS18" s="14">
        <f t="shared" si="3"/>
        <v>1.8651647612642905</v>
      </c>
      <c r="AT18" s="13">
        <v>5738</v>
      </c>
      <c r="AU18" s="14">
        <f t="shared" si="3"/>
        <v>1.9293880295897781</v>
      </c>
      <c r="AV18" s="13">
        <v>5121</v>
      </c>
      <c r="AW18" s="14">
        <f t="shared" si="3"/>
        <v>1.7219233355749832</v>
      </c>
      <c r="AX18" s="13">
        <v>5462</v>
      </c>
      <c r="AY18" s="14">
        <f t="shared" si="3"/>
        <v>1.8365837256220578</v>
      </c>
      <c r="AZ18" s="13">
        <v>5249</v>
      </c>
      <c r="BA18" s="13"/>
      <c r="BB18" s="2">
        <v>5670</v>
      </c>
      <c r="BC18" s="14">
        <f t="shared" si="4"/>
        <v>1.9065232010759918</v>
      </c>
      <c r="BD18" s="2">
        <v>3690</v>
      </c>
      <c r="BE18" s="14">
        <f t="shared" si="4"/>
        <v>1.2407531943510424</v>
      </c>
      <c r="BF18" s="2">
        <v>3513</v>
      </c>
      <c r="BG18" s="14">
        <f t="shared" si="4"/>
        <v>1.1812373907195697</v>
      </c>
      <c r="BH18" s="2">
        <v>3054</v>
      </c>
      <c r="BI18" s="14">
        <f t="shared" si="4"/>
        <v>1.0268997982515131</v>
      </c>
      <c r="BK18" s="10">
        <v>4065</v>
      </c>
      <c r="BL18" s="14">
        <f t="shared" si="5"/>
        <v>1.3668459986550101</v>
      </c>
      <c r="BM18" s="10">
        <v>4042</v>
      </c>
      <c r="BN18" s="14">
        <f t="shared" si="6"/>
        <v>1.3591123066577</v>
      </c>
      <c r="BO18" s="10">
        <v>4106</v>
      </c>
      <c r="BP18" s="14">
        <f t="shared" si="6"/>
        <v>1.3806321452589105</v>
      </c>
      <c r="BQ18" s="10">
        <v>4024</v>
      </c>
      <c r="BR18" s="14">
        <f t="shared" si="6"/>
        <v>1.3530598520511097</v>
      </c>
      <c r="BS18" s="10">
        <v>3730</v>
      </c>
      <c r="BT18" s="14">
        <f t="shared" si="6"/>
        <v>1.2542030934767989</v>
      </c>
      <c r="BU18" s="10">
        <v>4153</v>
      </c>
      <c r="BV18" s="14">
        <f t="shared" si="6"/>
        <v>1.3964357767316744</v>
      </c>
      <c r="BW18" s="10">
        <v>4360</v>
      </c>
      <c r="BX18" s="14">
        <f t="shared" si="6"/>
        <v>1.4660390047074647</v>
      </c>
      <c r="BY18" s="10">
        <v>3948</v>
      </c>
      <c r="BZ18" s="14">
        <f t="shared" si="6"/>
        <v>1.3275050437121723</v>
      </c>
      <c r="CA18" s="10">
        <v>3595</v>
      </c>
      <c r="CB18" s="14">
        <f t="shared" si="6"/>
        <v>1.2088096839273705</v>
      </c>
      <c r="CC18" s="10">
        <v>3955</v>
      </c>
      <c r="CD18" s="14">
        <f t="shared" si="7"/>
        <v>1.3298587760591796</v>
      </c>
      <c r="CE18" s="10">
        <v>3966</v>
      </c>
      <c r="CF18" s="14">
        <f t="shared" si="7"/>
        <v>1.3335574983187626</v>
      </c>
      <c r="CG18" s="10">
        <v>3555</v>
      </c>
      <c r="CH18" s="14">
        <f t="shared" si="7"/>
        <v>1.195359784801614</v>
      </c>
      <c r="CI18" s="10">
        <v>2862</v>
      </c>
      <c r="CJ18" s="14">
        <f t="shared" si="7"/>
        <v>0.96234028244788161</v>
      </c>
      <c r="CK18" s="10">
        <v>4854</v>
      </c>
      <c r="CL18" s="14">
        <f t="shared" si="8"/>
        <v>1.6321452589105581</v>
      </c>
      <c r="CM18" s="10">
        <v>3422</v>
      </c>
      <c r="CN18" s="14">
        <f t="shared" si="9"/>
        <v>1.1506388702084733</v>
      </c>
      <c r="CO18" s="10">
        <v>3054</v>
      </c>
      <c r="CP18" s="14">
        <f t="shared" si="10"/>
        <v>1.0268997982515131</v>
      </c>
      <c r="CQ18" s="10">
        <v>3169</v>
      </c>
      <c r="CR18" s="14">
        <f t="shared" si="10"/>
        <v>1.0655682582380632</v>
      </c>
      <c r="CS18" s="10">
        <v>3240</v>
      </c>
      <c r="CT18" s="14">
        <f t="shared" si="10"/>
        <v>1.0894418291862811</v>
      </c>
      <c r="CU18" s="10">
        <v>7870</v>
      </c>
      <c r="CV18" s="14">
        <f t="shared" si="10"/>
        <v>2.6462676529926026</v>
      </c>
      <c r="CW18" s="10">
        <v>4264</v>
      </c>
      <c r="CX18" s="14">
        <f t="shared" si="11"/>
        <v>1.433759246805649</v>
      </c>
      <c r="CY18" s="10">
        <v>4418</v>
      </c>
      <c r="DA18" s="10">
        <v>3437</v>
      </c>
      <c r="DC18" s="10">
        <v>3821</v>
      </c>
      <c r="DE18" s="10">
        <v>4217</v>
      </c>
      <c r="DG18" s="10">
        <v>3452</v>
      </c>
    </row>
    <row r="19" spans="1:112" s="10" customFormat="1" ht="16.5" customHeight="1" thickBot="1">
      <c r="A19" s="119"/>
      <c r="B19" s="120" t="s">
        <v>150</v>
      </c>
      <c r="C19" s="121" t="str">
        <f t="shared" ca="1" si="13"/>
        <v>{"name":p.FamilyName1,"vorname":p.GirlFirstName1,"geburtsdatum":p.BirthdayKid1,"ahvNumber":p.AHVNumber3,"personInhausltVon":"01.11.2025","inHauslt":"Übernehmen","ereignis":"Geburt"}</v>
      </c>
      <c r="D19" s="13"/>
      <c r="E19" s="45" t="str">
        <f t="shared" ca="1" si="12"/>
        <v>{"name":p.FamilyName1,"vorname":p.GirlFirstName1,"geburtsdatum":p.BirthdayKid1,"ahvNumber":p.AHVNumber3,"personInhausltVon":"01.11.2025","inHauslt":"Übernehmen","ereignis":"Geburt"}</v>
      </c>
      <c r="F19" s="611" t="s">
        <v>78</v>
      </c>
      <c r="G19" s="611" t="str">
        <f>G18</f>
        <v>p.FamilyName1</v>
      </c>
      <c r="H19" s="611" t="s">
        <v>79</v>
      </c>
      <c r="I19" s="609" t="str">
        <f>H64</f>
        <v>p.GirlFirstName1</v>
      </c>
      <c r="J19" s="611" t="s">
        <v>151</v>
      </c>
      <c r="K19" s="614" t="str">
        <f>J64</f>
        <v>p.BirthdayKid1</v>
      </c>
      <c r="L19" s="611" t="s">
        <v>83</v>
      </c>
      <c r="M19" s="609" t="str">
        <f>I64</f>
        <v>p.AHVNumber3</v>
      </c>
      <c r="N19" s="611" t="s">
        <v>152</v>
      </c>
      <c r="O19" s="615" t="str">
        <f t="shared" ref="O19:O20" ca="1" si="14">"01."&amp;MONTH(TODAY())&amp;"."&amp;YEAR(TODAY())</f>
        <v>01.11.2025</v>
      </c>
      <c r="P19" s="611" t="s">
        <v>153</v>
      </c>
      <c r="Q19" s="611" t="s">
        <v>154</v>
      </c>
      <c r="R19" s="611" t="s">
        <v>155</v>
      </c>
      <c r="S19" s="611" t="s">
        <v>157</v>
      </c>
      <c r="T19" s="611" t="s">
        <v>37</v>
      </c>
      <c r="U19" s="611"/>
      <c r="V19" s="611"/>
      <c r="W19" s="611"/>
      <c r="X19" s="13"/>
      <c r="Y19" s="13"/>
      <c r="Z19" s="66"/>
      <c r="AA19" s="13"/>
      <c r="AB19" s="13"/>
      <c r="AC19" s="13"/>
      <c r="AD19" s="13"/>
      <c r="AE19" s="13"/>
      <c r="AF19" s="13"/>
      <c r="AG19" s="13"/>
      <c r="AH19" s="13"/>
      <c r="AI19" s="48">
        <v>2228</v>
      </c>
      <c r="AJ19" s="56"/>
      <c r="AK19" s="4"/>
      <c r="AL19" s="13">
        <v>2472</v>
      </c>
      <c r="AM19" s="14">
        <f t="shared" si="2"/>
        <v>1.1095152603231597</v>
      </c>
      <c r="AN19" s="13">
        <v>3858</v>
      </c>
      <c r="AO19" s="14">
        <f t="shared" si="2"/>
        <v>1.7315978456014363</v>
      </c>
      <c r="AP19" s="13">
        <v>4051</v>
      </c>
      <c r="AQ19" s="14">
        <f t="shared" ref="AQ19:AY25" si="15">AP19/($AI19)</f>
        <v>1.8182226211849193</v>
      </c>
      <c r="AR19" s="13">
        <v>5422</v>
      </c>
      <c r="AS19" s="14">
        <f t="shared" si="15"/>
        <v>2.4335727109515259</v>
      </c>
      <c r="AT19" s="13">
        <v>5458</v>
      </c>
      <c r="AU19" s="14">
        <f t="shared" si="15"/>
        <v>2.4497307001795332</v>
      </c>
      <c r="AV19" s="13">
        <v>5188</v>
      </c>
      <c r="AW19" s="14">
        <f t="shared" si="15"/>
        <v>2.3285457809694794</v>
      </c>
      <c r="AX19" s="13">
        <v>5482</v>
      </c>
      <c r="AY19" s="14">
        <f t="shared" si="15"/>
        <v>2.4605026929982046</v>
      </c>
      <c r="AZ19" s="13">
        <v>4093</v>
      </c>
      <c r="BA19" s="13"/>
      <c r="BB19" s="2">
        <v>4059</v>
      </c>
      <c r="BC19" s="14">
        <f t="shared" si="4"/>
        <v>1.8218132854578097</v>
      </c>
      <c r="BD19" s="2">
        <v>2309</v>
      </c>
      <c r="BE19" s="14">
        <f t="shared" si="4"/>
        <v>1.0363554757630162</v>
      </c>
      <c r="BF19" s="2">
        <v>2476</v>
      </c>
      <c r="BG19" s="14">
        <f t="shared" si="4"/>
        <v>1.111310592459605</v>
      </c>
      <c r="BH19" s="2">
        <v>2375</v>
      </c>
      <c r="BI19" s="14">
        <f t="shared" si="4"/>
        <v>1.0659784560143626</v>
      </c>
      <c r="BK19" s="10">
        <v>2955</v>
      </c>
      <c r="BL19" s="14">
        <f t="shared" si="5"/>
        <v>1.3263016157989227</v>
      </c>
      <c r="BM19" s="10">
        <v>2440</v>
      </c>
      <c r="BN19" s="14">
        <f t="shared" si="6"/>
        <v>1.0951526032315979</v>
      </c>
      <c r="BO19" s="10">
        <v>2465</v>
      </c>
      <c r="BP19" s="14">
        <f t="shared" si="6"/>
        <v>1.1063734290843805</v>
      </c>
      <c r="BQ19" s="10">
        <v>2924</v>
      </c>
      <c r="BR19" s="14">
        <f t="shared" si="6"/>
        <v>1.3123877917414721</v>
      </c>
      <c r="BS19" s="10">
        <v>2760</v>
      </c>
      <c r="BT19" s="14">
        <f t="shared" si="6"/>
        <v>1.2387791741472172</v>
      </c>
      <c r="BU19" s="10">
        <v>2703</v>
      </c>
      <c r="BV19" s="14">
        <f t="shared" si="6"/>
        <v>1.2131956912028725</v>
      </c>
      <c r="BW19" s="10">
        <v>2427</v>
      </c>
      <c r="BX19" s="14">
        <f t="shared" si="6"/>
        <v>1.0893177737881508</v>
      </c>
      <c r="BY19" s="10">
        <v>2623</v>
      </c>
      <c r="BZ19" s="14">
        <f t="shared" si="6"/>
        <v>1.1772890484739678</v>
      </c>
      <c r="CA19" s="10">
        <v>2444</v>
      </c>
      <c r="CB19" s="14">
        <f t="shared" si="6"/>
        <v>1.0969479353680431</v>
      </c>
      <c r="CC19" s="10">
        <v>2660</v>
      </c>
      <c r="CD19" s="14">
        <f t="shared" si="7"/>
        <v>1.1938958707360863</v>
      </c>
      <c r="CE19" s="10">
        <v>2471</v>
      </c>
      <c r="CF19" s="14">
        <f t="shared" si="7"/>
        <v>1.1090664272890485</v>
      </c>
      <c r="CG19" s="10">
        <v>2297</v>
      </c>
      <c r="CH19" s="14">
        <f t="shared" si="7"/>
        <v>1.0309694793536803</v>
      </c>
      <c r="CI19" s="10">
        <v>2186</v>
      </c>
      <c r="CJ19" s="14">
        <f t="shared" si="7"/>
        <v>0.98114901256732501</v>
      </c>
      <c r="CK19" s="10">
        <v>2336</v>
      </c>
      <c r="CL19" s="14">
        <f t="shared" si="8"/>
        <v>1.0484739676840216</v>
      </c>
      <c r="CM19" s="10">
        <v>2354</v>
      </c>
      <c r="CN19" s="14">
        <f t="shared" si="9"/>
        <v>1.0565529622980252</v>
      </c>
      <c r="CO19" s="10">
        <v>2351</v>
      </c>
      <c r="CP19" s="14">
        <f t="shared" si="10"/>
        <v>1.0552064631956912</v>
      </c>
      <c r="CQ19" s="10">
        <v>2188</v>
      </c>
      <c r="CR19" s="14">
        <f t="shared" si="10"/>
        <v>0.98204667863554762</v>
      </c>
      <c r="CS19" s="10">
        <v>3215</v>
      </c>
      <c r="CT19" s="14">
        <f t="shared" si="10"/>
        <v>1.4429982046678635</v>
      </c>
      <c r="CU19" s="10">
        <v>2269</v>
      </c>
      <c r="CV19" s="14">
        <f t="shared" si="10"/>
        <v>1.0184021543985637</v>
      </c>
      <c r="CW19" s="10">
        <v>1834</v>
      </c>
      <c r="CX19" s="14">
        <f t="shared" si="11"/>
        <v>0.8231597845601436</v>
      </c>
      <c r="CY19" s="10">
        <v>2491</v>
      </c>
      <c r="DA19" s="10">
        <v>3260</v>
      </c>
      <c r="DC19" s="10">
        <v>3227</v>
      </c>
      <c r="DE19" s="10">
        <v>3846</v>
      </c>
      <c r="DG19" s="10">
        <v>2698</v>
      </c>
    </row>
    <row r="20" spans="1:112" s="10" customFormat="1" ht="16.5" customHeight="1" thickBot="1">
      <c r="A20" s="119"/>
      <c r="B20" s="120" t="s">
        <v>150</v>
      </c>
      <c r="C20" s="121" t="str">
        <f t="shared" ca="1" si="13"/>
        <v>{"name":p.FamilyName1,"vorname":p.ManFirstName2,"geburtsdatum":p.BirthdayKid2,"ahvNumber":p.AHVNumber4,"personInhausltVon":"01.11.2025","inHauslt":"Übernehmen","ereignis":"Geburt"}</v>
      </c>
      <c r="D20" s="13"/>
      <c r="E20" s="45" t="str">
        <f t="shared" ca="1" si="12"/>
        <v>{"name":p.FamilyName1,"vorname":p.ManFirstName2,"geburtsdatum":p.BirthdayKid2,"ahvNumber":p.AHVNumber4,"personInhausltVon":"01.11.2025","inHauslt":"Übernehmen","ereignis":"Geburt"}</v>
      </c>
      <c r="F20" s="611" t="s">
        <v>78</v>
      </c>
      <c r="G20" s="611" t="str">
        <f>G19</f>
        <v>p.FamilyName1</v>
      </c>
      <c r="H20" s="611" t="s">
        <v>79</v>
      </c>
      <c r="I20" s="609" t="str">
        <f>H65</f>
        <v>p.ManFirstName2</v>
      </c>
      <c r="J20" s="611" t="s">
        <v>151</v>
      </c>
      <c r="K20" s="614" t="str">
        <f>J65</f>
        <v>p.BirthdayKid2</v>
      </c>
      <c r="L20" s="611" t="s">
        <v>83</v>
      </c>
      <c r="M20" s="609" t="str">
        <f>I65</f>
        <v>p.AHVNumber4</v>
      </c>
      <c r="N20" s="611" t="s">
        <v>152</v>
      </c>
      <c r="O20" s="615" t="str">
        <f t="shared" ca="1" si="14"/>
        <v>01.11.2025</v>
      </c>
      <c r="P20" s="611" t="s">
        <v>153</v>
      </c>
      <c r="Q20" s="611" t="s">
        <v>154</v>
      </c>
      <c r="R20" s="611" t="s">
        <v>155</v>
      </c>
      <c r="S20" s="611" t="s">
        <v>157</v>
      </c>
      <c r="T20" s="611" t="s">
        <v>37</v>
      </c>
      <c r="U20" s="611"/>
      <c r="V20" s="611"/>
      <c r="W20" s="611"/>
      <c r="X20" s="13"/>
      <c r="Y20" s="13"/>
      <c r="Z20" s="66"/>
      <c r="AA20" s="13"/>
      <c r="AB20" s="13"/>
      <c r="AC20" s="13"/>
      <c r="AD20" s="13"/>
      <c r="AE20" s="13"/>
      <c r="AF20" s="13"/>
      <c r="AG20" s="13"/>
      <c r="AH20" s="13"/>
      <c r="AI20" s="48">
        <v>3768</v>
      </c>
      <c r="AJ20" s="74"/>
      <c r="AK20" s="4"/>
      <c r="AL20" s="13">
        <v>3446</v>
      </c>
      <c r="AM20" s="14">
        <f t="shared" si="2"/>
        <v>0.91454352441613584</v>
      </c>
      <c r="AN20" s="13">
        <v>4686</v>
      </c>
      <c r="AO20" s="14">
        <f t="shared" si="2"/>
        <v>1.2436305732484076</v>
      </c>
      <c r="AP20" s="13">
        <v>4805</v>
      </c>
      <c r="AQ20" s="14">
        <f t="shared" si="15"/>
        <v>1.2752123142250531</v>
      </c>
      <c r="AR20" s="13">
        <v>5276</v>
      </c>
      <c r="AS20" s="14">
        <f t="shared" si="15"/>
        <v>1.4002123142250531</v>
      </c>
      <c r="AT20" s="13">
        <v>5353</v>
      </c>
      <c r="AU20" s="14">
        <f t="shared" si="15"/>
        <v>1.420647558386412</v>
      </c>
      <c r="AV20" s="13">
        <v>5078</v>
      </c>
      <c r="AW20" s="14">
        <f t="shared" si="15"/>
        <v>1.3476645435244161</v>
      </c>
      <c r="AX20" s="13">
        <v>5490</v>
      </c>
      <c r="AY20" s="14">
        <f t="shared" si="15"/>
        <v>1.4570063694267517</v>
      </c>
      <c r="AZ20" s="13">
        <v>4861</v>
      </c>
      <c r="BA20" s="13"/>
      <c r="BB20" s="2">
        <v>4786</v>
      </c>
      <c r="BC20" s="14">
        <f t="shared" si="4"/>
        <v>1.2701698513800426</v>
      </c>
      <c r="BD20" s="2">
        <v>3176</v>
      </c>
      <c r="BE20" s="14">
        <f t="shared" si="4"/>
        <v>0.8428874734607219</v>
      </c>
      <c r="BF20" s="2">
        <v>2698</v>
      </c>
      <c r="BG20" s="14">
        <f t="shared" si="4"/>
        <v>0.71602972399150744</v>
      </c>
      <c r="BH20" s="2">
        <v>3130</v>
      </c>
      <c r="BI20" s="14">
        <f t="shared" si="4"/>
        <v>0.83067940552016983</v>
      </c>
      <c r="BK20" s="10">
        <v>3416</v>
      </c>
      <c r="BL20" s="14">
        <f t="shared" si="5"/>
        <v>0.90658174097664546</v>
      </c>
      <c r="BM20" s="10">
        <v>3782</v>
      </c>
      <c r="BN20" s="14">
        <f t="shared" si="6"/>
        <v>1.0037154989384289</v>
      </c>
      <c r="BO20" s="10">
        <v>3406</v>
      </c>
      <c r="BP20" s="14">
        <f t="shared" si="6"/>
        <v>0.90392781316348192</v>
      </c>
      <c r="BQ20" s="10">
        <v>3395</v>
      </c>
      <c r="BR20" s="14">
        <f t="shared" si="6"/>
        <v>0.90100849256900217</v>
      </c>
      <c r="BS20" s="10">
        <v>3792</v>
      </c>
      <c r="BT20" s="14">
        <f t="shared" si="6"/>
        <v>1.0063694267515924</v>
      </c>
      <c r="BU20" s="10">
        <v>3454</v>
      </c>
      <c r="BV20" s="14">
        <f t="shared" si="6"/>
        <v>0.91666666666666663</v>
      </c>
      <c r="BW20" s="10">
        <v>2956</v>
      </c>
      <c r="BX20" s="14">
        <f t="shared" si="6"/>
        <v>0.78450106157112531</v>
      </c>
      <c r="BY20" s="10">
        <v>3073</v>
      </c>
      <c r="BZ20" s="14">
        <f t="shared" si="6"/>
        <v>0.81555201698513802</v>
      </c>
      <c r="CA20" s="10">
        <v>3289</v>
      </c>
      <c r="CB20" s="14">
        <f t="shared" si="6"/>
        <v>0.87287685774946921</v>
      </c>
      <c r="CC20" s="10">
        <v>2978</v>
      </c>
      <c r="CD20" s="14">
        <f t="shared" si="7"/>
        <v>0.79033970276008492</v>
      </c>
      <c r="CE20" s="10">
        <v>3031</v>
      </c>
      <c r="CF20" s="14">
        <f t="shared" si="7"/>
        <v>0.80440552016985134</v>
      </c>
      <c r="CG20" s="10">
        <v>3312</v>
      </c>
      <c r="CH20" s="14">
        <f t="shared" si="7"/>
        <v>0.87898089171974525</v>
      </c>
      <c r="CI20" s="10">
        <v>3241</v>
      </c>
      <c r="CJ20" s="14">
        <f t="shared" si="7"/>
        <v>0.8601380042462845</v>
      </c>
      <c r="CK20" s="10">
        <v>6528</v>
      </c>
      <c r="CL20" s="14">
        <f t="shared" si="8"/>
        <v>1.7324840764331211</v>
      </c>
      <c r="CM20" s="10">
        <v>3389</v>
      </c>
      <c r="CN20" s="14">
        <f t="shared" si="9"/>
        <v>0.89941613588110403</v>
      </c>
      <c r="CO20" s="10">
        <v>3310</v>
      </c>
      <c r="CP20" s="14">
        <f t="shared" si="10"/>
        <v>0.8784501061571125</v>
      </c>
      <c r="CQ20" s="10">
        <v>3745</v>
      </c>
      <c r="CR20" s="14">
        <f t="shared" si="10"/>
        <v>0.99389596602972397</v>
      </c>
      <c r="CS20" s="10">
        <v>8095</v>
      </c>
      <c r="CT20" s="14">
        <f t="shared" si="10"/>
        <v>2.1483545647558389</v>
      </c>
      <c r="CU20" s="10">
        <v>3351</v>
      </c>
      <c r="CV20" s="14">
        <f t="shared" si="10"/>
        <v>0.88933121019108285</v>
      </c>
      <c r="CW20" s="10">
        <v>3878</v>
      </c>
      <c r="CX20" s="14">
        <f t="shared" si="11"/>
        <v>1.0291932059447984</v>
      </c>
      <c r="CY20" s="10">
        <v>3723</v>
      </c>
      <c r="DA20" s="10">
        <v>3462</v>
      </c>
      <c r="DC20" s="10">
        <v>3841</v>
      </c>
      <c r="DE20" s="10">
        <v>3482</v>
      </c>
      <c r="DG20" s="10">
        <v>2962</v>
      </c>
    </row>
    <row r="21" spans="1:112" s="10" customFormat="1" ht="16.5" customHeight="1" thickBot="1">
      <c r="A21" s="119">
        <v>20</v>
      </c>
      <c r="B21" s="591" t="s">
        <v>139</v>
      </c>
      <c r="C21" s="595" t="str">
        <f t="shared" si="13"/>
        <v>{"searchDossierOrKlient":p.DossierName1,"resultType":"Dossiers"}</v>
      </c>
      <c r="D21" s="90"/>
      <c r="E21" s="91" t="str">
        <f t="shared" si="12"/>
        <v>{"searchDossierOrKlient":p.DossierName1,"resultType":"Dossiers"}</v>
      </c>
      <c r="F21" s="609" t="s">
        <v>140</v>
      </c>
      <c r="G21" s="611" t="str">
        <f>'001x'!$G$11</f>
        <v>p.DossierName1</v>
      </c>
      <c r="H21" s="609" t="s">
        <v>141</v>
      </c>
      <c r="I21" s="611" t="s">
        <v>142</v>
      </c>
      <c r="J21" s="609" t="s">
        <v>37</v>
      </c>
      <c r="K21" s="611"/>
      <c r="L21" s="609"/>
      <c r="M21" s="611"/>
      <c r="N21" s="609"/>
      <c r="O21" s="611"/>
      <c r="P21" s="609"/>
      <c r="Q21" s="611"/>
      <c r="R21" s="609"/>
      <c r="S21" s="611"/>
      <c r="T21" s="609"/>
      <c r="U21" s="611"/>
      <c r="V21" s="609"/>
      <c r="W21" s="611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48">
        <v>5018</v>
      </c>
      <c r="AJ21" s="2"/>
      <c r="AK21" s="4"/>
      <c r="AL21" s="90">
        <v>5017</v>
      </c>
      <c r="AM21" s="14">
        <f t="shared" si="2"/>
        <v>0.9998007174172977</v>
      </c>
      <c r="AN21" s="90">
        <v>5008</v>
      </c>
      <c r="AO21" s="14">
        <f t="shared" si="2"/>
        <v>0.99800717417297724</v>
      </c>
      <c r="AP21" s="90">
        <v>5007</v>
      </c>
      <c r="AQ21" s="14">
        <f t="shared" si="15"/>
        <v>0.99780789159027505</v>
      </c>
      <c r="AR21" s="90">
        <v>5223</v>
      </c>
      <c r="AS21" s="14">
        <f t="shared" si="15"/>
        <v>1.0408529294539657</v>
      </c>
      <c r="AT21" s="90">
        <v>5240</v>
      </c>
      <c r="AU21" s="14">
        <f t="shared" si="15"/>
        <v>1.0442407333599044</v>
      </c>
      <c r="AV21" s="90">
        <v>5055</v>
      </c>
      <c r="AW21" s="14">
        <f t="shared" si="15"/>
        <v>1.007373455559984</v>
      </c>
      <c r="AX21" s="90">
        <v>5244</v>
      </c>
      <c r="AY21" s="14">
        <f t="shared" si="15"/>
        <v>1.0450378636907134</v>
      </c>
      <c r="AZ21" s="90">
        <v>4446</v>
      </c>
      <c r="BA21" s="90"/>
      <c r="BB21" s="2">
        <v>4534</v>
      </c>
      <c r="BC21" s="14">
        <f t="shared" si="4"/>
        <v>0.90354722997210046</v>
      </c>
      <c r="BD21" s="2">
        <v>2459</v>
      </c>
      <c r="BE21" s="14">
        <f t="shared" si="4"/>
        <v>0.49003587086488642</v>
      </c>
      <c r="BF21" s="2">
        <v>2627</v>
      </c>
      <c r="BG21" s="14">
        <f t="shared" si="4"/>
        <v>0.52351534475886807</v>
      </c>
      <c r="BH21" s="2">
        <v>2748</v>
      </c>
      <c r="BI21" s="14">
        <f t="shared" si="4"/>
        <v>0.54762853726584293</v>
      </c>
      <c r="BK21" s="10">
        <v>2980</v>
      </c>
      <c r="BL21" s="14">
        <f t="shared" si="5"/>
        <v>0.59386209645276999</v>
      </c>
      <c r="BM21" s="10">
        <v>8189</v>
      </c>
      <c r="BN21" s="14">
        <f t="shared" si="6"/>
        <v>1.6319250697489041</v>
      </c>
      <c r="BO21" s="10">
        <v>2925</v>
      </c>
      <c r="BP21" s="14">
        <f t="shared" si="6"/>
        <v>0.58290155440414504</v>
      </c>
      <c r="BQ21" s="10">
        <v>2789</v>
      </c>
      <c r="BR21" s="14">
        <f t="shared" si="6"/>
        <v>0.55579912315663615</v>
      </c>
      <c r="BS21" s="10">
        <v>2861</v>
      </c>
      <c r="BT21" s="14">
        <f t="shared" si="6"/>
        <v>0.57014746911119973</v>
      </c>
      <c r="BU21" s="10">
        <v>2881</v>
      </c>
      <c r="BV21" s="14">
        <f t="shared" si="6"/>
        <v>0.57413312076524514</v>
      </c>
      <c r="BW21" s="10">
        <v>2922</v>
      </c>
      <c r="BX21" s="14">
        <f t="shared" si="6"/>
        <v>0.58230370665603826</v>
      </c>
      <c r="BY21" s="10">
        <v>2740</v>
      </c>
      <c r="BZ21" s="14">
        <f t="shared" si="6"/>
        <v>0.54603427660422477</v>
      </c>
      <c r="CA21" s="10">
        <v>3240</v>
      </c>
      <c r="CB21" s="14">
        <f t="shared" si="6"/>
        <v>0.64567556795536074</v>
      </c>
      <c r="CC21" s="10">
        <v>2640</v>
      </c>
      <c r="CD21" s="14">
        <f t="shared" si="7"/>
        <v>0.52610601833399762</v>
      </c>
      <c r="CE21" s="10">
        <v>3066</v>
      </c>
      <c r="CF21" s="14">
        <f t="shared" si="7"/>
        <v>0.61100039856516541</v>
      </c>
      <c r="CG21" s="10">
        <v>2531</v>
      </c>
      <c r="CH21" s="14">
        <f t="shared" si="7"/>
        <v>0.50438421681945</v>
      </c>
      <c r="CI21" s="10">
        <v>2500</v>
      </c>
      <c r="CJ21" s="14">
        <f t="shared" si="7"/>
        <v>0.49820645675567954</v>
      </c>
      <c r="CK21" s="10">
        <v>3370</v>
      </c>
      <c r="CL21" s="14">
        <f t="shared" si="8"/>
        <v>0.67158230370665606</v>
      </c>
      <c r="CM21" s="10">
        <v>3339</v>
      </c>
      <c r="CN21" s="14">
        <f t="shared" si="9"/>
        <v>0.66540454364288559</v>
      </c>
      <c r="CO21" s="10">
        <v>3747</v>
      </c>
      <c r="CP21" s="14">
        <f t="shared" si="10"/>
        <v>0.74671183738541247</v>
      </c>
      <c r="CQ21" s="10">
        <v>4278</v>
      </c>
      <c r="CR21" s="14">
        <f t="shared" si="10"/>
        <v>0.8525308888003188</v>
      </c>
      <c r="CS21" s="10">
        <v>3727</v>
      </c>
      <c r="CT21" s="14">
        <f t="shared" si="10"/>
        <v>0.74272618573136706</v>
      </c>
      <c r="CU21" s="10">
        <v>3740</v>
      </c>
      <c r="CV21" s="14">
        <f t="shared" si="10"/>
        <v>0.7453168593064966</v>
      </c>
      <c r="CW21" s="10">
        <v>3853</v>
      </c>
      <c r="CX21" s="14">
        <f t="shared" si="11"/>
        <v>0.7678357911518533</v>
      </c>
      <c r="CY21" s="10">
        <v>3583</v>
      </c>
      <c r="DA21" s="10">
        <v>2761</v>
      </c>
      <c r="DC21" s="10">
        <v>2974</v>
      </c>
      <c r="DE21" s="10">
        <v>2892</v>
      </c>
      <c r="DG21" s="10">
        <v>2781</v>
      </c>
    </row>
    <row r="22" spans="1:112" s="10" customFormat="1" ht="16.5" customHeight="1" thickBot="1">
      <c r="A22" s="116"/>
      <c r="B22" s="272" t="s">
        <v>143</v>
      </c>
      <c r="C22" s="121" t="str">
        <f t="shared" si="13"/>
        <v>{"vermieter":"Graber Immobilien","wohnungsgrosse":"4 Zimmer","mietkosten":3000,"nebenkosten":300}</v>
      </c>
      <c r="D22" s="13"/>
      <c r="E22" s="45" t="str">
        <f t="shared" si="12"/>
        <v>{"vermieter":"Graber Immobilien","wohnungsgrosse":"4 Zimmer","mietkosten":3000,"nebenkosten":300}</v>
      </c>
      <c r="F22" s="611" t="s">
        <v>144</v>
      </c>
      <c r="G22" s="609" t="s">
        <v>145</v>
      </c>
      <c r="H22" s="611" t="s">
        <v>146</v>
      </c>
      <c r="I22" s="611" t="s">
        <v>147</v>
      </c>
      <c r="J22" s="611" t="s">
        <v>148</v>
      </c>
      <c r="K22" s="611">
        <v>3000</v>
      </c>
      <c r="L22" s="611" t="s">
        <v>149</v>
      </c>
      <c r="M22" s="611">
        <v>300</v>
      </c>
      <c r="N22" s="611" t="s">
        <v>109</v>
      </c>
      <c r="O22" s="611"/>
      <c r="P22" s="611"/>
      <c r="Q22" s="611"/>
      <c r="R22" s="611"/>
      <c r="S22" s="611"/>
      <c r="T22" s="611"/>
      <c r="U22" s="611"/>
      <c r="V22" s="611"/>
      <c r="W22" s="611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48">
        <v>2656</v>
      </c>
      <c r="AJ22" s="96"/>
      <c r="AK22" s="4"/>
      <c r="AL22" s="13">
        <v>2912</v>
      </c>
      <c r="AM22" s="14">
        <f t="shared" si="2"/>
        <v>1.0963855421686748</v>
      </c>
      <c r="AN22" s="13">
        <v>4161</v>
      </c>
      <c r="AO22" s="14">
        <f t="shared" si="2"/>
        <v>1.5666415662650603</v>
      </c>
      <c r="AP22" s="13">
        <v>4394</v>
      </c>
      <c r="AQ22" s="14">
        <f t="shared" si="15"/>
        <v>1.6543674698795181</v>
      </c>
      <c r="AR22" s="13">
        <v>11040</v>
      </c>
      <c r="AS22" s="14">
        <f t="shared" si="15"/>
        <v>4.1566265060240966</v>
      </c>
      <c r="AT22" s="13">
        <v>11254</v>
      </c>
      <c r="AU22" s="14">
        <f t="shared" si="15"/>
        <v>4.2371987951807233</v>
      </c>
      <c r="AV22" s="13">
        <v>11193</v>
      </c>
      <c r="AW22" s="14">
        <f t="shared" si="15"/>
        <v>4.2142319277108431</v>
      </c>
      <c r="AX22" s="13">
        <v>10765</v>
      </c>
      <c r="AY22" s="14">
        <f t="shared" si="15"/>
        <v>4.0530873493975905</v>
      </c>
      <c r="AZ22" s="13">
        <v>3743</v>
      </c>
      <c r="BA22" s="13"/>
      <c r="BB22" s="2">
        <v>3727</v>
      </c>
      <c r="BC22" s="14">
        <f t="shared" si="4"/>
        <v>1.4032379518072289</v>
      </c>
      <c r="BD22" s="2">
        <v>5066</v>
      </c>
      <c r="BE22" s="14">
        <f t="shared" si="4"/>
        <v>1.9073795180722892</v>
      </c>
      <c r="BF22" s="2">
        <v>5061</v>
      </c>
      <c r="BG22" s="14">
        <f t="shared" si="4"/>
        <v>1.9054969879518073</v>
      </c>
      <c r="BH22" s="2">
        <v>4955</v>
      </c>
      <c r="BI22" s="14">
        <f t="shared" si="4"/>
        <v>1.8655873493975903</v>
      </c>
      <c r="BK22" s="10">
        <v>5193</v>
      </c>
      <c r="BL22" s="14">
        <f t="shared" si="5"/>
        <v>1.9551957831325302</v>
      </c>
      <c r="BM22" s="10">
        <v>6491</v>
      </c>
      <c r="BN22" s="14">
        <f t="shared" si="6"/>
        <v>2.4439006024096384</v>
      </c>
      <c r="BO22" s="10">
        <v>5502</v>
      </c>
      <c r="BP22" s="14">
        <f t="shared" si="6"/>
        <v>2.0715361445783134</v>
      </c>
      <c r="BQ22" s="10">
        <v>5250</v>
      </c>
      <c r="BR22" s="14">
        <f t="shared" si="6"/>
        <v>1.9766566265060241</v>
      </c>
      <c r="BS22" s="10">
        <v>5454</v>
      </c>
      <c r="BT22" s="14">
        <f t="shared" si="6"/>
        <v>2.0534638554216866</v>
      </c>
      <c r="BU22" s="10">
        <v>5295</v>
      </c>
      <c r="BV22" s="14">
        <f t="shared" si="6"/>
        <v>1.9935993975903614</v>
      </c>
      <c r="BW22" s="10">
        <v>5422</v>
      </c>
      <c r="BX22" s="14">
        <f t="shared" si="6"/>
        <v>2.0414156626506026</v>
      </c>
      <c r="BY22" s="10">
        <v>5319</v>
      </c>
      <c r="BZ22" s="14">
        <f t="shared" si="6"/>
        <v>2.0026355421686746</v>
      </c>
      <c r="CA22" s="10">
        <v>5434</v>
      </c>
      <c r="CB22" s="14">
        <f t="shared" si="6"/>
        <v>2.0459337349397591</v>
      </c>
      <c r="CC22" s="10">
        <v>4937</v>
      </c>
      <c r="CD22" s="14">
        <f t="shared" si="7"/>
        <v>1.8588102409638554</v>
      </c>
      <c r="CE22" s="10">
        <v>2683</v>
      </c>
      <c r="CF22" s="14">
        <f t="shared" si="7"/>
        <v>1.0101656626506024</v>
      </c>
      <c r="CG22" s="10">
        <v>2278</v>
      </c>
      <c r="CH22" s="14">
        <f t="shared" si="7"/>
        <v>0.85768072289156627</v>
      </c>
      <c r="CI22" s="10">
        <v>2737</v>
      </c>
      <c r="CJ22" s="14">
        <f t="shared" si="7"/>
        <v>1.0304969879518073</v>
      </c>
      <c r="CK22" s="10">
        <v>5151</v>
      </c>
      <c r="CL22" s="14">
        <f t="shared" si="8"/>
        <v>1.9393825301204819</v>
      </c>
      <c r="CM22" s="10">
        <v>5060</v>
      </c>
      <c r="CN22" s="14">
        <f t="shared" si="9"/>
        <v>1.9051204819277108</v>
      </c>
      <c r="CO22" s="10">
        <v>5018</v>
      </c>
      <c r="CP22" s="14">
        <f t="shared" si="10"/>
        <v>1.8893072289156627</v>
      </c>
      <c r="CQ22" s="10">
        <v>5676</v>
      </c>
      <c r="CR22" s="14">
        <f t="shared" si="10"/>
        <v>2.1370481927710845</v>
      </c>
      <c r="CS22" s="10">
        <v>5499</v>
      </c>
      <c r="CT22" s="14">
        <f t="shared" si="10"/>
        <v>2.0704066265060241</v>
      </c>
      <c r="CU22" s="10">
        <v>5544</v>
      </c>
      <c r="CV22" s="14">
        <f t="shared" si="10"/>
        <v>2.0873493975903616</v>
      </c>
      <c r="CW22" s="10">
        <v>5403</v>
      </c>
      <c r="CX22" s="14">
        <f t="shared" si="11"/>
        <v>2.0342620481927711</v>
      </c>
      <c r="CY22" s="10">
        <v>5391</v>
      </c>
    </row>
    <row r="23" spans="1:112" s="10" customFormat="1" ht="16.5" customHeight="1" thickBot="1">
      <c r="A23" s="119"/>
      <c r="B23" s="596" t="s">
        <v>158</v>
      </c>
      <c r="C23" s="121" t="str">
        <f t="shared" si="13"/>
        <v>{"dossier":p.DossierName1,"klientschaft":`${p.FamilyName1}, ${p.ManFirstName1}`}</v>
      </c>
      <c r="D23" s="13"/>
      <c r="E23" s="45" t="str">
        <f t="shared" si="12"/>
        <v>{"dossier":p.DossierName1,"klientschaft":`${p.FamilyName1}, ${p.ManFirstName1}`}</v>
      </c>
      <c r="F23" s="609" t="s">
        <v>159</v>
      </c>
      <c r="G23" s="611" t="str">
        <f>G11</f>
        <v>p.DossierName1</v>
      </c>
      <c r="H23" s="611" t="s">
        <v>129</v>
      </c>
      <c r="I23" s="609" t="str">
        <f>"${"&amp;$G$4&amp;"}, ${"&amp;$I$4&amp;"}"</f>
        <v>${p.FamilyName1}, ${p.ManFirstName1}</v>
      </c>
      <c r="J23" s="611" t="s">
        <v>160</v>
      </c>
      <c r="K23" s="611"/>
      <c r="L23" s="611"/>
      <c r="M23" s="611"/>
      <c r="N23" s="611"/>
      <c r="O23" s="611"/>
      <c r="P23" s="611"/>
      <c r="Q23" s="611"/>
      <c r="R23" s="611"/>
      <c r="S23" s="611"/>
      <c r="T23" s="611"/>
      <c r="U23" s="611"/>
      <c r="V23" s="611"/>
      <c r="W23" s="611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48">
        <v>9006</v>
      </c>
      <c r="AJ23" s="96"/>
      <c r="AK23" s="4"/>
      <c r="AL23" s="13">
        <v>9017</v>
      </c>
      <c r="AM23" s="14">
        <f t="shared" si="2"/>
        <v>1.0012214079502555</v>
      </c>
      <c r="AN23" s="13">
        <v>9018</v>
      </c>
      <c r="AO23" s="14">
        <f t="shared" si="2"/>
        <v>1.0013324450366423</v>
      </c>
      <c r="AP23" s="13">
        <v>9010</v>
      </c>
      <c r="AQ23" s="14">
        <f t="shared" si="15"/>
        <v>1.0004441483455475</v>
      </c>
      <c r="AR23" s="13">
        <v>5023</v>
      </c>
      <c r="AS23" s="14">
        <f t="shared" si="15"/>
        <v>0.55773928492116365</v>
      </c>
      <c r="AT23" s="13">
        <v>5019</v>
      </c>
      <c r="AU23" s="14">
        <f t="shared" si="15"/>
        <v>0.55729513657561625</v>
      </c>
      <c r="AV23" s="13">
        <v>5007</v>
      </c>
      <c r="AW23" s="14">
        <f t="shared" si="15"/>
        <v>0.55596269153897404</v>
      </c>
      <c r="AX23" s="13">
        <v>5020</v>
      </c>
      <c r="AY23" s="14">
        <f t="shared" si="15"/>
        <v>0.55740617366200307</v>
      </c>
      <c r="AZ23" s="13">
        <v>5005</v>
      </c>
      <c r="BA23" s="13"/>
      <c r="BB23" s="2">
        <v>5019</v>
      </c>
      <c r="BC23" s="14">
        <f t="shared" si="4"/>
        <v>0.55729513657561625</v>
      </c>
      <c r="BD23" s="2">
        <v>2737</v>
      </c>
      <c r="BE23" s="14">
        <f t="shared" si="4"/>
        <v>0.30390850544081721</v>
      </c>
      <c r="BF23" s="2">
        <v>2842</v>
      </c>
      <c r="BG23" s="14">
        <f t="shared" si="4"/>
        <v>0.31556739951143681</v>
      </c>
      <c r="BH23" s="2">
        <v>2719</v>
      </c>
      <c r="BI23" s="14">
        <f t="shared" si="4"/>
        <v>0.30190983788585385</v>
      </c>
      <c r="BK23" s="10">
        <v>2814</v>
      </c>
      <c r="BL23" s="14">
        <f t="shared" si="5"/>
        <v>0.31245836109260494</v>
      </c>
      <c r="BM23" s="10">
        <v>3135</v>
      </c>
      <c r="BN23" s="14">
        <f t="shared" si="6"/>
        <v>0.34810126582278483</v>
      </c>
      <c r="BO23" s="10">
        <v>2783</v>
      </c>
      <c r="BP23" s="14">
        <f t="shared" si="6"/>
        <v>0.3090162114146125</v>
      </c>
      <c r="BQ23" s="10">
        <v>2661</v>
      </c>
      <c r="BR23" s="14">
        <f t="shared" si="6"/>
        <v>0.29546968687541642</v>
      </c>
      <c r="BS23" s="10">
        <v>2900</v>
      </c>
      <c r="BT23" s="14">
        <f t="shared" si="6"/>
        <v>0.3220075505218743</v>
      </c>
      <c r="BU23" s="10">
        <v>2926</v>
      </c>
      <c r="BV23" s="14">
        <f t="shared" si="6"/>
        <v>0.32489451476793246</v>
      </c>
      <c r="BW23" s="10">
        <v>2996</v>
      </c>
      <c r="BX23" s="14">
        <f t="shared" si="6"/>
        <v>0.33266711081501221</v>
      </c>
      <c r="BY23" s="10">
        <v>2749</v>
      </c>
      <c r="BZ23" s="14">
        <f t="shared" si="6"/>
        <v>0.30524095047745947</v>
      </c>
      <c r="CA23" s="10">
        <v>2685</v>
      </c>
      <c r="CB23" s="14">
        <f t="shared" si="6"/>
        <v>0.29813457694870088</v>
      </c>
      <c r="CC23" s="10">
        <v>2806</v>
      </c>
      <c r="CD23" s="14">
        <f t="shared" si="7"/>
        <v>0.31157006440151008</v>
      </c>
      <c r="CE23" s="10">
        <v>2927</v>
      </c>
      <c r="CF23" s="14">
        <f t="shared" si="7"/>
        <v>0.32500555185431934</v>
      </c>
      <c r="CG23" s="10">
        <v>2561</v>
      </c>
      <c r="CH23" s="14">
        <f t="shared" si="7"/>
        <v>0.28436597823673104</v>
      </c>
      <c r="CI23" s="10">
        <v>2736</v>
      </c>
      <c r="CJ23" s="14">
        <f t="shared" si="7"/>
        <v>0.30379746835443039</v>
      </c>
      <c r="CK23" s="10">
        <v>2636</v>
      </c>
      <c r="CL23" s="14">
        <f t="shared" si="8"/>
        <v>0.29269375971574507</v>
      </c>
      <c r="CM23" s="10">
        <v>3184</v>
      </c>
      <c r="CN23" s="14">
        <f t="shared" si="9"/>
        <v>0.35354208305574064</v>
      </c>
      <c r="CO23" s="10">
        <v>2566</v>
      </c>
      <c r="CP23" s="14">
        <f t="shared" si="10"/>
        <v>0.28492116366866532</v>
      </c>
      <c r="CQ23" s="10">
        <v>2392</v>
      </c>
      <c r="CR23" s="14">
        <f t="shared" si="10"/>
        <v>0.26560071063735285</v>
      </c>
      <c r="CS23" s="10">
        <v>3157</v>
      </c>
      <c r="CT23" s="14">
        <f t="shared" si="10"/>
        <v>0.3505440817232956</v>
      </c>
      <c r="CU23" s="10">
        <v>3228</v>
      </c>
      <c r="CV23" s="14">
        <f t="shared" si="10"/>
        <v>0.35842771485676217</v>
      </c>
      <c r="CW23" s="10">
        <v>2712</v>
      </c>
      <c r="CX23" s="14">
        <f t="shared" si="11"/>
        <v>0.30113257828114592</v>
      </c>
      <c r="CY23" s="10">
        <v>2847</v>
      </c>
      <c r="DA23" s="10">
        <v>5812</v>
      </c>
      <c r="DC23" s="10">
        <v>5510</v>
      </c>
      <c r="DE23" s="10">
        <v>4776</v>
      </c>
      <c r="DG23" s="10">
        <v>4469</v>
      </c>
    </row>
    <row r="24" spans="1:112" s="2722" customFormat="1" ht="16.5" customHeight="1" thickBot="1">
      <c r="A24" s="2721"/>
      <c r="B24" s="2722" t="s">
        <v>22</v>
      </c>
      <c r="C24" s="2723" t="s">
        <v>280</v>
      </c>
      <c r="D24" s="2724"/>
      <c r="E24" s="2725"/>
      <c r="F24" s="2726"/>
      <c r="G24" s="2727"/>
      <c r="H24" s="2727"/>
      <c r="I24" s="2727"/>
      <c r="J24" s="2727"/>
      <c r="K24" s="2727"/>
      <c r="L24" s="2727"/>
      <c r="M24" s="2727"/>
      <c r="N24" s="2727"/>
      <c r="O24" s="2727"/>
      <c r="P24" s="2727"/>
      <c r="Q24" s="2727"/>
      <c r="R24" s="2727"/>
      <c r="S24" s="2727"/>
      <c r="T24" s="2727"/>
      <c r="U24" s="2727"/>
      <c r="V24" s="2727"/>
      <c r="W24" s="2727"/>
      <c r="X24" s="2724"/>
      <c r="Y24" s="2724"/>
      <c r="Z24" s="2724"/>
      <c r="AA24" s="2724"/>
      <c r="AB24" s="2724"/>
      <c r="AC24" s="2724"/>
      <c r="AD24" s="2724"/>
      <c r="AE24" s="2724"/>
      <c r="AF24" s="2724"/>
      <c r="AG24" s="2724"/>
      <c r="AH24" s="2724"/>
      <c r="AI24" s="2724">
        <v>2011</v>
      </c>
      <c r="AJ24" s="2728"/>
      <c r="AK24" s="2729"/>
      <c r="AL24" s="2724">
        <v>2008</v>
      </c>
      <c r="AM24" s="2730">
        <f t="shared" si="2"/>
        <v>0.99850820487319747</v>
      </c>
      <c r="AN24" s="2724">
        <v>2011</v>
      </c>
      <c r="AO24" s="2730">
        <f t="shared" si="2"/>
        <v>1</v>
      </c>
      <c r="AP24" s="2724"/>
      <c r="AQ24" s="2730">
        <f t="shared" si="15"/>
        <v>0</v>
      </c>
      <c r="AR24" s="2724">
        <v>2013</v>
      </c>
      <c r="AS24" s="2730">
        <f t="shared" si="15"/>
        <v>1.0009945300845351</v>
      </c>
      <c r="AT24" s="2724">
        <v>2020</v>
      </c>
      <c r="AU24" s="2730">
        <f t="shared" si="15"/>
        <v>1.0044753853804078</v>
      </c>
      <c r="AV24" s="2724">
        <v>2017</v>
      </c>
      <c r="AW24" s="2730">
        <f t="shared" si="15"/>
        <v>1.0029835902536051</v>
      </c>
      <c r="AX24" s="2724">
        <v>2019</v>
      </c>
      <c r="AY24" s="2730">
        <f t="shared" si="15"/>
        <v>1.0039781203381402</v>
      </c>
      <c r="AZ24" s="2724">
        <v>2013</v>
      </c>
      <c r="BA24" s="2724"/>
      <c r="BB24" s="2724">
        <v>341</v>
      </c>
      <c r="BC24" s="2730">
        <f t="shared" si="4"/>
        <v>0.16956737941322725</v>
      </c>
      <c r="BD24" s="2724">
        <v>2007</v>
      </c>
      <c r="BE24" s="2730">
        <f t="shared" si="4"/>
        <v>0.99801093983092992</v>
      </c>
      <c r="BF24" s="2724">
        <v>2003</v>
      </c>
      <c r="BG24" s="2730">
        <f t="shared" si="4"/>
        <v>0.99602187966185973</v>
      </c>
      <c r="BH24" s="2724">
        <v>2009</v>
      </c>
      <c r="BI24" s="2730">
        <f t="shared" si="4"/>
        <v>0.99900546991546491</v>
      </c>
      <c r="BK24" s="2722">
        <v>2019</v>
      </c>
      <c r="BL24" s="2730">
        <f t="shared" si="5"/>
        <v>1.0039781203381402</v>
      </c>
      <c r="BM24" s="2722">
        <v>2008</v>
      </c>
      <c r="BN24" s="2730">
        <f t="shared" si="6"/>
        <v>0.99850820487319747</v>
      </c>
      <c r="BO24" s="2722">
        <v>2005</v>
      </c>
      <c r="BP24" s="2730">
        <f t="shared" si="6"/>
        <v>0.99701640974639483</v>
      </c>
      <c r="BQ24" s="2722">
        <v>2012</v>
      </c>
      <c r="BR24" s="2730">
        <f t="shared" si="6"/>
        <v>1.0004972650422674</v>
      </c>
      <c r="BS24" s="2722">
        <v>2004</v>
      </c>
      <c r="BT24" s="2730">
        <f t="shared" si="6"/>
        <v>0.99651914470412728</v>
      </c>
      <c r="BU24" s="2722">
        <v>2005</v>
      </c>
      <c r="BV24" s="2730">
        <f t="shared" si="6"/>
        <v>0.99701640974639483</v>
      </c>
      <c r="BW24" s="2722">
        <v>2013</v>
      </c>
      <c r="BX24" s="2730">
        <f t="shared" si="6"/>
        <v>1.0009945300845351</v>
      </c>
      <c r="BY24" s="2722">
        <v>2013</v>
      </c>
      <c r="BZ24" s="2730">
        <f t="shared" si="6"/>
        <v>1.0009945300845351</v>
      </c>
      <c r="CA24" s="2722">
        <v>2006</v>
      </c>
      <c r="CB24" s="2730">
        <f t="shared" si="6"/>
        <v>0.99751367478866237</v>
      </c>
      <c r="CC24" s="2722">
        <v>2006</v>
      </c>
      <c r="CD24" s="2730">
        <f t="shared" si="7"/>
        <v>0.99751367478866237</v>
      </c>
      <c r="CE24" s="2722">
        <v>2015</v>
      </c>
      <c r="CF24" s="2730">
        <f t="shared" si="7"/>
        <v>1.0019890601690702</v>
      </c>
      <c r="CG24" s="2722">
        <v>2010</v>
      </c>
      <c r="CH24" s="2730">
        <f t="shared" si="7"/>
        <v>0.99950273495773245</v>
      </c>
      <c r="CI24" s="2722">
        <v>2012</v>
      </c>
      <c r="CJ24" s="2730">
        <f t="shared" si="7"/>
        <v>1.0004972650422674</v>
      </c>
      <c r="CK24" s="2722">
        <v>2005</v>
      </c>
      <c r="CL24" s="2730">
        <f t="shared" si="8"/>
        <v>0.99701640974639483</v>
      </c>
      <c r="CN24" s="2730">
        <f t="shared" si="9"/>
        <v>0</v>
      </c>
      <c r="CO24" s="2722">
        <v>4190</v>
      </c>
      <c r="CP24" s="2730">
        <f t="shared" si="10"/>
        <v>2.0835405271009448</v>
      </c>
      <c r="CQ24" s="2722">
        <v>4228</v>
      </c>
      <c r="CR24" s="2730">
        <f t="shared" si="10"/>
        <v>2.102436598707111</v>
      </c>
      <c r="CS24" s="2722">
        <v>4085</v>
      </c>
      <c r="CT24" s="2730">
        <f t="shared" si="10"/>
        <v>2.0313276976628543</v>
      </c>
      <c r="CU24" s="2722">
        <v>4191</v>
      </c>
      <c r="CV24" s="2730">
        <f t="shared" si="10"/>
        <v>2.0840377921432123</v>
      </c>
      <c r="CW24" s="2722">
        <v>4489</v>
      </c>
      <c r="CX24" s="2730">
        <f t="shared" si="11"/>
        <v>2.2322227747389358</v>
      </c>
      <c r="CY24" s="2722">
        <v>5077</v>
      </c>
    </row>
    <row r="25" spans="1:112" s="10" customFormat="1" ht="16.5" customHeight="1" thickBot="1">
      <c r="A25" s="159"/>
      <c r="B25" s="3654" t="s">
        <v>161</v>
      </c>
      <c r="C25" s="121" t="str">
        <f t="shared" ca="1" si="13"/>
        <v>{"zahlbarDurch":"BKW Energie AG","pensumm":"100","betrag":"1000","gueltigVon":"01.01.2025","gueltigBis":"31.12.2025","checkbox":"x"}</v>
      </c>
      <c r="D25" s="13"/>
      <c r="E25" s="45" t="str">
        <f t="shared" ca="1" si="12"/>
        <v>{"zahlbarDurch":"BKW Energie AG","pensumm":"100","betrag":"1000","gueltigVon":"01.01.2025","gueltigBis":"31.12.2025","checkbox":"x"}</v>
      </c>
      <c r="F25" s="619" t="s">
        <v>162</v>
      </c>
      <c r="G25" s="611"/>
      <c r="H25" s="611" t="s">
        <v>163</v>
      </c>
      <c r="I25" s="611" t="s">
        <v>164</v>
      </c>
      <c r="J25" s="611" t="s">
        <v>165</v>
      </c>
      <c r="K25" s="611">
        <v>100</v>
      </c>
      <c r="L25" s="611" t="s">
        <v>166</v>
      </c>
      <c r="M25" s="611">
        <v>1000</v>
      </c>
      <c r="N25" s="611" t="s">
        <v>167</v>
      </c>
      <c r="O25" s="615" t="str">
        <f ca="1">"01.01."&amp;YEAR(TODAY())</f>
        <v>01.01.2025</v>
      </c>
      <c r="P25" s="611" t="s">
        <v>168</v>
      </c>
      <c r="Q25" s="615" t="str">
        <f ca="1">"31.12."&amp;YEAR(TODAY())</f>
        <v>31.12.2025</v>
      </c>
      <c r="R25" s="611" t="s">
        <v>169</v>
      </c>
      <c r="S25" s="611" t="s">
        <v>170</v>
      </c>
      <c r="T25" s="611" t="s">
        <v>37</v>
      </c>
      <c r="U25" s="611"/>
      <c r="V25" s="611"/>
      <c r="W25" s="611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48">
        <v>10643</v>
      </c>
      <c r="AJ25" s="96"/>
      <c r="AK25" s="4"/>
      <c r="AL25" s="13">
        <v>11047</v>
      </c>
      <c r="AM25" s="14">
        <f t="shared" si="2"/>
        <v>1.0379592220238654</v>
      </c>
      <c r="AN25" s="13">
        <v>11734</v>
      </c>
      <c r="AO25" s="14">
        <f t="shared" si="2"/>
        <v>1.102508691158508</v>
      </c>
      <c r="AP25" s="13">
        <v>12167</v>
      </c>
      <c r="AQ25" s="14">
        <f t="shared" si="15"/>
        <v>1.1431927088227003</v>
      </c>
      <c r="AR25" s="13">
        <v>11254</v>
      </c>
      <c r="AS25" s="14">
        <f t="shared" si="15"/>
        <v>1.0574086253875787</v>
      </c>
      <c r="AT25" s="13">
        <v>11496</v>
      </c>
      <c r="AU25" s="14">
        <f t="shared" si="15"/>
        <v>1.0801465752137556</v>
      </c>
      <c r="AV25" s="13">
        <v>11443</v>
      </c>
      <c r="AW25" s="14">
        <f t="shared" si="15"/>
        <v>1.075166776284882</v>
      </c>
      <c r="AX25" s="13">
        <v>11104</v>
      </c>
      <c r="AY25" s="14">
        <f t="shared" si="15"/>
        <v>1.0433148548341633</v>
      </c>
      <c r="AZ25" s="13">
        <v>4691</v>
      </c>
      <c r="BA25" s="13"/>
      <c r="BB25" s="2">
        <v>4695</v>
      </c>
      <c r="BC25" s="14">
        <f t="shared" si="4"/>
        <v>0.44113501832190172</v>
      </c>
      <c r="BD25" s="2">
        <v>4689</v>
      </c>
      <c r="BE25" s="14">
        <f t="shared" si="4"/>
        <v>0.44057126749976511</v>
      </c>
      <c r="BF25" s="2">
        <v>4733</v>
      </c>
      <c r="BG25" s="14">
        <f t="shared" si="4"/>
        <v>0.44470544019543362</v>
      </c>
      <c r="BH25" s="2">
        <v>4865</v>
      </c>
      <c r="BI25" s="14">
        <f t="shared" si="4"/>
        <v>0.45710795828243916</v>
      </c>
      <c r="BK25" s="10">
        <v>4977</v>
      </c>
      <c r="BL25" s="14">
        <f t="shared" si="5"/>
        <v>0.46763130696232263</v>
      </c>
      <c r="BM25" s="10">
        <v>5121</v>
      </c>
      <c r="BN25" s="14">
        <f t="shared" si="6"/>
        <v>0.48116132669360145</v>
      </c>
      <c r="BO25" s="10">
        <v>5076</v>
      </c>
      <c r="BP25" s="14">
        <f t="shared" si="6"/>
        <v>0.47693319552757679</v>
      </c>
      <c r="BQ25" s="10">
        <v>4962</v>
      </c>
      <c r="BR25" s="14">
        <f t="shared" si="6"/>
        <v>0.46622192990698114</v>
      </c>
      <c r="BS25" s="10">
        <v>5164</v>
      </c>
      <c r="BT25" s="14">
        <f t="shared" si="6"/>
        <v>0.48520154091891382</v>
      </c>
      <c r="BU25" s="10">
        <v>5050</v>
      </c>
      <c r="BV25" s="14">
        <f t="shared" si="6"/>
        <v>0.47449027529831816</v>
      </c>
      <c r="BW25" s="10">
        <v>5029</v>
      </c>
      <c r="BX25" s="14">
        <f t="shared" si="6"/>
        <v>0.47251714742084</v>
      </c>
      <c r="BY25" s="10">
        <v>5045</v>
      </c>
      <c r="BZ25" s="14">
        <f t="shared" si="6"/>
        <v>0.47402048294653765</v>
      </c>
      <c r="CA25" s="10">
        <v>5105</v>
      </c>
      <c r="CB25" s="14">
        <f t="shared" si="6"/>
        <v>0.47965799116790381</v>
      </c>
      <c r="CC25" s="10">
        <v>4650</v>
      </c>
      <c r="CD25" s="14">
        <f t="shared" si="7"/>
        <v>0.43690688715587711</v>
      </c>
      <c r="CE25" s="10">
        <v>2082</v>
      </c>
      <c r="CF25" s="14">
        <f t="shared" si="7"/>
        <v>0.19562153528140561</v>
      </c>
      <c r="CG25" s="10">
        <v>1950</v>
      </c>
      <c r="CH25" s="14">
        <f t="shared" si="7"/>
        <v>0.18321901719440006</v>
      </c>
      <c r="CI25" s="10">
        <v>1980</v>
      </c>
      <c r="CJ25" s="14">
        <f t="shared" si="7"/>
        <v>0.18603777130508314</v>
      </c>
      <c r="CK25" s="10">
        <v>5065</v>
      </c>
      <c r="CL25" s="14">
        <f t="shared" si="8"/>
        <v>0.47589965235365966</v>
      </c>
      <c r="CM25" s="10">
        <v>7022</v>
      </c>
      <c r="CN25" s="14">
        <f t="shared" si="9"/>
        <v>0.65977637884055251</v>
      </c>
      <c r="CO25" s="10">
        <v>5085</v>
      </c>
      <c r="CP25" s="14">
        <f t="shared" si="10"/>
        <v>0.47777882176078174</v>
      </c>
      <c r="CQ25" s="10">
        <v>5042</v>
      </c>
      <c r="CR25" s="14">
        <f t="shared" si="10"/>
        <v>0.47373860753546931</v>
      </c>
      <c r="CS25" s="10">
        <v>7032</v>
      </c>
      <c r="CT25" s="14">
        <f t="shared" si="10"/>
        <v>0.66071596354411355</v>
      </c>
      <c r="CU25" s="10">
        <v>4971</v>
      </c>
      <c r="CV25" s="14">
        <f t="shared" si="10"/>
        <v>0.46706755614018602</v>
      </c>
      <c r="CW25" s="10">
        <v>4855</v>
      </c>
      <c r="CX25" s="14">
        <f t="shared" si="11"/>
        <v>0.45616837357887813</v>
      </c>
      <c r="CY25" s="10">
        <v>5595</v>
      </c>
    </row>
    <row r="26" spans="1:112" s="102" customFormat="1" ht="16.5" customHeight="1" thickBot="1">
      <c r="A26" s="598"/>
      <c r="B26" s="599" t="s">
        <v>171</v>
      </c>
      <c r="C26" s="600" t="str">
        <f t="shared" ca="1" si="13"/>
        <v>{"dossier":p.DossierName1,"klientschaft":`${p.FamilyName1}, ${p.ManFirstName1}`,"topMenu":"Erwerbseinkommen","subMenu":"Unselbständiges Erwerbseinkommen","zahlbarDurch":"Berner Schuldenberatung","pensumm":"30","13Ja":"x","betrag":"1500","gueltigVon":"01.01.2025","gueltigBis":"31.12.2025","schweregrad":""}</v>
      </c>
      <c r="E26" s="103" t="str">
        <f t="shared" ref="E26" ca="1" si="16">F26&amp;G26&amp;H26&amp;I26&amp;J26&amp;K26&amp;L26&amp;M26&amp;N26&amp;O26&amp;P26&amp;Q26&amp;R26&amp;S26&amp;T26&amp;U26&amp;V26&amp;W26&amp;X26&amp;Y26&amp;Z26&amp;AA26&amp;AB26&amp;AC26</f>
        <v>{"dossier":p.DossierName1,"klientschaft":`${p.FamilyName1}, ${p.ManFirstName1}`,"topMenu":"Erwerbseinkommen","subMenu":"Unselbständiges Erwerbseinkommen","zahlbarDurch":"Berner Schuldenberatung","pensumm":"30","13Ja":"x","betrag":"1500","gueltigVon":"01.01.2025","gueltigBis":"31.12.2025","schweregrad":""}</v>
      </c>
      <c r="F26" s="105" t="s">
        <v>159</v>
      </c>
      <c r="G26" s="105" t="str">
        <f>G23</f>
        <v>p.DossierName1</v>
      </c>
      <c r="H26" s="105" t="s">
        <v>129</v>
      </c>
      <c r="I26" s="105" t="str">
        <f>I23</f>
        <v>${p.FamilyName1}, ${p.ManFirstName1}</v>
      </c>
      <c r="J26" s="620" t="s">
        <v>172</v>
      </c>
      <c r="K26" s="620" t="s">
        <v>173</v>
      </c>
      <c r="L26" s="105" t="s">
        <v>174</v>
      </c>
      <c r="M26" s="621" t="s">
        <v>175</v>
      </c>
      <c r="N26" s="105" t="s">
        <v>176</v>
      </c>
      <c r="O26" s="105" t="s">
        <v>177</v>
      </c>
      <c r="P26" s="105" t="s">
        <v>165</v>
      </c>
      <c r="Q26" s="622">
        <v>30</v>
      </c>
      <c r="R26" s="105" t="s">
        <v>178</v>
      </c>
      <c r="S26" s="105" t="s">
        <v>170</v>
      </c>
      <c r="T26" s="105" t="s">
        <v>166</v>
      </c>
      <c r="U26" s="105">
        <v>1500</v>
      </c>
      <c r="V26" s="105" t="s">
        <v>167</v>
      </c>
      <c r="W26" s="623" t="str">
        <f ca="1">O25</f>
        <v>01.01.2025</v>
      </c>
      <c r="X26" s="104" t="s">
        <v>168</v>
      </c>
      <c r="Y26" s="106" t="str">
        <f t="shared" ref="Y26" ca="1" si="17">"31.12."&amp;YEAR(TODAY())</f>
        <v>31.12.2025</v>
      </c>
      <c r="Z26" s="107" t="s">
        <v>179</v>
      </c>
      <c r="AA26" s="107"/>
      <c r="AB26" s="102" t="s">
        <v>37</v>
      </c>
    </row>
    <row r="27" spans="1:112" s="10" customFormat="1" ht="16.5" customHeight="1" thickBot="1">
      <c r="A27" s="119"/>
      <c r="B27" s="596" t="s">
        <v>139</v>
      </c>
      <c r="C27" s="121" t="str">
        <f t="shared" si="13"/>
        <v>{"searchDossierOrKlient":p.DossierName1,"resultType":"Dossiers"}</v>
      </c>
      <c r="D27" s="56"/>
      <c r="E27" s="109" t="str">
        <f t="shared" si="12"/>
        <v>{"searchDossierOrKlient":p.DossierName1,"resultType":"Dossiers"}</v>
      </c>
      <c r="F27" s="609" t="s">
        <v>140</v>
      </c>
      <c r="G27" s="614" t="str">
        <f>'001x'!$G$11</f>
        <v>p.DossierName1</v>
      </c>
      <c r="H27" s="609" t="s">
        <v>141</v>
      </c>
      <c r="I27" s="611" t="s">
        <v>142</v>
      </c>
      <c r="J27" s="609" t="s">
        <v>37</v>
      </c>
      <c r="K27" s="611"/>
      <c r="L27" s="609"/>
      <c r="M27" s="611"/>
      <c r="N27" s="609"/>
      <c r="O27" s="611"/>
      <c r="P27" s="609"/>
      <c r="Q27" s="611"/>
      <c r="R27" s="609"/>
      <c r="S27" s="611"/>
      <c r="T27" s="609"/>
      <c r="U27" s="611"/>
      <c r="V27" s="609"/>
      <c r="W27" s="611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48">
        <v>9010</v>
      </c>
      <c r="AJ27" s="2"/>
      <c r="AK27" s="4"/>
      <c r="AL27" s="56">
        <v>9011</v>
      </c>
      <c r="AM27" s="14">
        <f t="shared" si="2"/>
        <v>1.000110987791343</v>
      </c>
      <c r="AN27" s="56">
        <v>9018</v>
      </c>
      <c r="AO27" s="14">
        <f t="shared" si="2"/>
        <v>1.0008879023307435</v>
      </c>
      <c r="AP27" s="56">
        <v>9018</v>
      </c>
      <c r="AQ27" s="14">
        <f t="shared" ref="AQ27:AY30" si="18">AP27/($AI27)</f>
        <v>1.0008879023307435</v>
      </c>
      <c r="AR27" s="56">
        <v>5022</v>
      </c>
      <c r="AS27" s="14">
        <f t="shared" si="18"/>
        <v>0.5573806881243063</v>
      </c>
      <c r="AT27" s="56">
        <v>5012</v>
      </c>
      <c r="AU27" s="14">
        <f t="shared" si="18"/>
        <v>0.55627081021087676</v>
      </c>
      <c r="AV27" s="56">
        <v>5031</v>
      </c>
      <c r="AW27" s="14">
        <f t="shared" si="18"/>
        <v>0.55837957824639295</v>
      </c>
      <c r="AX27" s="56">
        <v>5018</v>
      </c>
      <c r="AY27" s="14">
        <f t="shared" si="18"/>
        <v>0.55693673695893453</v>
      </c>
      <c r="AZ27" s="56">
        <v>5020</v>
      </c>
      <c r="BA27" s="56"/>
      <c r="BB27" s="2">
        <v>5041</v>
      </c>
      <c r="BC27" s="14">
        <f t="shared" ref="BC27:BI30" si="19">BB27/($AI27)</f>
        <v>0.55948945615982237</v>
      </c>
      <c r="BD27" s="2">
        <v>3302</v>
      </c>
      <c r="BE27" s="14">
        <f t="shared" si="19"/>
        <v>0.3664816870144284</v>
      </c>
      <c r="BF27" s="2">
        <v>3479</v>
      </c>
      <c r="BG27" s="14">
        <f t="shared" si="19"/>
        <v>0.38612652608213094</v>
      </c>
      <c r="BH27" s="2">
        <v>3266</v>
      </c>
      <c r="BI27" s="14">
        <f t="shared" si="19"/>
        <v>0.36248612652608214</v>
      </c>
      <c r="BK27" s="10">
        <v>4147</v>
      </c>
      <c r="BL27" s="14">
        <f t="shared" ref="BL27:BL30" si="20">BK27/($AI27)</f>
        <v>0.4602663706992231</v>
      </c>
      <c r="BM27" s="10">
        <v>4209</v>
      </c>
      <c r="BN27" s="14">
        <f t="shared" ref="BN27:CB30" si="21">BM27/($AI27)</f>
        <v>0.46714761376248615</v>
      </c>
      <c r="BO27" s="10">
        <v>3541</v>
      </c>
      <c r="BP27" s="14">
        <f t="shared" si="21"/>
        <v>0.39300776914539398</v>
      </c>
      <c r="BQ27" s="10">
        <v>3635</v>
      </c>
      <c r="BR27" s="14">
        <f t="shared" si="21"/>
        <v>0.40344062153163152</v>
      </c>
      <c r="BS27" s="10">
        <v>3543</v>
      </c>
      <c r="BT27" s="14">
        <f t="shared" si="21"/>
        <v>0.39322974472807992</v>
      </c>
      <c r="BU27" s="10">
        <v>3571</v>
      </c>
      <c r="BV27" s="14">
        <f t="shared" si="21"/>
        <v>0.39633740288568259</v>
      </c>
      <c r="BW27" s="10">
        <v>3634</v>
      </c>
      <c r="BX27" s="14">
        <f t="shared" si="21"/>
        <v>0.40332963374028857</v>
      </c>
      <c r="BY27" s="10">
        <v>3696</v>
      </c>
      <c r="BZ27" s="14">
        <f t="shared" si="21"/>
        <v>0.41021087680355162</v>
      </c>
      <c r="CA27" s="10">
        <v>5331</v>
      </c>
      <c r="CB27" s="14">
        <f t="shared" si="21"/>
        <v>0.59167591564927857</v>
      </c>
      <c r="CC27" s="10">
        <v>4098</v>
      </c>
      <c r="CD27" s="14">
        <f t="shared" ref="CD27:CR30" si="22">CC27/($AI27)</f>
        <v>0.45482796892341842</v>
      </c>
      <c r="CE27" s="10">
        <v>3367</v>
      </c>
      <c r="CF27" s="14">
        <f t="shared" si="22"/>
        <v>0.37369589345172033</v>
      </c>
      <c r="CG27" s="10">
        <v>3179</v>
      </c>
      <c r="CH27" s="14">
        <f t="shared" si="22"/>
        <v>0.35283018867924526</v>
      </c>
      <c r="CI27" s="10">
        <v>3291</v>
      </c>
      <c r="CJ27" s="14">
        <f t="shared" si="22"/>
        <v>0.36526082130965593</v>
      </c>
      <c r="CK27" s="10">
        <v>4436</v>
      </c>
      <c r="CL27" s="14">
        <f t="shared" si="22"/>
        <v>0.4923418423973363</v>
      </c>
      <c r="CM27" s="10">
        <v>5052</v>
      </c>
      <c r="CN27" s="14">
        <f t="shared" si="22"/>
        <v>0.56071032186459491</v>
      </c>
      <c r="CO27" s="10">
        <v>7170</v>
      </c>
      <c r="CP27" s="14">
        <f t="shared" si="22"/>
        <v>0.79578246392896779</v>
      </c>
      <c r="CQ27" s="10">
        <v>6100</v>
      </c>
      <c r="CR27" s="14">
        <f t="shared" si="22"/>
        <v>0.67702552719200892</v>
      </c>
      <c r="CS27" s="10">
        <v>4629</v>
      </c>
      <c r="CT27" s="14">
        <f t="shared" ref="CT27:CV30" si="23">CS27/($AI27)</f>
        <v>0.51376248612652609</v>
      </c>
      <c r="CU27" s="10">
        <v>3720</v>
      </c>
      <c r="CV27" s="14">
        <f t="shared" si="23"/>
        <v>0.41287458379578246</v>
      </c>
      <c r="CW27" s="10">
        <v>4812</v>
      </c>
      <c r="CX27" s="14">
        <f t="shared" ref="CX27:CX30" si="24">CW27/($AI27)</f>
        <v>0.53407325194228639</v>
      </c>
      <c r="CY27" s="10">
        <v>6623</v>
      </c>
      <c r="DA27" s="10">
        <v>6895</v>
      </c>
      <c r="DC27" s="10">
        <v>6145</v>
      </c>
      <c r="DE27" s="10">
        <v>4781</v>
      </c>
      <c r="DG27" s="10">
        <v>4976</v>
      </c>
    </row>
    <row r="28" spans="1:112" s="2722" customFormat="1" ht="16.5" customHeight="1" thickBot="1">
      <c r="A28" s="2721"/>
      <c r="B28" s="2722" t="s">
        <v>22</v>
      </c>
      <c r="C28" s="2723" t="s">
        <v>280</v>
      </c>
      <c r="D28" s="2724"/>
      <c r="E28" s="2725"/>
      <c r="F28" s="2726"/>
      <c r="G28" s="2727"/>
      <c r="H28" s="2727"/>
      <c r="I28" s="2727"/>
      <c r="J28" s="2727"/>
      <c r="K28" s="2727"/>
      <c r="L28" s="2727"/>
      <c r="M28" s="2727"/>
      <c r="N28" s="2727"/>
      <c r="O28" s="2727"/>
      <c r="P28" s="2727"/>
      <c r="Q28" s="2727"/>
      <c r="R28" s="2727"/>
      <c r="S28" s="2727"/>
      <c r="T28" s="2727"/>
      <c r="U28" s="2727"/>
      <c r="V28" s="2727"/>
      <c r="W28" s="2727"/>
      <c r="X28" s="2724"/>
      <c r="Y28" s="2724"/>
      <c r="Z28" s="2724"/>
      <c r="AA28" s="2724"/>
      <c r="AB28" s="2724"/>
      <c r="AC28" s="2724"/>
      <c r="AD28" s="2724"/>
      <c r="AE28" s="2724"/>
      <c r="AF28" s="2724"/>
      <c r="AG28" s="2724"/>
      <c r="AH28" s="2724"/>
      <c r="AI28" s="2724">
        <v>2011</v>
      </c>
      <c r="AJ28" s="2728"/>
      <c r="AK28" s="2729"/>
      <c r="AL28" s="2724">
        <v>2008</v>
      </c>
      <c r="AM28" s="2730">
        <f t="shared" si="2"/>
        <v>0.99850820487319747</v>
      </c>
      <c r="AN28" s="2724">
        <v>2011</v>
      </c>
      <c r="AO28" s="2730">
        <f t="shared" si="2"/>
        <v>1</v>
      </c>
      <c r="AP28" s="2724"/>
      <c r="AQ28" s="2730">
        <f t="shared" si="18"/>
        <v>0</v>
      </c>
      <c r="AR28" s="2724">
        <v>2013</v>
      </c>
      <c r="AS28" s="2730">
        <f t="shared" si="18"/>
        <v>1.0009945300845351</v>
      </c>
      <c r="AT28" s="2724">
        <v>2020</v>
      </c>
      <c r="AU28" s="2730">
        <f t="shared" si="18"/>
        <v>1.0044753853804078</v>
      </c>
      <c r="AV28" s="2724">
        <v>2017</v>
      </c>
      <c r="AW28" s="2730">
        <f t="shared" si="18"/>
        <v>1.0029835902536051</v>
      </c>
      <c r="AX28" s="2724">
        <v>2019</v>
      </c>
      <c r="AY28" s="2730">
        <f t="shared" si="18"/>
        <v>1.0039781203381402</v>
      </c>
      <c r="AZ28" s="2724">
        <v>2013</v>
      </c>
      <c r="BA28" s="2724"/>
      <c r="BB28" s="2724">
        <v>341</v>
      </c>
      <c r="BC28" s="2730">
        <f t="shared" si="19"/>
        <v>0.16956737941322725</v>
      </c>
      <c r="BD28" s="2724">
        <v>2007</v>
      </c>
      <c r="BE28" s="2730">
        <f t="shared" si="19"/>
        <v>0.99801093983092992</v>
      </c>
      <c r="BF28" s="2724">
        <v>2003</v>
      </c>
      <c r="BG28" s="2730">
        <f t="shared" si="19"/>
        <v>0.99602187966185973</v>
      </c>
      <c r="BH28" s="2724">
        <v>2009</v>
      </c>
      <c r="BI28" s="2730">
        <f t="shared" si="19"/>
        <v>0.99900546991546491</v>
      </c>
      <c r="BK28" s="2722">
        <v>2019</v>
      </c>
      <c r="BL28" s="2730">
        <f t="shared" si="20"/>
        <v>1.0039781203381402</v>
      </c>
      <c r="BM28" s="2722">
        <v>2008</v>
      </c>
      <c r="BN28" s="2730">
        <f t="shared" si="21"/>
        <v>0.99850820487319747</v>
      </c>
      <c r="BO28" s="2722">
        <v>2005</v>
      </c>
      <c r="BP28" s="2730">
        <f t="shared" si="21"/>
        <v>0.99701640974639483</v>
      </c>
      <c r="BQ28" s="2722">
        <v>2012</v>
      </c>
      <c r="BR28" s="2730">
        <f t="shared" si="21"/>
        <v>1.0004972650422674</v>
      </c>
      <c r="BS28" s="2722">
        <v>2004</v>
      </c>
      <c r="BT28" s="2730">
        <f t="shared" si="21"/>
        <v>0.99651914470412728</v>
      </c>
      <c r="BU28" s="2722">
        <v>2005</v>
      </c>
      <c r="BV28" s="2730">
        <f t="shared" si="21"/>
        <v>0.99701640974639483</v>
      </c>
      <c r="BW28" s="2722">
        <v>2013</v>
      </c>
      <c r="BX28" s="2730">
        <f t="shared" si="21"/>
        <v>1.0009945300845351</v>
      </c>
      <c r="BY28" s="2722">
        <v>2013</v>
      </c>
      <c r="BZ28" s="2730">
        <f t="shared" si="21"/>
        <v>1.0009945300845351</v>
      </c>
      <c r="CA28" s="2722">
        <v>2006</v>
      </c>
      <c r="CB28" s="2730">
        <f t="shared" si="21"/>
        <v>0.99751367478866237</v>
      </c>
      <c r="CC28" s="2722">
        <v>2006</v>
      </c>
      <c r="CD28" s="2730">
        <f t="shared" si="22"/>
        <v>0.99751367478866237</v>
      </c>
      <c r="CE28" s="2722">
        <v>2015</v>
      </c>
      <c r="CF28" s="2730">
        <f t="shared" si="22"/>
        <v>1.0019890601690702</v>
      </c>
      <c r="CG28" s="2722">
        <v>2010</v>
      </c>
      <c r="CH28" s="2730">
        <f t="shared" si="22"/>
        <v>0.99950273495773245</v>
      </c>
      <c r="CI28" s="2722">
        <v>2012</v>
      </c>
      <c r="CJ28" s="2730">
        <f t="shared" si="22"/>
        <v>1.0004972650422674</v>
      </c>
      <c r="CK28" s="2722">
        <v>2005</v>
      </c>
      <c r="CL28" s="2730">
        <f t="shared" si="22"/>
        <v>0.99701640974639483</v>
      </c>
      <c r="CN28" s="2730">
        <f t="shared" si="22"/>
        <v>0</v>
      </c>
      <c r="CO28" s="2722">
        <v>4190</v>
      </c>
      <c r="CP28" s="2730">
        <f t="shared" si="22"/>
        <v>2.0835405271009448</v>
      </c>
      <c r="CQ28" s="2722">
        <v>4228</v>
      </c>
      <c r="CR28" s="2730">
        <f t="shared" si="22"/>
        <v>2.102436598707111</v>
      </c>
      <c r="CS28" s="2722">
        <v>4085</v>
      </c>
      <c r="CT28" s="2730">
        <f t="shared" si="23"/>
        <v>2.0313276976628543</v>
      </c>
      <c r="CU28" s="2722">
        <v>4191</v>
      </c>
      <c r="CV28" s="2730">
        <f t="shared" si="23"/>
        <v>2.0840377921432123</v>
      </c>
      <c r="CW28" s="2722">
        <v>4489</v>
      </c>
      <c r="CX28" s="2730">
        <f t="shared" si="24"/>
        <v>2.2322227747389358</v>
      </c>
      <c r="CY28" s="2722">
        <v>5077</v>
      </c>
      <c r="DA28" s="2722">
        <v>5624</v>
      </c>
      <c r="DC28" s="2722">
        <v>5469</v>
      </c>
      <c r="DE28" s="2722">
        <v>4557</v>
      </c>
      <c r="DG28" s="2722">
        <v>4480</v>
      </c>
    </row>
    <row r="29" spans="1:112" s="10" customFormat="1" ht="16.5" customHeight="1" thickBot="1">
      <c r="A29" s="119">
        <v>31</v>
      </c>
      <c r="B29" s="120" t="s">
        <v>180</v>
      </c>
      <c r="C29" s="121" t="str">
        <f t="shared" ca="1" si="13"/>
        <v>{"entscheidVom":"04.11.2025","begrundung":"Gar keine Begründung","unterstutzungab":"01.11.2025"}</v>
      </c>
      <c r="D29" s="56"/>
      <c r="E29" s="109" t="str">
        <f t="shared" ca="1" si="12"/>
        <v>{"entscheidVom":"04.11.2025","begrundung":"Gar keine Begründung","unterstutzungab":"01.11.2025"}</v>
      </c>
      <c r="F29" s="609" t="s">
        <v>181</v>
      </c>
      <c r="G29" s="615" t="str">
        <f ca="1">TEXT(TEXT(TODAY(),"DD")&amp;"."&amp;TEXT(TODAY(),"MM")&amp;"."&amp;TEXT(TODAY(),"YYYY"),"DD.MM.YYYY")</f>
        <v>04.11.2025</v>
      </c>
      <c r="H29" s="609" t="s">
        <v>182</v>
      </c>
      <c r="I29" s="611" t="s">
        <v>183</v>
      </c>
      <c r="J29" s="609" t="s">
        <v>184</v>
      </c>
      <c r="K29" s="615" t="str">
        <f ca="1">"01."&amp;TEXT(TODAY(),"MM")&amp;"."&amp;TEXT(TODAY(),"YYYY")</f>
        <v>01.11.2025</v>
      </c>
      <c r="L29" s="609" t="s">
        <v>37</v>
      </c>
      <c r="M29" s="611"/>
      <c r="N29" s="609"/>
      <c r="O29" s="611"/>
      <c r="P29" s="609"/>
      <c r="Q29" s="611"/>
      <c r="R29" s="609"/>
      <c r="S29" s="611"/>
      <c r="T29" s="609"/>
      <c r="U29" s="611"/>
      <c r="V29" s="609"/>
      <c r="W29" s="611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48">
        <v>10495</v>
      </c>
      <c r="AJ29" s="96"/>
      <c r="AK29" s="4"/>
      <c r="AL29" s="56">
        <v>10709</v>
      </c>
      <c r="AM29" s="14">
        <f t="shared" si="2"/>
        <v>1.0203906622201049</v>
      </c>
      <c r="AN29" s="56">
        <v>10873</v>
      </c>
      <c r="AO29" s="14">
        <f t="shared" si="2"/>
        <v>1.0360171510242973</v>
      </c>
      <c r="AP29" s="56">
        <v>11340</v>
      </c>
      <c r="AQ29" s="14">
        <f t="shared" si="18"/>
        <v>1.0805145307289186</v>
      </c>
      <c r="AR29" s="56">
        <v>10826</v>
      </c>
      <c r="AS29" s="14">
        <f t="shared" si="18"/>
        <v>1.0315388280133397</v>
      </c>
      <c r="AT29" s="56">
        <v>11092</v>
      </c>
      <c r="AU29" s="14">
        <f t="shared" si="18"/>
        <v>1.0568842305859933</v>
      </c>
      <c r="AV29" s="56">
        <v>11079</v>
      </c>
      <c r="AW29" s="14">
        <f t="shared" si="18"/>
        <v>1.0556455454978562</v>
      </c>
      <c r="AX29" s="56">
        <v>10608</v>
      </c>
      <c r="AY29" s="14">
        <f t="shared" si="18"/>
        <v>1.010767031919962</v>
      </c>
      <c r="AZ29" s="56">
        <v>2528</v>
      </c>
      <c r="BA29" s="56"/>
      <c r="BB29" s="2">
        <v>2494</v>
      </c>
      <c r="BC29" s="14">
        <f t="shared" si="19"/>
        <v>0.23763696998570749</v>
      </c>
      <c r="BD29" s="2">
        <v>4818</v>
      </c>
      <c r="BE29" s="14">
        <f t="shared" si="19"/>
        <v>0.45907575035731302</v>
      </c>
      <c r="BF29" s="2">
        <v>4986</v>
      </c>
      <c r="BG29" s="14">
        <f t="shared" si="19"/>
        <v>0.47508337303477849</v>
      </c>
      <c r="BH29" s="2">
        <v>4682</v>
      </c>
      <c r="BI29" s="14">
        <f t="shared" si="19"/>
        <v>0.44611719866603144</v>
      </c>
      <c r="BK29" s="10">
        <v>5051</v>
      </c>
      <c r="BL29" s="14">
        <f t="shared" si="20"/>
        <v>0.48127679847546451</v>
      </c>
      <c r="BM29" s="10">
        <v>5031</v>
      </c>
      <c r="BN29" s="14">
        <f t="shared" si="21"/>
        <v>0.47937112910909957</v>
      </c>
      <c r="BO29" s="10">
        <v>5232</v>
      </c>
      <c r="BP29" s="14">
        <f t="shared" si="21"/>
        <v>0.49852310624106716</v>
      </c>
      <c r="BQ29" s="10">
        <v>4963</v>
      </c>
      <c r="BR29" s="14">
        <f t="shared" si="21"/>
        <v>0.47289185326345878</v>
      </c>
      <c r="BS29" s="10">
        <v>5160</v>
      </c>
      <c r="BT29" s="14">
        <f t="shared" si="21"/>
        <v>0.49166269652215339</v>
      </c>
      <c r="BU29" s="10">
        <v>5138</v>
      </c>
      <c r="BV29" s="14">
        <f t="shared" si="21"/>
        <v>0.48956646021915196</v>
      </c>
      <c r="BW29" s="10">
        <v>5040</v>
      </c>
      <c r="BX29" s="14">
        <f t="shared" si="21"/>
        <v>0.48022868032396382</v>
      </c>
      <c r="BY29" s="10">
        <v>5220</v>
      </c>
      <c r="BZ29" s="14">
        <f t="shared" si="21"/>
        <v>0.4973797046212482</v>
      </c>
      <c r="CA29" s="10">
        <v>5673</v>
      </c>
      <c r="CB29" s="14">
        <f t="shared" si="21"/>
        <v>0.54054311576941405</v>
      </c>
      <c r="CC29" s="10">
        <v>4745</v>
      </c>
      <c r="CD29" s="14">
        <f t="shared" si="22"/>
        <v>0.45212005717008097</v>
      </c>
      <c r="CE29" s="10">
        <v>2293</v>
      </c>
      <c r="CF29" s="14">
        <f t="shared" si="22"/>
        <v>0.21848499285373987</v>
      </c>
      <c r="CG29" s="10">
        <v>2166</v>
      </c>
      <c r="CH29" s="14">
        <f t="shared" si="22"/>
        <v>0.20638399237732252</v>
      </c>
      <c r="CI29" s="10">
        <v>2801</v>
      </c>
      <c r="CJ29" s="14">
        <f t="shared" si="22"/>
        <v>0.26688899475940925</v>
      </c>
      <c r="CK29" s="10">
        <v>4114</v>
      </c>
      <c r="CL29" s="14">
        <f t="shared" si="22"/>
        <v>0.39199618866126729</v>
      </c>
      <c r="CM29" s="10">
        <v>4135</v>
      </c>
      <c r="CN29" s="14">
        <f t="shared" si="22"/>
        <v>0.39399714149595044</v>
      </c>
      <c r="CO29" s="10">
        <v>14738</v>
      </c>
      <c r="CP29" s="14">
        <f t="shared" si="22"/>
        <v>1.4042877560743212</v>
      </c>
      <c r="CQ29" s="10">
        <v>6010</v>
      </c>
      <c r="CR29" s="14">
        <f t="shared" si="22"/>
        <v>0.57265364459266321</v>
      </c>
      <c r="CS29" s="10">
        <v>6012</v>
      </c>
      <c r="CT29" s="14">
        <f t="shared" si="23"/>
        <v>0.57284421152929965</v>
      </c>
      <c r="CU29" s="10">
        <v>6009</v>
      </c>
      <c r="CV29" s="14">
        <f t="shared" si="23"/>
        <v>0.57255836112434488</v>
      </c>
      <c r="CW29" s="10">
        <v>6010</v>
      </c>
      <c r="CX29" s="14">
        <f t="shared" si="24"/>
        <v>0.57265364459266321</v>
      </c>
      <c r="CY29" s="10">
        <v>6006</v>
      </c>
      <c r="DA29" s="10">
        <v>6013</v>
      </c>
      <c r="DC29" s="10">
        <v>6017</v>
      </c>
      <c r="DE29" s="10">
        <v>6006</v>
      </c>
      <c r="DG29" s="10">
        <v>6014</v>
      </c>
    </row>
    <row r="30" spans="1:112" s="2722" customFormat="1" ht="16.5" customHeight="1" thickBot="1">
      <c r="A30" s="2721"/>
      <c r="B30" s="2722" t="s">
        <v>22</v>
      </c>
      <c r="C30" s="2723" t="s">
        <v>280</v>
      </c>
      <c r="D30" s="2724"/>
      <c r="E30" s="2725"/>
      <c r="F30" s="2726"/>
      <c r="G30" s="2727"/>
      <c r="H30" s="2727"/>
      <c r="I30" s="2727"/>
      <c r="J30" s="2727"/>
      <c r="K30" s="2727"/>
      <c r="L30" s="2727"/>
      <c r="M30" s="2727"/>
      <c r="N30" s="2727"/>
      <c r="O30" s="2727"/>
      <c r="P30" s="2727"/>
      <c r="Q30" s="2727"/>
      <c r="R30" s="2727"/>
      <c r="S30" s="2727"/>
      <c r="T30" s="2727"/>
      <c r="U30" s="2727"/>
      <c r="V30" s="2727"/>
      <c r="W30" s="2727"/>
      <c r="X30" s="2724"/>
      <c r="Y30" s="2724"/>
      <c r="Z30" s="2724"/>
      <c r="AA30" s="2724"/>
      <c r="AB30" s="2724"/>
      <c r="AC30" s="2724"/>
      <c r="AD30" s="2724"/>
      <c r="AE30" s="2724"/>
      <c r="AF30" s="2724"/>
      <c r="AG30" s="2724"/>
      <c r="AH30" s="2724"/>
      <c r="AI30" s="2724">
        <v>2011</v>
      </c>
      <c r="AJ30" s="2728"/>
      <c r="AK30" s="2729"/>
      <c r="AL30" s="2724">
        <v>2008</v>
      </c>
      <c r="AM30" s="2730">
        <f t="shared" si="2"/>
        <v>0.99850820487319747</v>
      </c>
      <c r="AN30" s="2724">
        <v>2011</v>
      </c>
      <c r="AO30" s="2730">
        <f t="shared" si="2"/>
        <v>1</v>
      </c>
      <c r="AP30" s="2724"/>
      <c r="AQ30" s="2730">
        <f t="shared" si="18"/>
        <v>0</v>
      </c>
      <c r="AR30" s="2724">
        <v>2013</v>
      </c>
      <c r="AS30" s="2730">
        <f t="shared" si="18"/>
        <v>1.0009945300845351</v>
      </c>
      <c r="AT30" s="2724">
        <v>2020</v>
      </c>
      <c r="AU30" s="2730">
        <f t="shared" si="18"/>
        <v>1.0044753853804078</v>
      </c>
      <c r="AV30" s="2724">
        <v>2017</v>
      </c>
      <c r="AW30" s="2730">
        <f t="shared" si="18"/>
        <v>1.0029835902536051</v>
      </c>
      <c r="AX30" s="2724">
        <v>2019</v>
      </c>
      <c r="AY30" s="2730">
        <f t="shared" si="18"/>
        <v>1.0039781203381402</v>
      </c>
      <c r="AZ30" s="2724">
        <v>2013</v>
      </c>
      <c r="BA30" s="2724"/>
      <c r="BB30" s="2724">
        <v>341</v>
      </c>
      <c r="BC30" s="2730">
        <f t="shared" si="19"/>
        <v>0.16956737941322725</v>
      </c>
      <c r="BD30" s="2724">
        <v>2007</v>
      </c>
      <c r="BE30" s="2730">
        <f t="shared" si="19"/>
        <v>0.99801093983092992</v>
      </c>
      <c r="BF30" s="2724">
        <v>2003</v>
      </c>
      <c r="BG30" s="2730">
        <f t="shared" si="19"/>
        <v>0.99602187966185973</v>
      </c>
      <c r="BH30" s="2724">
        <v>2009</v>
      </c>
      <c r="BI30" s="2730">
        <f t="shared" si="19"/>
        <v>0.99900546991546491</v>
      </c>
      <c r="BK30" s="2722">
        <v>2019</v>
      </c>
      <c r="BL30" s="2730">
        <f t="shared" si="20"/>
        <v>1.0039781203381402</v>
      </c>
      <c r="BM30" s="2722">
        <v>2008</v>
      </c>
      <c r="BN30" s="2730">
        <f t="shared" si="21"/>
        <v>0.99850820487319747</v>
      </c>
      <c r="BO30" s="2722">
        <v>2005</v>
      </c>
      <c r="BP30" s="2730">
        <f t="shared" si="21"/>
        <v>0.99701640974639483</v>
      </c>
      <c r="BQ30" s="2722">
        <v>2012</v>
      </c>
      <c r="BR30" s="2730">
        <f t="shared" si="21"/>
        <v>1.0004972650422674</v>
      </c>
      <c r="BS30" s="2722">
        <v>2004</v>
      </c>
      <c r="BT30" s="2730">
        <f t="shared" si="21"/>
        <v>0.99651914470412728</v>
      </c>
      <c r="BU30" s="2722">
        <v>2005</v>
      </c>
      <c r="BV30" s="2730">
        <f t="shared" si="21"/>
        <v>0.99701640974639483</v>
      </c>
      <c r="BW30" s="2722">
        <v>2013</v>
      </c>
      <c r="BX30" s="2730">
        <f t="shared" si="21"/>
        <v>1.0009945300845351</v>
      </c>
      <c r="BY30" s="2722">
        <v>2013</v>
      </c>
      <c r="BZ30" s="2730">
        <f t="shared" si="21"/>
        <v>1.0009945300845351</v>
      </c>
      <c r="CA30" s="2722">
        <v>2006</v>
      </c>
      <c r="CB30" s="2730">
        <f t="shared" si="21"/>
        <v>0.99751367478866237</v>
      </c>
      <c r="CC30" s="2722">
        <v>2006</v>
      </c>
      <c r="CD30" s="2730">
        <f t="shared" si="22"/>
        <v>0.99751367478866237</v>
      </c>
      <c r="CE30" s="2722">
        <v>2015</v>
      </c>
      <c r="CF30" s="2730">
        <f t="shared" si="22"/>
        <v>1.0019890601690702</v>
      </c>
      <c r="CG30" s="2722">
        <v>2010</v>
      </c>
      <c r="CH30" s="2730">
        <f t="shared" si="22"/>
        <v>0.99950273495773245</v>
      </c>
      <c r="CI30" s="2722">
        <v>2012</v>
      </c>
      <c r="CJ30" s="2730">
        <f t="shared" si="22"/>
        <v>1.0004972650422674</v>
      </c>
      <c r="CK30" s="2722">
        <v>2005</v>
      </c>
      <c r="CL30" s="2730">
        <f t="shared" si="22"/>
        <v>0.99701640974639483</v>
      </c>
      <c r="CN30" s="2730">
        <f t="shared" si="22"/>
        <v>0</v>
      </c>
      <c r="CO30" s="2722">
        <v>3307</v>
      </c>
      <c r="CP30" s="2730">
        <f t="shared" si="22"/>
        <v>1.6444554947787171</v>
      </c>
      <c r="CQ30" s="2722">
        <v>12881</v>
      </c>
      <c r="CR30" s="2730">
        <f t="shared" si="22"/>
        <v>6.4052710094480361</v>
      </c>
      <c r="CS30" s="2722">
        <v>16955</v>
      </c>
      <c r="CT30" s="2730">
        <f t="shared" si="23"/>
        <v>8.4311287916459481</v>
      </c>
      <c r="CU30" s="2722">
        <v>17778</v>
      </c>
      <c r="CV30" s="2730">
        <f t="shared" si="23"/>
        <v>8.8403779214321236</v>
      </c>
      <c r="CW30" s="2722">
        <v>21192</v>
      </c>
      <c r="CX30" s="2730">
        <f t="shared" si="24"/>
        <v>10.538040775733466</v>
      </c>
      <c r="CY30" s="2722">
        <v>21674</v>
      </c>
      <c r="DA30" s="2722">
        <v>13839</v>
      </c>
      <c r="DC30" s="2722">
        <v>12390</v>
      </c>
      <c r="DE30" s="2722">
        <v>15752</v>
      </c>
      <c r="DG30" s="3452">
        <v>0</v>
      </c>
      <c r="DH30" s="3453" t="s">
        <v>1520</v>
      </c>
    </row>
    <row r="31" spans="1:112" s="10" customFormat="1" ht="16.5" customHeight="1" thickBot="1">
      <c r="A31" s="116"/>
      <c r="B31" s="11" t="s">
        <v>185</v>
      </c>
      <c r="C31" s="121" t="str">
        <f ca="1">E31</f>
        <v>{"ubernahmeWohnkostenCFH":"100","uebernahmeWohnkostenVon":"01.11.2025","uebernahmeWohnkostenBis":"27.01.2026","uebernahemBegruendung":"Die Wohnungen sind teuer hier"}</v>
      </c>
      <c r="D31" s="56"/>
      <c r="E31" s="109" t="str">
        <f ca="1">F31&amp;G31&amp;H31&amp;I31&amp;J31&amp;K31&amp;L31&amp;M31&amp;N31&amp;O31&amp;P31&amp;Q31&amp;R31&amp;S31&amp;T31&amp;U31&amp;V31&amp;W31&amp;X31</f>
        <v>{"ubernahmeWohnkostenCFH":"100","uebernahmeWohnkostenVon":"01.11.2025","uebernahmeWohnkostenBis":"27.01.2026","uebernahemBegruendung":"Die Wohnungen sind teuer hier"}</v>
      </c>
      <c r="F31" s="609" t="s">
        <v>186</v>
      </c>
      <c r="G31" s="611">
        <v>100</v>
      </c>
      <c r="H31" s="611" t="s">
        <v>187</v>
      </c>
      <c r="I31" s="615" t="str">
        <f ca="1">"01."&amp;TEXT(TODAY(),"MM")&amp;"."&amp;TEXT(TODAY(),"YYYY")</f>
        <v>01.11.2025</v>
      </c>
      <c r="J31" s="611" t="s">
        <v>188</v>
      </c>
      <c r="K31" s="615" t="str">
        <f ca="1">"27."&amp;TEXT(MONTH(TODAY()+180),"MM")&amp;"."&amp;YEAR(TODAY()+180)</f>
        <v>27.01.2026</v>
      </c>
      <c r="L31" s="609" t="s">
        <v>189</v>
      </c>
      <c r="M31" s="611" t="s">
        <v>190</v>
      </c>
      <c r="N31" s="609" t="s">
        <v>37</v>
      </c>
      <c r="O31" s="611"/>
      <c r="P31" s="611"/>
      <c r="Q31" s="611"/>
      <c r="R31" s="611"/>
      <c r="S31" s="611"/>
      <c r="T31" s="611"/>
      <c r="U31" s="611"/>
      <c r="V31" s="611"/>
      <c r="W31" s="611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48">
        <v>4020</v>
      </c>
      <c r="AJ31" s="96"/>
      <c r="AK31" s="4"/>
      <c r="AL31" s="56">
        <v>11003</v>
      </c>
      <c r="AM31" s="14">
        <f>AL31/($AI31)</f>
        <v>2.7370646766169155</v>
      </c>
      <c r="AN31" s="56">
        <v>11012</v>
      </c>
      <c r="AO31" s="14">
        <f t="shared" si="2"/>
        <v>2.7393034825870646</v>
      </c>
      <c r="AP31" s="56">
        <v>11006</v>
      </c>
      <c r="AQ31" s="14">
        <f>AP31/($AI31)</f>
        <v>2.7378109452736319</v>
      </c>
      <c r="AR31" s="56">
        <v>5009</v>
      </c>
      <c r="AS31" s="14">
        <f>AR31/($AI31)</f>
        <v>1.2460199004975125</v>
      </c>
      <c r="AT31" s="56">
        <v>5011</v>
      </c>
      <c r="AU31" s="14">
        <f>AT31/($AI31)</f>
        <v>1.2465174129353234</v>
      </c>
      <c r="AV31" s="56">
        <v>5008</v>
      </c>
      <c r="AW31" s="14">
        <f>AV31/($AI31)</f>
        <v>1.245771144278607</v>
      </c>
      <c r="AX31" s="56">
        <v>5012</v>
      </c>
      <c r="AY31" s="14">
        <f>AX31/($AI31)</f>
        <v>1.2467661691542289</v>
      </c>
      <c r="AZ31" s="56">
        <v>5024</v>
      </c>
      <c r="BA31" s="56"/>
      <c r="BB31" s="2">
        <v>5015</v>
      </c>
      <c r="BC31" s="14">
        <f>BB31/($AI31)</f>
        <v>1.2475124378109452</v>
      </c>
      <c r="BD31" s="2">
        <v>10299</v>
      </c>
      <c r="BE31" s="14">
        <f>BD31/($AI31)</f>
        <v>2.5619402985074626</v>
      </c>
      <c r="BF31" s="2">
        <v>10599</v>
      </c>
      <c r="BG31" s="14">
        <f>BF31/($AI31)</f>
        <v>2.6365671641791044</v>
      </c>
      <c r="BH31" s="2">
        <v>10000</v>
      </c>
      <c r="BI31" s="14">
        <f>BH31/($AI31)</f>
        <v>2.4875621890547261</v>
      </c>
      <c r="BK31" s="10">
        <v>11394</v>
      </c>
      <c r="BL31" s="14">
        <f>BK31/($AI31)</f>
        <v>2.8343283582089551</v>
      </c>
      <c r="BM31" s="10">
        <v>11719</v>
      </c>
      <c r="BN31" s="14">
        <f>BM31/($AI31)</f>
        <v>2.9151741293532338</v>
      </c>
      <c r="BO31" s="10">
        <v>11299</v>
      </c>
      <c r="BP31" s="14">
        <f>BO31/($AI31)</f>
        <v>2.8106965174129352</v>
      </c>
      <c r="BQ31" s="10">
        <v>12154</v>
      </c>
      <c r="BR31" s="14">
        <f>BQ31/($AI31)</f>
        <v>3.0233830845771146</v>
      </c>
      <c r="BS31" s="10">
        <v>11838</v>
      </c>
      <c r="BT31" s="14">
        <f>BS31/($AI31)</f>
        <v>2.9447761194029849</v>
      </c>
      <c r="BU31" s="10">
        <v>12116</v>
      </c>
      <c r="BV31" s="14">
        <f>BU31/($AI31)</f>
        <v>3.0139303482587065</v>
      </c>
      <c r="BW31" s="10">
        <v>11604</v>
      </c>
      <c r="BX31" s="14">
        <f>BW31/($AI31)</f>
        <v>2.8865671641791044</v>
      </c>
      <c r="BY31" s="10">
        <v>11074</v>
      </c>
      <c r="BZ31" s="14">
        <f>BY31/($AI31)</f>
        <v>2.7547263681592038</v>
      </c>
      <c r="CA31" s="10">
        <v>11733</v>
      </c>
      <c r="CB31" s="14">
        <f>CA31/($AI31)</f>
        <v>2.9186567164179102</v>
      </c>
      <c r="CC31" s="10">
        <v>11719</v>
      </c>
      <c r="CD31" s="14">
        <f>CC31/($AI31)</f>
        <v>2.9151741293532338</v>
      </c>
      <c r="CE31" s="10">
        <v>10325</v>
      </c>
      <c r="CF31" s="14">
        <f>CE31/($AI31)</f>
        <v>2.5684079601990049</v>
      </c>
      <c r="CG31" s="10">
        <v>9157</v>
      </c>
      <c r="CH31" s="14">
        <f>CG31/($AI31)</f>
        <v>2.2778606965174131</v>
      </c>
      <c r="CI31" s="10">
        <v>9700</v>
      </c>
      <c r="CJ31" s="14">
        <f>CI31/($AI31)</f>
        <v>2.4129353233830844</v>
      </c>
      <c r="CK31" s="10">
        <v>18332</v>
      </c>
      <c r="CL31" s="14">
        <f>CK31/($AI31)</f>
        <v>4.5601990049751242</v>
      </c>
      <c r="CM31" s="10">
        <v>11574</v>
      </c>
      <c r="CN31" s="14">
        <f>CM31/($AI31)</f>
        <v>2.8791044776119401</v>
      </c>
      <c r="CO31" s="1986">
        <v>0</v>
      </c>
      <c r="CP31" s="14">
        <f>CO31/($AI31)</f>
        <v>0</v>
      </c>
      <c r="CQ31" s="10">
        <v>6015</v>
      </c>
      <c r="CR31" s="14">
        <f>CQ31/($AI31)</f>
        <v>1.4962686567164178</v>
      </c>
      <c r="CS31" s="10">
        <v>6006</v>
      </c>
      <c r="CT31" s="14">
        <f>CS31/($AI31)</f>
        <v>1.4940298507462686</v>
      </c>
      <c r="CU31" s="10">
        <v>6015</v>
      </c>
      <c r="CV31" s="14">
        <f>CU31/($AI31)</f>
        <v>1.4962686567164178</v>
      </c>
      <c r="CW31" s="10">
        <v>6003</v>
      </c>
      <c r="CX31" s="14">
        <f>CW31/($AI31)</f>
        <v>1.4932835820895523</v>
      </c>
      <c r="CY31" s="10">
        <v>6010</v>
      </c>
    </row>
    <row r="32" spans="1:112" s="2722" customFormat="1" ht="16.5" customHeight="1" thickBot="1">
      <c r="A32" s="2721">
        <v>50</v>
      </c>
      <c r="B32" s="2722" t="s">
        <v>22</v>
      </c>
      <c r="C32" s="2723" t="s">
        <v>280</v>
      </c>
      <c r="D32" s="2724"/>
      <c r="E32" s="2725"/>
      <c r="F32" s="2726"/>
      <c r="G32" s="2727"/>
      <c r="H32" s="2727"/>
      <c r="I32" s="2727"/>
      <c r="J32" s="2727"/>
      <c r="K32" s="2727"/>
      <c r="L32" s="2727"/>
      <c r="M32" s="2727"/>
      <c r="N32" s="2727"/>
      <c r="O32" s="2727"/>
      <c r="P32" s="2727"/>
      <c r="Q32" s="2727"/>
      <c r="R32" s="2727"/>
      <c r="S32" s="2727"/>
      <c r="T32" s="2727"/>
      <c r="U32" s="2727"/>
      <c r="V32" s="2727"/>
      <c r="W32" s="2727"/>
      <c r="X32" s="2724"/>
      <c r="Y32" s="2724"/>
      <c r="Z32" s="2724"/>
      <c r="AA32" s="2724"/>
      <c r="AB32" s="2724"/>
      <c r="AC32" s="2724"/>
      <c r="AD32" s="2724"/>
      <c r="AE32" s="2724"/>
      <c r="AF32" s="2724"/>
      <c r="AG32" s="2724"/>
      <c r="AH32" s="2724"/>
      <c r="AI32" s="2724">
        <v>2011</v>
      </c>
      <c r="AJ32" s="2728"/>
      <c r="AK32" s="2729"/>
      <c r="AL32" s="2724">
        <v>2008</v>
      </c>
      <c r="AM32" s="2730">
        <f t="shared" ref="AM32" si="25">AL32/($AI32)</f>
        <v>0.99850820487319747</v>
      </c>
      <c r="AN32" s="2724">
        <v>2011</v>
      </c>
      <c r="AO32" s="2730">
        <f t="shared" si="2"/>
        <v>1</v>
      </c>
      <c r="AP32" s="2724"/>
      <c r="AQ32" s="2730">
        <f t="shared" ref="AQ32:AY47" si="26">AP32/($AI32)</f>
        <v>0</v>
      </c>
      <c r="AR32" s="2724">
        <v>2013</v>
      </c>
      <c r="AS32" s="2730">
        <f t="shared" ref="AS32" si="27">AR32/($AI32)</f>
        <v>1.0009945300845351</v>
      </c>
      <c r="AT32" s="2724">
        <v>2020</v>
      </c>
      <c r="AU32" s="2730">
        <f t="shared" ref="AU32" si="28">AT32/($AI32)</f>
        <v>1.0044753853804078</v>
      </c>
      <c r="AV32" s="2724">
        <v>2017</v>
      </c>
      <c r="AW32" s="2730">
        <f t="shared" ref="AW32" si="29">AV32/($AI32)</f>
        <v>1.0029835902536051</v>
      </c>
      <c r="AX32" s="2724">
        <v>2019</v>
      </c>
      <c r="AY32" s="2730">
        <f t="shared" ref="AY32" si="30">AX32/($AI32)</f>
        <v>1.0039781203381402</v>
      </c>
      <c r="AZ32" s="2724">
        <v>2013</v>
      </c>
      <c r="BA32" s="2724"/>
      <c r="BB32" s="2724">
        <v>341</v>
      </c>
      <c r="BC32" s="2730">
        <f t="shared" ref="BC32:BI47" si="31">BB32/($AI32)</f>
        <v>0.16956737941322725</v>
      </c>
      <c r="BD32" s="2724">
        <v>2007</v>
      </c>
      <c r="BE32" s="2730">
        <f t="shared" ref="BE32" si="32">BD32/($AI32)</f>
        <v>0.99801093983092992</v>
      </c>
      <c r="BF32" s="2724">
        <v>2003</v>
      </c>
      <c r="BG32" s="2730">
        <f t="shared" ref="BG32" si="33">BF32/($AI32)</f>
        <v>0.99602187966185973</v>
      </c>
      <c r="BH32" s="2724">
        <v>2009</v>
      </c>
      <c r="BI32" s="2730">
        <f t="shared" ref="BI32" si="34">BH32/($AI32)</f>
        <v>0.99900546991546491</v>
      </c>
      <c r="BK32" s="2722">
        <v>2019</v>
      </c>
      <c r="BL32" s="2730">
        <f t="shared" ref="BL32:BL48" si="35">BK32/($AI32)</f>
        <v>1.0039781203381402</v>
      </c>
      <c r="BM32" s="2722">
        <v>2008</v>
      </c>
      <c r="BN32" s="2730">
        <f t="shared" ref="BN32:CB47" si="36">BM32/($AI32)</f>
        <v>0.99850820487319747</v>
      </c>
      <c r="BO32" s="2722">
        <v>2005</v>
      </c>
      <c r="BP32" s="2730">
        <f t="shared" ref="BP32" si="37">BO32/($AI32)</f>
        <v>0.99701640974639483</v>
      </c>
      <c r="BQ32" s="2722">
        <v>2012</v>
      </c>
      <c r="BR32" s="2730">
        <f t="shared" ref="BR32" si="38">BQ32/($AI32)</f>
        <v>1.0004972650422674</v>
      </c>
      <c r="BS32" s="2722">
        <v>2004</v>
      </c>
      <c r="BT32" s="2730">
        <f t="shared" ref="BT32" si="39">BS32/($AI32)</f>
        <v>0.99651914470412728</v>
      </c>
      <c r="BU32" s="2722">
        <v>2005</v>
      </c>
      <c r="BV32" s="2730">
        <f t="shared" ref="BV32" si="40">BU32/($AI32)</f>
        <v>0.99701640974639483</v>
      </c>
      <c r="BW32" s="2722">
        <v>2013</v>
      </c>
      <c r="BX32" s="2730">
        <f t="shared" ref="BX32" si="41">BW32/($AI32)</f>
        <v>1.0009945300845351</v>
      </c>
      <c r="BY32" s="2722">
        <v>2013</v>
      </c>
      <c r="BZ32" s="2730">
        <f t="shared" ref="BZ32" si="42">BY32/($AI32)</f>
        <v>1.0009945300845351</v>
      </c>
      <c r="CA32" s="2722">
        <v>2006</v>
      </c>
      <c r="CB32" s="2730">
        <f t="shared" ref="CB32" si="43">CA32/($AI32)</f>
        <v>0.99751367478866237</v>
      </c>
      <c r="CC32" s="2722">
        <v>2006</v>
      </c>
      <c r="CD32" s="2730">
        <f t="shared" ref="CD32:CR47" si="44">CC32/($AI32)</f>
        <v>0.99751367478866237</v>
      </c>
      <c r="CE32" s="2722">
        <v>2015</v>
      </c>
      <c r="CF32" s="2730">
        <f t="shared" ref="CF32" si="45">CE32/($AI32)</f>
        <v>1.0019890601690702</v>
      </c>
      <c r="CG32" s="2722">
        <v>2010</v>
      </c>
      <c r="CH32" s="2730">
        <f t="shared" ref="CH32" si="46">CG32/($AI32)</f>
        <v>0.99950273495773245</v>
      </c>
      <c r="CI32" s="2722">
        <v>2012</v>
      </c>
      <c r="CJ32" s="2730">
        <f t="shared" ref="CJ32" si="47">CI32/($AI32)</f>
        <v>1.0004972650422674</v>
      </c>
      <c r="CK32" s="2722">
        <v>2005</v>
      </c>
      <c r="CL32" s="2730">
        <f t="shared" ref="CL32" si="48">CK32/($AI32)</f>
        <v>0.99701640974639483</v>
      </c>
      <c r="CN32" s="2730">
        <f t="shared" ref="CN32" si="49">CM32/($AI32)</f>
        <v>0</v>
      </c>
      <c r="CO32" s="2722">
        <v>3307</v>
      </c>
      <c r="CP32" s="2730">
        <f t="shared" ref="CP32" si="50">CO32/($AI32)</f>
        <v>1.6444554947787171</v>
      </c>
      <c r="CQ32" s="2722">
        <v>12881</v>
      </c>
      <c r="CR32" s="2730">
        <f t="shared" ref="CR32" si="51">CQ32/($AI32)</f>
        <v>6.4052710094480361</v>
      </c>
      <c r="CS32" s="2722">
        <v>16955</v>
      </c>
      <c r="CT32" s="2730">
        <f t="shared" ref="CT32:CT48" si="52">CS32/($AI32)</f>
        <v>8.4311287916459481</v>
      </c>
      <c r="CU32" s="2722">
        <v>17778</v>
      </c>
      <c r="CV32" s="2730">
        <f t="shared" ref="CV32:CV48" si="53">CU32/($AI32)</f>
        <v>8.8403779214321236</v>
      </c>
      <c r="CW32" s="2722">
        <v>3806</v>
      </c>
      <c r="CX32" s="2730">
        <f t="shared" ref="CX32:CX48" si="54">CW32/($AI32)</f>
        <v>1.8925907508702138</v>
      </c>
      <c r="CY32" s="2722">
        <v>1914</v>
      </c>
      <c r="DA32" s="2722">
        <v>6014</v>
      </c>
      <c r="DC32" s="2722">
        <v>6014</v>
      </c>
      <c r="DE32" s="2722">
        <v>6033</v>
      </c>
      <c r="DG32" s="2722">
        <v>609</v>
      </c>
    </row>
    <row r="33" spans="1:109" s="10" customFormat="1" ht="16.5" customHeight="1" thickBot="1">
      <c r="A33" s="119">
        <v>35</v>
      </c>
      <c r="B33" s="3664" t="s">
        <v>191</v>
      </c>
      <c r="C33" s="121" t="str">
        <f ca="1">E33</f>
        <v>{"lEvonDate":"01.11.2025","lEbisDate":"03.05.2026","checkStatus":"In Bearbeitung"}</v>
      </c>
      <c r="D33" s="82"/>
      <c r="E33" s="83" t="str">
        <f ca="1">F33&amp;G33&amp;H33&amp;I33&amp;J33&amp;K33&amp;L33&amp;M33&amp;N33&amp;O33&amp;P33&amp;Q33&amp;R33&amp;S33&amp;T33&amp;U33&amp;V33&amp;W33&amp;X33</f>
        <v>{"lEvonDate":"01.11.2025","lEbisDate":"03.05.2026","checkStatus":"In Bearbeitung"}</v>
      </c>
      <c r="F33" s="609" t="s">
        <v>192</v>
      </c>
      <c r="G33" s="615" t="str">
        <f ca="1">K29</f>
        <v>01.11.2025</v>
      </c>
      <c r="H33" s="609" t="s">
        <v>193</v>
      </c>
      <c r="I33" s="615" t="str">
        <f ca="1">TEXT(TEXT(TODAY()+180,"DD")&amp;"."&amp;TEXT(TODAY()+180,"MM")&amp;"."&amp;TEXT(TODAY()+180,"YYYY"),"DD.MM.YYYY")</f>
        <v>03.05.2026</v>
      </c>
      <c r="J33" s="609" t="s">
        <v>132</v>
      </c>
      <c r="K33" s="611" t="s">
        <v>133</v>
      </c>
      <c r="L33" s="609" t="s">
        <v>37</v>
      </c>
      <c r="M33" s="611"/>
      <c r="N33" s="609"/>
      <c r="O33" s="611"/>
      <c r="P33" s="609"/>
      <c r="Q33" s="611"/>
      <c r="R33" s="609"/>
      <c r="S33" s="611"/>
      <c r="T33" s="609"/>
      <c r="U33" s="611"/>
      <c r="V33" s="609"/>
      <c r="W33" s="611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48">
        <v>1017</v>
      </c>
      <c r="AJ33" s="96"/>
      <c r="AK33" s="4"/>
      <c r="AL33" s="82">
        <v>1014</v>
      </c>
      <c r="AM33" s="14">
        <f t="shared" si="2"/>
        <v>0.99705014749262533</v>
      </c>
      <c r="AN33" s="82">
        <v>1009</v>
      </c>
      <c r="AO33" s="14">
        <f t="shared" si="2"/>
        <v>0.99213372664700095</v>
      </c>
      <c r="AP33" s="82">
        <v>1008</v>
      </c>
      <c r="AQ33" s="14">
        <f t="shared" si="26"/>
        <v>0.99115044247787609</v>
      </c>
      <c r="AR33" s="82">
        <v>1017</v>
      </c>
      <c r="AS33" s="14">
        <f t="shared" si="26"/>
        <v>1</v>
      </c>
      <c r="AT33" s="82">
        <v>1017</v>
      </c>
      <c r="AU33" s="14">
        <f t="shared" si="26"/>
        <v>1</v>
      </c>
      <c r="AV33" s="82">
        <v>1026</v>
      </c>
      <c r="AW33" s="14">
        <f t="shared" si="26"/>
        <v>1.0088495575221239</v>
      </c>
      <c r="AX33" s="82">
        <v>1017</v>
      </c>
      <c r="AY33" s="14">
        <f t="shared" si="26"/>
        <v>1</v>
      </c>
      <c r="AZ33" s="82">
        <v>1008</v>
      </c>
      <c r="BA33" s="82"/>
      <c r="BB33" s="2">
        <v>1010</v>
      </c>
      <c r="BC33" s="14">
        <f t="shared" si="31"/>
        <v>0.99311701081612591</v>
      </c>
      <c r="BD33" s="2">
        <v>1944</v>
      </c>
      <c r="BE33" s="14">
        <f t="shared" si="31"/>
        <v>1.9115044247787611</v>
      </c>
      <c r="BF33" s="2">
        <v>1688</v>
      </c>
      <c r="BG33" s="14">
        <f t="shared" si="31"/>
        <v>1.6597836774827925</v>
      </c>
      <c r="BH33" s="2">
        <v>1920</v>
      </c>
      <c r="BI33" s="14">
        <f t="shared" si="31"/>
        <v>1.887905604719764</v>
      </c>
      <c r="BK33" s="10">
        <v>2307</v>
      </c>
      <c r="BL33" s="14">
        <f t="shared" si="35"/>
        <v>2.2684365781710913</v>
      </c>
      <c r="BM33" s="10">
        <v>14554</v>
      </c>
      <c r="BN33" s="14">
        <f t="shared" si="36"/>
        <v>14.310717797443461</v>
      </c>
      <c r="BO33" s="10">
        <v>3635</v>
      </c>
      <c r="BP33" s="14">
        <f t="shared" si="36"/>
        <v>3.574237954768928</v>
      </c>
      <c r="BQ33" s="10">
        <v>2244</v>
      </c>
      <c r="BR33" s="14">
        <f t="shared" si="36"/>
        <v>2.2064896755162242</v>
      </c>
      <c r="BS33" s="10">
        <v>2073</v>
      </c>
      <c r="BT33" s="14">
        <f t="shared" si="36"/>
        <v>2.0383480825958702</v>
      </c>
      <c r="BU33" s="10">
        <v>2891</v>
      </c>
      <c r="BV33" s="14">
        <f t="shared" si="36"/>
        <v>2.8426745329400198</v>
      </c>
      <c r="BW33" s="10">
        <v>2123</v>
      </c>
      <c r="BX33" s="14">
        <f t="shared" si="36"/>
        <v>2.0875122910521142</v>
      </c>
      <c r="BY33" s="10">
        <v>1907</v>
      </c>
      <c r="BZ33" s="14">
        <f t="shared" si="36"/>
        <v>1.8751229105211407</v>
      </c>
      <c r="CA33" s="10">
        <v>2856</v>
      </c>
      <c r="CB33" s="14">
        <f t="shared" si="36"/>
        <v>2.808259587020649</v>
      </c>
      <c r="CC33" s="10">
        <v>1540</v>
      </c>
      <c r="CD33" s="14">
        <f t="shared" si="44"/>
        <v>1.5142576204523108</v>
      </c>
      <c r="CE33" s="10">
        <v>2090</v>
      </c>
      <c r="CF33" s="14">
        <f t="shared" si="44"/>
        <v>2.0550639134709932</v>
      </c>
      <c r="CG33" s="10">
        <v>1762</v>
      </c>
      <c r="CH33" s="14">
        <f t="shared" si="44"/>
        <v>1.7325467059980335</v>
      </c>
      <c r="CI33" s="10">
        <v>3116</v>
      </c>
      <c r="CJ33" s="14">
        <f t="shared" si="44"/>
        <v>3.0639134709931168</v>
      </c>
      <c r="CK33" s="10">
        <v>8023</v>
      </c>
      <c r="CL33" s="14">
        <f t="shared" si="44"/>
        <v>7.8888888888888893</v>
      </c>
      <c r="CM33" s="10">
        <v>3465</v>
      </c>
      <c r="CN33" s="14">
        <f t="shared" si="44"/>
        <v>3.4070796460176993</v>
      </c>
      <c r="CO33" s="10">
        <v>196</v>
      </c>
      <c r="CP33" s="14">
        <f t="shared" si="44"/>
        <v>0.1927236971484759</v>
      </c>
      <c r="CQ33" s="10">
        <v>1972</v>
      </c>
      <c r="CR33" s="14">
        <f t="shared" si="44"/>
        <v>1.9390363815142577</v>
      </c>
      <c r="CS33" s="10">
        <v>3836</v>
      </c>
      <c r="CT33" s="14">
        <f t="shared" si="52"/>
        <v>3.7718780727630286</v>
      </c>
      <c r="CU33" s="10">
        <v>6759</v>
      </c>
      <c r="CV33" s="14">
        <f t="shared" si="53"/>
        <v>6.6460176991150446</v>
      </c>
      <c r="CW33" s="10">
        <v>6021</v>
      </c>
      <c r="CX33" s="14">
        <f t="shared" si="54"/>
        <v>5.9203539823008846</v>
      </c>
      <c r="CY33" s="10">
        <v>6015</v>
      </c>
      <c r="DA33" s="10">
        <v>6018</v>
      </c>
      <c r="DC33" s="10">
        <v>6010</v>
      </c>
      <c r="DE33" s="10">
        <v>6016</v>
      </c>
    </row>
    <row r="34" spans="1:109" s="10" customFormat="1" ht="16.5" customHeight="1">
      <c r="A34" s="119"/>
      <c r="B34" s="3664" t="s">
        <v>134</v>
      </c>
      <c r="C34" s="121" t="str">
        <f t="shared" ref="C34:C39" si="55">E34</f>
        <v>{"username":"aventis-gemeinde-ma@diartis.ch","password":"#xFymiADPk7wJG/FWMz"}</v>
      </c>
      <c r="D34" s="82"/>
      <c r="E34" s="83" t="str">
        <f t="shared" ref="E34:E43" si="56">F34&amp;G34&amp;H34&amp;I34&amp;J34&amp;K34&amp;L34&amp;M34&amp;N34&amp;O34&amp;P34&amp;Q34&amp;R34&amp;S34&amp;T34&amp;U34&amp;V34&amp;W34&amp;X34</f>
        <v>{"username":"aventis-gemeinde-ma@diartis.ch","password":"#xFymiADPk7wJG/FWMz"}</v>
      </c>
      <c r="F34" s="609" t="s">
        <v>29</v>
      </c>
      <c r="G34" s="617" t="s">
        <v>195</v>
      </c>
      <c r="H34" s="609" t="s">
        <v>31</v>
      </c>
      <c r="I34" s="618" t="s">
        <v>196</v>
      </c>
      <c r="J34" s="609" t="s">
        <v>37</v>
      </c>
      <c r="K34" s="614"/>
      <c r="L34" s="609"/>
      <c r="M34" s="611"/>
      <c r="N34" s="609"/>
      <c r="O34" s="611"/>
      <c r="P34" s="609"/>
      <c r="Q34" s="611"/>
      <c r="R34" s="609"/>
      <c r="S34" s="611"/>
      <c r="T34" s="609"/>
      <c r="U34" s="611"/>
      <c r="V34" s="609"/>
      <c r="W34" s="611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48">
        <v>6252</v>
      </c>
      <c r="AJ34" s="96"/>
      <c r="AK34" s="4"/>
      <c r="AL34" s="82">
        <v>33296</v>
      </c>
      <c r="AM34" s="14">
        <f t="shared" si="2"/>
        <v>5.3256557901471533</v>
      </c>
      <c r="AN34" s="82">
        <v>16126</v>
      </c>
      <c r="AO34" s="14">
        <f t="shared" si="2"/>
        <v>2.5793346129238643</v>
      </c>
      <c r="AP34" s="82">
        <v>16536</v>
      </c>
      <c r="AQ34" s="14">
        <f t="shared" si="26"/>
        <v>2.6449136276391556</v>
      </c>
      <c r="AR34" s="82">
        <v>15591</v>
      </c>
      <c r="AS34" s="14">
        <f t="shared" si="26"/>
        <v>2.4937619961612283</v>
      </c>
      <c r="AT34" s="82">
        <v>15851</v>
      </c>
      <c r="AU34" s="14">
        <f t="shared" si="26"/>
        <v>2.5353486884197056</v>
      </c>
      <c r="AV34" s="82">
        <v>15658</v>
      </c>
      <c r="AW34" s="14">
        <f t="shared" si="26"/>
        <v>2.5044785668586051</v>
      </c>
      <c r="AX34" s="82">
        <v>15381</v>
      </c>
      <c r="AY34" s="14">
        <f t="shared" si="26"/>
        <v>2.4601727447216892</v>
      </c>
      <c r="AZ34" s="82">
        <v>9955</v>
      </c>
      <c r="BA34" s="82"/>
      <c r="BB34" s="2">
        <v>9081</v>
      </c>
      <c r="BC34" s="14">
        <f t="shared" si="31"/>
        <v>1.4524952015355086</v>
      </c>
      <c r="BD34" s="2">
        <v>3011</v>
      </c>
      <c r="BE34" s="14">
        <f t="shared" si="31"/>
        <v>0.48160588611644273</v>
      </c>
      <c r="BF34" s="2">
        <v>3016</v>
      </c>
      <c r="BG34" s="14">
        <f t="shared" si="31"/>
        <v>0.48240563019833654</v>
      </c>
      <c r="BH34" s="2">
        <v>3014</v>
      </c>
      <c r="BI34" s="14">
        <f t="shared" si="31"/>
        <v>0.48208573256557902</v>
      </c>
      <c r="BK34" s="10">
        <v>3016</v>
      </c>
      <c r="BL34" s="14">
        <f t="shared" si="35"/>
        <v>0.48240563019833654</v>
      </c>
      <c r="BM34" s="10">
        <v>3001</v>
      </c>
      <c r="BN34" s="14">
        <f t="shared" si="36"/>
        <v>0.48000639795265515</v>
      </c>
      <c r="BO34" s="10">
        <v>11735</v>
      </c>
      <c r="BP34" s="14">
        <f t="shared" si="36"/>
        <v>1.8769993602047346</v>
      </c>
      <c r="BQ34" s="10">
        <v>11939</v>
      </c>
      <c r="BR34" s="14">
        <f t="shared" si="36"/>
        <v>1.9096289187460014</v>
      </c>
      <c r="BS34" s="10">
        <v>11640</v>
      </c>
      <c r="BT34" s="14">
        <f t="shared" si="36"/>
        <v>1.8618042226487523</v>
      </c>
      <c r="BU34" s="10">
        <v>12070</v>
      </c>
      <c r="BV34" s="14">
        <f t="shared" si="36"/>
        <v>1.9305822136916186</v>
      </c>
      <c r="BW34" s="10">
        <v>11865</v>
      </c>
      <c r="BX34" s="14">
        <f t="shared" si="36"/>
        <v>1.8977927063339732</v>
      </c>
      <c r="BY34" s="10">
        <v>11535</v>
      </c>
      <c r="BZ34" s="14">
        <f t="shared" si="36"/>
        <v>1.8450095969289828</v>
      </c>
      <c r="CA34" s="10">
        <v>11390</v>
      </c>
      <c r="CB34" s="14">
        <f t="shared" si="36"/>
        <v>1.8218170185540628</v>
      </c>
      <c r="CC34" s="10">
        <v>11301</v>
      </c>
      <c r="CD34" s="14">
        <f t="shared" si="44"/>
        <v>1.8075815738963532</v>
      </c>
      <c r="CE34" s="10">
        <v>10988</v>
      </c>
      <c r="CF34" s="14">
        <f t="shared" si="44"/>
        <v>1.7575175943698016</v>
      </c>
      <c r="CG34" s="10">
        <v>11485</v>
      </c>
      <c r="CH34" s="14">
        <f t="shared" si="44"/>
        <v>1.8370121561100448</v>
      </c>
      <c r="CI34" s="10">
        <v>11082</v>
      </c>
      <c r="CJ34" s="14">
        <f t="shared" si="44"/>
        <v>1.772552783109405</v>
      </c>
      <c r="CK34" s="10">
        <v>15056</v>
      </c>
      <c r="CL34" s="14">
        <f t="shared" si="44"/>
        <v>2.4081893793985922</v>
      </c>
      <c r="CM34" s="1980">
        <v>0</v>
      </c>
      <c r="CN34" s="14">
        <f t="shared" si="44"/>
        <v>0</v>
      </c>
      <c r="CP34" s="14">
        <f t="shared" si="44"/>
        <v>0</v>
      </c>
      <c r="CR34" s="14">
        <f t="shared" si="44"/>
        <v>0</v>
      </c>
      <c r="CT34" s="14">
        <f t="shared" si="52"/>
        <v>0</v>
      </c>
      <c r="CV34" s="14">
        <f t="shared" si="53"/>
        <v>0</v>
      </c>
      <c r="CX34" s="14">
        <f t="shared" si="54"/>
        <v>0</v>
      </c>
    </row>
    <row r="35" spans="1:109" s="10" customFormat="1" ht="16.5" customHeight="1">
      <c r="A35" s="119">
        <v>37</v>
      </c>
      <c r="B35" s="3664" t="s">
        <v>134</v>
      </c>
      <c r="C35" s="121" t="str">
        <f t="shared" si="55"/>
        <v>{"username":"Bern.Sachbearbeiterin@diartis.ch","password":"XXxa22?pdTA66-S@"}</v>
      </c>
      <c r="D35" s="82"/>
      <c r="E35" s="83" t="str">
        <f t="shared" si="56"/>
        <v>{"username":"Bern.Sachbearbeiterin@diartis.ch","password":"XXxa22?pdTA66-S@"}</v>
      </c>
      <c r="F35" s="609" t="s">
        <v>29</v>
      </c>
      <c r="G35" s="617" t="s">
        <v>30</v>
      </c>
      <c r="H35" s="609" t="s">
        <v>31</v>
      </c>
      <c r="I35" s="618" t="s">
        <v>32</v>
      </c>
      <c r="J35" s="609" t="s">
        <v>37</v>
      </c>
      <c r="K35" s="614"/>
      <c r="L35" s="609"/>
      <c r="M35" s="611"/>
      <c r="N35" s="609"/>
      <c r="O35" s="611"/>
      <c r="P35" s="609"/>
      <c r="Q35" s="611"/>
      <c r="R35" s="609"/>
      <c r="S35" s="611"/>
      <c r="T35" s="609"/>
      <c r="U35" s="611"/>
      <c r="V35" s="609"/>
      <c r="W35" s="611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48">
        <v>3004</v>
      </c>
      <c r="AJ35" s="96"/>
      <c r="AK35" s="4"/>
      <c r="AL35" s="82">
        <v>3008</v>
      </c>
      <c r="AM35" s="14">
        <f t="shared" si="2"/>
        <v>1.0013315579227697</v>
      </c>
      <c r="AN35" s="82">
        <v>3006</v>
      </c>
      <c r="AO35" s="14">
        <f t="shared" si="2"/>
        <v>1.0006657789613849</v>
      </c>
      <c r="AP35" s="82">
        <v>3006</v>
      </c>
      <c r="AQ35" s="14">
        <f t="shared" si="26"/>
        <v>1.0006657789613849</v>
      </c>
      <c r="AR35" s="82">
        <v>3010</v>
      </c>
      <c r="AS35" s="14">
        <f t="shared" si="26"/>
        <v>1.0019973368841544</v>
      </c>
      <c r="AT35" s="82">
        <v>3018</v>
      </c>
      <c r="AU35" s="14">
        <f t="shared" si="26"/>
        <v>1.0046604527296938</v>
      </c>
      <c r="AV35" s="82">
        <v>3006</v>
      </c>
      <c r="AW35" s="14">
        <f t="shared" si="26"/>
        <v>1.0006657789613849</v>
      </c>
      <c r="AX35" s="82">
        <v>3008</v>
      </c>
      <c r="AY35" s="14">
        <f t="shared" si="26"/>
        <v>1.0013315579227697</v>
      </c>
      <c r="AZ35" s="82">
        <v>3007</v>
      </c>
      <c r="BA35" s="82"/>
      <c r="BB35" s="2">
        <v>3008</v>
      </c>
      <c r="BC35" s="14">
        <f t="shared" si="31"/>
        <v>1.0013315579227697</v>
      </c>
      <c r="BD35" s="2">
        <v>9135</v>
      </c>
      <c r="BE35" s="14">
        <f t="shared" si="31"/>
        <v>3.0409454061251666</v>
      </c>
      <c r="BF35" s="2">
        <v>8411</v>
      </c>
      <c r="BG35" s="14">
        <f t="shared" si="31"/>
        <v>2.7999334221038614</v>
      </c>
      <c r="BH35" s="2">
        <v>9333</v>
      </c>
      <c r="BI35" s="14">
        <f t="shared" si="31"/>
        <v>3.1068575233022635</v>
      </c>
      <c r="BK35" s="10">
        <v>9239</v>
      </c>
      <c r="BL35" s="14">
        <f t="shared" si="35"/>
        <v>3.075565912117177</v>
      </c>
      <c r="BM35" s="10">
        <v>9147</v>
      </c>
      <c r="BN35" s="14">
        <f t="shared" si="36"/>
        <v>3.0449400798934754</v>
      </c>
      <c r="BO35" s="10">
        <v>9040</v>
      </c>
      <c r="BP35" s="14">
        <f t="shared" si="36"/>
        <v>3.0093209054593877</v>
      </c>
      <c r="BQ35" s="10">
        <v>9123</v>
      </c>
      <c r="BR35" s="14">
        <f t="shared" si="36"/>
        <v>3.0369507323568574</v>
      </c>
      <c r="BS35" s="10">
        <v>8586</v>
      </c>
      <c r="BT35" s="14">
        <f t="shared" si="36"/>
        <v>2.8581890812250332</v>
      </c>
      <c r="BU35" s="10">
        <v>9534</v>
      </c>
      <c r="BV35" s="14">
        <f t="shared" si="36"/>
        <v>3.1737683089214381</v>
      </c>
      <c r="BW35" s="10">
        <v>9301</v>
      </c>
      <c r="BX35" s="14">
        <f t="shared" si="36"/>
        <v>3.0962050599201065</v>
      </c>
      <c r="BY35" s="10">
        <v>8449</v>
      </c>
      <c r="BZ35" s="14">
        <f t="shared" si="36"/>
        <v>2.812583222370173</v>
      </c>
      <c r="CA35" s="10">
        <v>9063</v>
      </c>
      <c r="CB35" s="14">
        <f t="shared" si="36"/>
        <v>3.0169773635153128</v>
      </c>
      <c r="CC35" s="10">
        <v>9298</v>
      </c>
      <c r="CD35" s="14">
        <f t="shared" si="44"/>
        <v>3.0952063914780292</v>
      </c>
      <c r="CE35" s="10">
        <v>8311</v>
      </c>
      <c r="CF35" s="14">
        <f t="shared" si="44"/>
        <v>2.7666444740346203</v>
      </c>
      <c r="CG35" s="10">
        <v>9275</v>
      </c>
      <c r="CH35" s="14">
        <f t="shared" si="44"/>
        <v>3.0875499334221037</v>
      </c>
      <c r="CI35" s="10">
        <v>8399</v>
      </c>
      <c r="CJ35" s="14">
        <f t="shared" si="44"/>
        <v>2.7959387483355527</v>
      </c>
      <c r="CK35" s="10">
        <v>10005</v>
      </c>
      <c r="CL35" s="14">
        <f t="shared" si="44"/>
        <v>3.3305592543275631</v>
      </c>
      <c r="CM35" s="10">
        <v>172</v>
      </c>
      <c r="CN35" s="14">
        <f t="shared" si="44"/>
        <v>5.7256990679094538E-2</v>
      </c>
      <c r="CP35" s="14">
        <f t="shared" si="44"/>
        <v>0</v>
      </c>
      <c r="CQ35" s="10">
        <v>294017</v>
      </c>
      <c r="CR35" s="14">
        <f t="shared" si="44"/>
        <v>97.875166444740344</v>
      </c>
      <c r="CS35" s="10">
        <v>118678</v>
      </c>
      <c r="CT35" s="14">
        <f t="shared" si="52"/>
        <v>39.506657789613847</v>
      </c>
      <c r="CU35" s="10">
        <v>14585</v>
      </c>
      <c r="CV35" s="14">
        <f t="shared" si="53"/>
        <v>4.8551930758988018</v>
      </c>
      <c r="CW35" s="10">
        <v>10114</v>
      </c>
      <c r="CX35" s="14">
        <f t="shared" si="54"/>
        <v>3.3668442077230361</v>
      </c>
      <c r="CY35" s="10">
        <v>10975</v>
      </c>
      <c r="DA35" s="10">
        <v>9055</v>
      </c>
      <c r="DC35" s="10">
        <v>11049</v>
      </c>
      <c r="DE35" s="10">
        <v>9630</v>
      </c>
    </row>
    <row r="36" spans="1:109" s="10" customFormat="1" ht="16.5" customHeight="1">
      <c r="A36" s="119">
        <v>39</v>
      </c>
      <c r="B36" s="3665" t="s">
        <v>197</v>
      </c>
      <c r="C36" s="121" t="str">
        <f>E36</f>
        <v>{"dossier":p.DossierName1,"buttonName":"Prüfung OK","checkStatus":"In Bearbeitung"}</v>
      </c>
      <c r="D36" s="82"/>
      <c r="E36" s="83" t="str">
        <f t="shared" si="56"/>
        <v>{"dossier":p.DossierName1,"buttonName":"Prüfung OK","checkStatus":"In Bearbeitung"}</v>
      </c>
      <c r="F36" s="609" t="s">
        <v>159</v>
      </c>
      <c r="G36" s="611" t="str">
        <f>'001x'!$G$11</f>
        <v>p.DossierName1</v>
      </c>
      <c r="H36" s="609" t="s">
        <v>198</v>
      </c>
      <c r="I36" s="611" t="s">
        <v>199</v>
      </c>
      <c r="J36" s="609" t="s">
        <v>132</v>
      </c>
      <c r="K36" s="611" t="s">
        <v>133</v>
      </c>
      <c r="L36" s="609" t="s">
        <v>37</v>
      </c>
      <c r="M36" s="611"/>
      <c r="N36" s="609"/>
      <c r="O36" s="611"/>
      <c r="P36" s="609"/>
      <c r="Q36" s="611"/>
      <c r="R36" s="609"/>
      <c r="S36" s="611"/>
      <c r="T36" s="609"/>
      <c r="U36" s="611"/>
      <c r="V36" s="609"/>
      <c r="W36" s="611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48">
        <v>4023</v>
      </c>
      <c r="AJ36" s="96"/>
      <c r="AK36" s="4"/>
      <c r="AL36" s="82">
        <v>4008</v>
      </c>
      <c r="AM36" s="14">
        <f t="shared" si="2"/>
        <v>0.99627143922445938</v>
      </c>
      <c r="AN36" s="82">
        <v>4008</v>
      </c>
      <c r="AO36" s="14">
        <f t="shared" si="2"/>
        <v>0.99627143922445938</v>
      </c>
      <c r="AP36" s="82">
        <v>4007</v>
      </c>
      <c r="AQ36" s="14">
        <f t="shared" si="26"/>
        <v>0.99602286850609001</v>
      </c>
      <c r="AR36" s="82">
        <v>4006</v>
      </c>
      <c r="AS36" s="14">
        <f t="shared" si="26"/>
        <v>0.99577429778772064</v>
      </c>
      <c r="AT36" s="82">
        <v>4029</v>
      </c>
      <c r="AU36" s="14">
        <f t="shared" si="26"/>
        <v>1.0014914243102162</v>
      </c>
      <c r="AV36" s="82">
        <v>4009</v>
      </c>
      <c r="AW36" s="14">
        <f t="shared" si="26"/>
        <v>0.99652000994282874</v>
      </c>
      <c r="AX36" s="82">
        <v>4006</v>
      </c>
      <c r="AY36" s="14">
        <f t="shared" si="26"/>
        <v>0.99577429778772064</v>
      </c>
      <c r="AZ36" s="82">
        <v>4010</v>
      </c>
      <c r="BA36" s="82"/>
      <c r="BB36" s="2">
        <v>4000</v>
      </c>
      <c r="BC36" s="14">
        <f t="shared" si="31"/>
        <v>0.99428287347750433</v>
      </c>
      <c r="BD36" s="2">
        <v>4016</v>
      </c>
      <c r="BE36" s="14">
        <f t="shared" si="31"/>
        <v>0.99826000497141432</v>
      </c>
      <c r="BF36" s="2">
        <v>4007</v>
      </c>
      <c r="BG36" s="14">
        <f t="shared" si="31"/>
        <v>0.99602286850609001</v>
      </c>
      <c r="BH36" s="2">
        <v>4008</v>
      </c>
      <c r="BI36" s="14">
        <f t="shared" si="31"/>
        <v>0.99627143922445938</v>
      </c>
      <c r="BK36" s="10">
        <v>4011</v>
      </c>
      <c r="BL36" s="14">
        <f t="shared" si="35"/>
        <v>0.99701715137956748</v>
      </c>
      <c r="BM36" s="10">
        <v>4008</v>
      </c>
      <c r="BN36" s="14">
        <f t="shared" si="36"/>
        <v>0.99627143922445938</v>
      </c>
      <c r="BO36" s="10">
        <v>10990</v>
      </c>
      <c r="BP36" s="14">
        <f t="shared" si="36"/>
        <v>2.7317921948794432</v>
      </c>
      <c r="BQ36" s="10">
        <v>10413</v>
      </c>
      <c r="BR36" s="14">
        <f t="shared" si="36"/>
        <v>2.5883668903803132</v>
      </c>
      <c r="BS36" s="10">
        <v>11494</v>
      </c>
      <c r="BT36" s="14">
        <f t="shared" si="36"/>
        <v>2.8570718369376089</v>
      </c>
      <c r="BU36" s="10">
        <v>11609</v>
      </c>
      <c r="BV36" s="14">
        <f t="shared" si="36"/>
        <v>2.885657469550087</v>
      </c>
      <c r="BW36" s="10">
        <v>10326</v>
      </c>
      <c r="BX36" s="14">
        <f t="shared" si="36"/>
        <v>2.5667412378821775</v>
      </c>
      <c r="BY36" s="10">
        <v>10779</v>
      </c>
      <c r="BZ36" s="14">
        <f t="shared" si="36"/>
        <v>2.679343773303505</v>
      </c>
      <c r="CA36" s="10">
        <v>10140</v>
      </c>
      <c r="CB36" s="14">
        <f t="shared" si="36"/>
        <v>2.5205070842654735</v>
      </c>
      <c r="CC36" s="10">
        <v>10588</v>
      </c>
      <c r="CD36" s="14">
        <f t="shared" si="44"/>
        <v>2.6318667660949542</v>
      </c>
      <c r="CE36" s="10">
        <v>11170</v>
      </c>
      <c r="CF36" s="14">
        <f t="shared" si="44"/>
        <v>2.7765349241859307</v>
      </c>
      <c r="CG36" s="10">
        <v>9876</v>
      </c>
      <c r="CH36" s="14">
        <f t="shared" si="44"/>
        <v>2.4548844146159583</v>
      </c>
      <c r="CI36" s="10">
        <v>10803</v>
      </c>
      <c r="CJ36" s="14">
        <f t="shared" si="44"/>
        <v>2.6853094705443699</v>
      </c>
      <c r="CK36" s="10">
        <v>12080</v>
      </c>
      <c r="CL36" s="14">
        <f t="shared" si="44"/>
        <v>3.0027342779020629</v>
      </c>
      <c r="CN36" s="14">
        <f t="shared" si="44"/>
        <v>0</v>
      </c>
      <c r="CP36" s="14">
        <f t="shared" si="44"/>
        <v>0</v>
      </c>
      <c r="CQ36" s="10">
        <v>10252</v>
      </c>
      <c r="CR36" s="14">
        <f t="shared" si="44"/>
        <v>2.5483470047228436</v>
      </c>
      <c r="CS36" s="10">
        <v>8710</v>
      </c>
      <c r="CT36" s="14">
        <f t="shared" si="52"/>
        <v>2.1650509569972658</v>
      </c>
      <c r="CU36" s="10">
        <v>8455</v>
      </c>
      <c r="CV36" s="14">
        <f t="shared" si="53"/>
        <v>2.101665423813075</v>
      </c>
      <c r="CW36" s="10">
        <v>8964</v>
      </c>
      <c r="CX36" s="14">
        <f t="shared" si="54"/>
        <v>2.2281879194630871</v>
      </c>
      <c r="CY36" s="10">
        <v>16278</v>
      </c>
      <c r="DA36" s="10">
        <v>15438</v>
      </c>
      <c r="DC36" s="10">
        <v>10657</v>
      </c>
      <c r="DE36" s="10">
        <v>11446</v>
      </c>
    </row>
    <row r="37" spans="1:109" s="10" customFormat="1" ht="16.5" customHeight="1">
      <c r="A37" s="119">
        <v>40</v>
      </c>
      <c r="B37" s="3664" t="s">
        <v>134</v>
      </c>
      <c r="C37" s="121" t="str">
        <f t="shared" si="55"/>
        <v>{"username":"aventis-gemeinde-ma@diartis.ch","password":"#xFymiADPk7wJG/FWMz"}</v>
      </c>
      <c r="D37" s="82"/>
      <c r="E37" s="83" t="str">
        <f t="shared" si="56"/>
        <v>{"username":"aventis-gemeinde-ma@diartis.ch","password":"#xFymiADPk7wJG/FWMz"}</v>
      </c>
      <c r="F37" s="609" t="s">
        <v>29</v>
      </c>
      <c r="G37" s="617" t="s">
        <v>195</v>
      </c>
      <c r="H37" s="609" t="s">
        <v>31</v>
      </c>
      <c r="I37" s="618" t="s">
        <v>196</v>
      </c>
      <c r="J37" s="609" t="s">
        <v>37</v>
      </c>
      <c r="K37" s="614"/>
      <c r="L37" s="609"/>
      <c r="M37" s="611"/>
      <c r="N37" s="609"/>
      <c r="O37" s="611"/>
      <c r="P37" s="609"/>
      <c r="Q37" s="611"/>
      <c r="R37" s="609"/>
      <c r="S37" s="611"/>
      <c r="T37" s="609"/>
      <c r="U37" s="611"/>
      <c r="V37" s="609"/>
      <c r="W37" s="611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48">
        <v>6252</v>
      </c>
      <c r="AJ37" s="96"/>
      <c r="AK37" s="4"/>
      <c r="AL37" s="82">
        <v>33296</v>
      </c>
      <c r="AM37" s="14">
        <f t="shared" si="2"/>
        <v>5.3256557901471533</v>
      </c>
      <c r="AN37" s="82">
        <v>16126</v>
      </c>
      <c r="AO37" s="14">
        <f t="shared" si="2"/>
        <v>2.5793346129238643</v>
      </c>
      <c r="AP37" s="82">
        <v>16536</v>
      </c>
      <c r="AQ37" s="14">
        <f t="shared" si="26"/>
        <v>2.6449136276391556</v>
      </c>
      <c r="AR37" s="82">
        <v>15591</v>
      </c>
      <c r="AS37" s="14">
        <f t="shared" si="26"/>
        <v>2.4937619961612283</v>
      </c>
      <c r="AT37" s="82">
        <v>15851</v>
      </c>
      <c r="AU37" s="14">
        <f t="shared" si="26"/>
        <v>2.5353486884197056</v>
      </c>
      <c r="AV37" s="82">
        <v>15658</v>
      </c>
      <c r="AW37" s="14">
        <f t="shared" si="26"/>
        <v>2.5044785668586051</v>
      </c>
      <c r="AX37" s="82">
        <v>15381</v>
      </c>
      <c r="AY37" s="14">
        <f t="shared" si="26"/>
        <v>2.4601727447216892</v>
      </c>
      <c r="AZ37" s="82">
        <v>9955</v>
      </c>
      <c r="BA37" s="82"/>
      <c r="BB37" s="2">
        <v>9081</v>
      </c>
      <c r="BC37" s="14">
        <f t="shared" si="31"/>
        <v>1.4524952015355086</v>
      </c>
      <c r="BD37" s="2">
        <v>7798</v>
      </c>
      <c r="BE37" s="14">
        <f t="shared" si="31"/>
        <v>1.2472808701215612</v>
      </c>
      <c r="BF37" s="2">
        <v>8041</v>
      </c>
      <c r="BG37" s="14">
        <f t="shared" si="31"/>
        <v>1.2861484325015995</v>
      </c>
      <c r="BH37" s="2">
        <v>7717</v>
      </c>
      <c r="BI37" s="14">
        <f t="shared" si="31"/>
        <v>1.2343250159948815</v>
      </c>
      <c r="BK37" s="10">
        <v>7691</v>
      </c>
      <c r="BL37" s="14">
        <f t="shared" si="35"/>
        <v>1.2301663467690338</v>
      </c>
      <c r="BM37" s="10">
        <v>8688</v>
      </c>
      <c r="BN37" s="14">
        <f t="shared" si="36"/>
        <v>1.3896353166986564</v>
      </c>
      <c r="BO37" s="10">
        <v>8810</v>
      </c>
      <c r="BP37" s="14">
        <f t="shared" si="36"/>
        <v>1.4091490722968649</v>
      </c>
      <c r="BQ37" s="10">
        <v>9187</v>
      </c>
      <c r="BR37" s="14">
        <f t="shared" si="36"/>
        <v>1.4694497760716572</v>
      </c>
      <c r="BS37" s="10">
        <v>8930</v>
      </c>
      <c r="BT37" s="14">
        <f t="shared" si="36"/>
        <v>1.4283429302623161</v>
      </c>
      <c r="BU37" s="10">
        <v>9653</v>
      </c>
      <c r="BV37" s="14">
        <f t="shared" si="36"/>
        <v>1.5439859245041587</v>
      </c>
      <c r="BW37" s="10">
        <v>9271</v>
      </c>
      <c r="BX37" s="14">
        <f t="shared" si="36"/>
        <v>1.4828854766474728</v>
      </c>
      <c r="BY37" s="10">
        <v>9605</v>
      </c>
      <c r="BZ37" s="14">
        <f t="shared" si="36"/>
        <v>1.5363083813179783</v>
      </c>
      <c r="CA37" s="10">
        <v>8290</v>
      </c>
      <c r="CB37" s="14">
        <f t="shared" si="36"/>
        <v>1.3259756877799105</v>
      </c>
      <c r="CC37" s="10">
        <v>8678</v>
      </c>
      <c r="CD37" s="14">
        <f t="shared" si="44"/>
        <v>1.3880358285348688</v>
      </c>
      <c r="CE37" s="10">
        <v>6401</v>
      </c>
      <c r="CF37" s="14">
        <f t="shared" si="44"/>
        <v>1.0238323736404351</v>
      </c>
      <c r="CG37" s="10">
        <v>5987</v>
      </c>
      <c r="CH37" s="14">
        <f t="shared" si="44"/>
        <v>0.95761356365962891</v>
      </c>
      <c r="CI37" s="10">
        <v>6089</v>
      </c>
      <c r="CJ37" s="14">
        <f t="shared" si="44"/>
        <v>0.97392834293026231</v>
      </c>
      <c r="CK37" s="10">
        <v>13086</v>
      </c>
      <c r="CL37" s="14">
        <f t="shared" si="44"/>
        <v>2.0930902111324374</v>
      </c>
      <c r="CN37" s="14">
        <f t="shared" si="44"/>
        <v>0</v>
      </c>
      <c r="CP37" s="14">
        <f t="shared" si="44"/>
        <v>0</v>
      </c>
      <c r="CQ37" s="10">
        <v>12221</v>
      </c>
      <c r="CR37" s="14">
        <f t="shared" si="44"/>
        <v>1.9547344849648112</v>
      </c>
      <c r="CS37" s="10">
        <v>12586</v>
      </c>
      <c r="CT37" s="14">
        <f t="shared" si="52"/>
        <v>2.0131158029430583</v>
      </c>
      <c r="CU37" s="10">
        <v>7078</v>
      </c>
      <c r="CV37" s="14">
        <f t="shared" si="53"/>
        <v>1.1321177223288548</v>
      </c>
      <c r="CW37" s="10">
        <v>11049</v>
      </c>
      <c r="CX37" s="14">
        <f t="shared" si="54"/>
        <v>1.767274472168906</v>
      </c>
      <c r="CY37" s="10">
        <v>9727</v>
      </c>
      <c r="DA37" s="10">
        <v>7582</v>
      </c>
      <c r="DC37" s="10">
        <v>6993</v>
      </c>
      <c r="DE37" s="10">
        <v>7672</v>
      </c>
    </row>
    <row r="38" spans="1:109" s="10" customFormat="1" ht="16.5" customHeight="1">
      <c r="A38" s="119">
        <v>42</v>
      </c>
      <c r="B38" s="3665" t="s">
        <v>197</v>
      </c>
      <c r="C38" s="121" t="str">
        <f t="shared" si="55"/>
        <v>{"dossier":p.DossierName1,"buttonName":"Bewilligen","checkStatus":"Bewilligt"}</v>
      </c>
      <c r="D38" s="82"/>
      <c r="E38" s="83" t="str">
        <f t="shared" si="56"/>
        <v>{"dossier":p.DossierName1,"buttonName":"Bewilligen","checkStatus":"Bewilligt"}</v>
      </c>
      <c r="F38" s="609" t="s">
        <v>159</v>
      </c>
      <c r="G38" s="611" t="str">
        <f>'001x'!$G$11</f>
        <v>p.DossierName1</v>
      </c>
      <c r="H38" s="609" t="s">
        <v>198</v>
      </c>
      <c r="I38" s="611" t="s">
        <v>136</v>
      </c>
      <c r="J38" s="609" t="s">
        <v>132</v>
      </c>
      <c r="K38" s="609" t="s">
        <v>137</v>
      </c>
      <c r="L38" s="609" t="s">
        <v>37</v>
      </c>
      <c r="M38" s="611"/>
      <c r="N38" s="609"/>
      <c r="O38" s="611"/>
      <c r="P38" s="609"/>
      <c r="Q38" s="611"/>
      <c r="R38" s="609"/>
      <c r="S38" s="611"/>
      <c r="T38" s="609"/>
      <c r="U38" s="611"/>
      <c r="V38" s="609"/>
      <c r="W38" s="611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48">
        <v>4015</v>
      </c>
      <c r="AJ38" s="96"/>
      <c r="AK38" s="4"/>
      <c r="AL38" s="82">
        <v>4015</v>
      </c>
      <c r="AM38" s="14">
        <f t="shared" si="2"/>
        <v>1</v>
      </c>
      <c r="AN38" s="82">
        <v>4016</v>
      </c>
      <c r="AO38" s="14">
        <f t="shared" si="2"/>
        <v>1.0002490660024907</v>
      </c>
      <c r="AP38" s="82">
        <v>4005</v>
      </c>
      <c r="AQ38" s="14">
        <f t="shared" si="26"/>
        <v>0.99750933997509339</v>
      </c>
      <c r="AR38" s="82">
        <v>4029</v>
      </c>
      <c r="AS38" s="14">
        <f t="shared" si="26"/>
        <v>1.0034869240348692</v>
      </c>
      <c r="AT38" s="82">
        <v>4014</v>
      </c>
      <c r="AU38" s="14">
        <f t="shared" si="26"/>
        <v>0.99975093399750936</v>
      </c>
      <c r="AV38" s="82">
        <v>4019</v>
      </c>
      <c r="AW38" s="14">
        <f t="shared" si="26"/>
        <v>1.0009962640099626</v>
      </c>
      <c r="AX38" s="82">
        <v>4005</v>
      </c>
      <c r="AY38" s="14">
        <f t="shared" si="26"/>
        <v>0.99750933997509339</v>
      </c>
      <c r="AZ38" s="82">
        <v>4020</v>
      </c>
      <c r="BA38" s="82"/>
      <c r="BB38" s="2">
        <v>4018</v>
      </c>
      <c r="BC38" s="14">
        <f t="shared" si="31"/>
        <v>1.000747198007472</v>
      </c>
      <c r="BD38" s="2">
        <v>4009</v>
      </c>
      <c r="BE38" s="14">
        <f t="shared" si="31"/>
        <v>0.99850560398505606</v>
      </c>
      <c r="BF38" s="2">
        <v>4010</v>
      </c>
      <c r="BG38" s="14">
        <f t="shared" si="31"/>
        <v>0.99875466998754669</v>
      </c>
      <c r="BH38" s="2">
        <v>4010</v>
      </c>
      <c r="BI38" s="14">
        <f t="shared" si="31"/>
        <v>0.99875466998754669</v>
      </c>
      <c r="BK38" s="10">
        <v>4014</v>
      </c>
      <c r="BL38" s="14">
        <f t="shared" si="35"/>
        <v>0.99975093399750936</v>
      </c>
      <c r="BM38" s="10">
        <v>4012</v>
      </c>
      <c r="BN38" s="14">
        <f t="shared" si="36"/>
        <v>0.99925280199252797</v>
      </c>
      <c r="BO38" s="10">
        <v>9980</v>
      </c>
      <c r="BP38" s="14">
        <f t="shared" si="36"/>
        <v>2.4856787048567872</v>
      </c>
      <c r="BQ38" s="10">
        <v>10493</v>
      </c>
      <c r="BR38" s="14">
        <f t="shared" si="36"/>
        <v>2.6134495641344957</v>
      </c>
      <c r="BS38" s="10">
        <v>10367</v>
      </c>
      <c r="BT38" s="14">
        <f t="shared" si="36"/>
        <v>2.5820672478206723</v>
      </c>
      <c r="BU38" s="10">
        <v>10616</v>
      </c>
      <c r="BV38" s="14">
        <f t="shared" si="36"/>
        <v>2.6440846824408468</v>
      </c>
      <c r="BW38" s="10">
        <v>10513</v>
      </c>
      <c r="BX38" s="14">
        <f t="shared" si="36"/>
        <v>2.6184308841843089</v>
      </c>
      <c r="BY38" s="10">
        <v>10520</v>
      </c>
      <c r="BZ38" s="14">
        <f t="shared" si="36"/>
        <v>2.6201743462017433</v>
      </c>
      <c r="CA38" s="10">
        <v>10214</v>
      </c>
      <c r="CB38" s="14">
        <f t="shared" si="36"/>
        <v>2.5439601494396014</v>
      </c>
      <c r="CC38" s="10">
        <v>9895</v>
      </c>
      <c r="CD38" s="14">
        <f t="shared" si="44"/>
        <v>2.464508094645081</v>
      </c>
      <c r="CE38" s="10">
        <v>10367</v>
      </c>
      <c r="CF38" s="14">
        <f t="shared" si="44"/>
        <v>2.5820672478206723</v>
      </c>
      <c r="CG38" s="10">
        <v>10142</v>
      </c>
      <c r="CH38" s="14">
        <f t="shared" si="44"/>
        <v>2.526027397260274</v>
      </c>
      <c r="CI38" s="10">
        <v>10162</v>
      </c>
      <c r="CJ38" s="14">
        <f t="shared" si="44"/>
        <v>2.5310087173100873</v>
      </c>
      <c r="CK38" s="10">
        <v>10156</v>
      </c>
      <c r="CL38" s="14">
        <f t="shared" si="44"/>
        <v>2.5295143212951432</v>
      </c>
      <c r="CN38" s="14">
        <f t="shared" si="44"/>
        <v>0</v>
      </c>
      <c r="CP38" s="14">
        <f t="shared" si="44"/>
        <v>0</v>
      </c>
      <c r="CQ38" s="10">
        <v>9521</v>
      </c>
      <c r="CR38" s="14">
        <f t="shared" si="44"/>
        <v>2.3713574097135739</v>
      </c>
      <c r="CS38" s="10">
        <v>9789</v>
      </c>
      <c r="CT38" s="14">
        <f t="shared" si="52"/>
        <v>2.4381070983810709</v>
      </c>
      <c r="CU38" s="10">
        <v>10266</v>
      </c>
      <c r="CV38" s="14">
        <f t="shared" si="53"/>
        <v>2.5569115815691159</v>
      </c>
      <c r="CW38" s="10">
        <v>10182</v>
      </c>
      <c r="CX38" s="14">
        <f t="shared" si="54"/>
        <v>2.5359900373599005</v>
      </c>
      <c r="CY38" s="10">
        <v>15452</v>
      </c>
      <c r="DA38" s="10">
        <v>12039</v>
      </c>
      <c r="DC38" s="10">
        <v>12588</v>
      </c>
      <c r="DE38" s="10">
        <v>11736</v>
      </c>
    </row>
    <row r="39" spans="1:109" s="10" customFormat="1" ht="16.5" customHeight="1" thickBot="1">
      <c r="A39" s="119">
        <v>43</v>
      </c>
      <c r="B39" s="3664" t="s">
        <v>134</v>
      </c>
      <c r="C39" s="121" t="str">
        <f t="shared" si="55"/>
        <v>{"username":"Bern.Sachbearbeiterin@diartis.ch","password":"XXxa22?pdTA66-S@"}</v>
      </c>
      <c r="D39" s="82"/>
      <c r="E39" s="83" t="str">
        <f t="shared" si="56"/>
        <v>{"username":"Bern.Sachbearbeiterin@diartis.ch","password":"XXxa22?pdTA66-S@"}</v>
      </c>
      <c r="F39" s="609" t="s">
        <v>29</v>
      </c>
      <c r="G39" s="617" t="s">
        <v>30</v>
      </c>
      <c r="H39" s="609" t="s">
        <v>31</v>
      </c>
      <c r="I39" s="618" t="s">
        <v>32</v>
      </c>
      <c r="J39" s="609" t="s">
        <v>37</v>
      </c>
      <c r="K39" s="614"/>
      <c r="L39" s="609"/>
      <c r="M39" s="611"/>
      <c r="N39" s="609"/>
      <c r="O39" s="611"/>
      <c r="P39" s="609"/>
      <c r="Q39" s="611"/>
      <c r="R39" s="609"/>
      <c r="S39" s="611"/>
      <c r="T39" s="609"/>
      <c r="U39" s="611"/>
      <c r="V39" s="609"/>
      <c r="W39" s="611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48">
        <v>8327</v>
      </c>
      <c r="AJ39" s="2"/>
      <c r="AK39" s="4"/>
      <c r="AL39" s="82">
        <v>10930</v>
      </c>
      <c r="AM39" s="14">
        <f t="shared" si="2"/>
        <v>1.3125975741563589</v>
      </c>
      <c r="AN39" s="82">
        <v>15882</v>
      </c>
      <c r="AO39" s="14">
        <f t="shared" si="2"/>
        <v>1.9072895400504384</v>
      </c>
      <c r="AP39" s="82">
        <v>16441</v>
      </c>
      <c r="AQ39" s="14">
        <f t="shared" si="26"/>
        <v>1.9744205596253153</v>
      </c>
      <c r="AR39" s="82">
        <v>15637</v>
      </c>
      <c r="AS39" s="14">
        <f t="shared" si="26"/>
        <v>1.8778671790560826</v>
      </c>
      <c r="AT39" s="82">
        <v>15783</v>
      </c>
      <c r="AU39" s="14">
        <f t="shared" si="26"/>
        <v>1.8954005043833313</v>
      </c>
      <c r="AV39" s="82">
        <v>15539</v>
      </c>
      <c r="AW39" s="14">
        <f t="shared" si="26"/>
        <v>1.8660982346583403</v>
      </c>
      <c r="AX39" s="82">
        <v>15242</v>
      </c>
      <c r="AY39" s="14">
        <f t="shared" si="26"/>
        <v>1.8304311276570193</v>
      </c>
      <c r="AZ39" s="82">
        <v>8439</v>
      </c>
      <c r="BA39" s="82"/>
      <c r="BB39" s="2">
        <v>8437</v>
      </c>
      <c r="BC39" s="14">
        <f t="shared" si="31"/>
        <v>1.0132100396301189</v>
      </c>
      <c r="BD39" s="2">
        <v>7603</v>
      </c>
      <c r="BE39" s="14">
        <f t="shared" si="31"/>
        <v>0.91305392097994476</v>
      </c>
      <c r="BF39" s="2">
        <v>8134</v>
      </c>
      <c r="BG39" s="14">
        <f t="shared" si="31"/>
        <v>0.97682238501260954</v>
      </c>
      <c r="BH39" s="2">
        <v>7499</v>
      </c>
      <c r="BI39" s="14">
        <f t="shared" si="31"/>
        <v>0.90056442896601419</v>
      </c>
      <c r="BK39" s="10">
        <v>8307</v>
      </c>
      <c r="BL39" s="14">
        <f t="shared" si="35"/>
        <v>0.99759817461270561</v>
      </c>
      <c r="BM39" s="10">
        <v>8658</v>
      </c>
      <c r="BN39" s="14">
        <f t="shared" si="36"/>
        <v>1.0397502101597214</v>
      </c>
      <c r="BO39" s="10">
        <v>9945</v>
      </c>
      <c r="BP39" s="14">
        <f t="shared" si="36"/>
        <v>1.1943076738321123</v>
      </c>
      <c r="BQ39" s="10">
        <v>9323</v>
      </c>
      <c r="BR39" s="14">
        <f t="shared" si="36"/>
        <v>1.1196109042872584</v>
      </c>
      <c r="BS39" s="10">
        <v>8996</v>
      </c>
      <c r="BT39" s="14">
        <f t="shared" si="36"/>
        <v>1.0803410592049958</v>
      </c>
      <c r="BU39" s="10">
        <v>9115</v>
      </c>
      <c r="BV39" s="14">
        <f t="shared" si="36"/>
        <v>1.094631920259397</v>
      </c>
      <c r="BW39" s="10">
        <v>8727</v>
      </c>
      <c r="BX39" s="14">
        <f t="shared" si="36"/>
        <v>1.0480365077458869</v>
      </c>
      <c r="BY39" s="10">
        <v>8953</v>
      </c>
      <c r="BZ39" s="14">
        <f t="shared" si="36"/>
        <v>1.0751771346223129</v>
      </c>
      <c r="CA39" s="10">
        <v>8692</v>
      </c>
      <c r="CB39" s="14">
        <f t="shared" si="36"/>
        <v>1.0438333133181217</v>
      </c>
      <c r="CC39" s="10">
        <v>8467</v>
      </c>
      <c r="CD39" s="14">
        <f t="shared" si="44"/>
        <v>1.0168127777110605</v>
      </c>
      <c r="CE39" s="10">
        <v>5939</v>
      </c>
      <c r="CF39" s="14">
        <f t="shared" si="44"/>
        <v>0.71322204875705542</v>
      </c>
      <c r="CG39" s="10">
        <v>6203</v>
      </c>
      <c r="CH39" s="14">
        <f t="shared" si="44"/>
        <v>0.74492614386934075</v>
      </c>
      <c r="CI39" s="10">
        <v>6078</v>
      </c>
      <c r="CJ39" s="14">
        <f t="shared" si="44"/>
        <v>0.72991473519875105</v>
      </c>
      <c r="CK39" s="10">
        <v>10719</v>
      </c>
      <c r="CL39" s="14">
        <f t="shared" si="44"/>
        <v>1.2872583163204034</v>
      </c>
      <c r="CN39" s="14">
        <f t="shared" si="44"/>
        <v>0</v>
      </c>
      <c r="CP39" s="14">
        <f t="shared" si="44"/>
        <v>0</v>
      </c>
      <c r="CQ39" s="10">
        <v>11273</v>
      </c>
      <c r="CR39" s="14">
        <f t="shared" si="44"/>
        <v>1.3537888795484567</v>
      </c>
      <c r="CS39" s="10">
        <v>9813</v>
      </c>
      <c r="CT39" s="14">
        <f t="shared" si="52"/>
        <v>1.1784556262759698</v>
      </c>
      <c r="CU39" s="10">
        <v>14108</v>
      </c>
      <c r="CV39" s="14">
        <f t="shared" si="53"/>
        <v>1.6942476281974301</v>
      </c>
      <c r="CW39" s="10">
        <v>11737</v>
      </c>
      <c r="CX39" s="14">
        <f t="shared" si="54"/>
        <v>1.4095112285336857</v>
      </c>
      <c r="CY39" s="10">
        <v>10053</v>
      </c>
      <c r="DA39" s="10">
        <v>8071</v>
      </c>
      <c r="DC39" s="10">
        <v>7145</v>
      </c>
      <c r="DE39" s="10">
        <v>7390</v>
      </c>
    </row>
    <row r="40" spans="1:109" s="10" customFormat="1" ht="16.5" customHeight="1" thickBot="1">
      <c r="A40" s="119">
        <v>45</v>
      </c>
      <c r="B40" s="3666" t="s">
        <v>139</v>
      </c>
      <c r="C40" s="121" t="str">
        <f>E40</f>
        <v>{"searchDossierOrKlient":p.DossierName1,"resultType":"Dossiers"}</v>
      </c>
      <c r="D40" s="56"/>
      <c r="E40" s="109" t="str">
        <f>F40&amp;G40&amp;H40&amp;I40&amp;J40&amp;K40&amp;L40&amp;M40&amp;N40&amp;O40&amp;P40&amp;Q40&amp;R40&amp;S40&amp;T40&amp;U40&amp;V40&amp;W40&amp;X40</f>
        <v>{"searchDossierOrKlient":p.DossierName1,"resultType":"Dossiers"}</v>
      </c>
      <c r="F40" s="609" t="s">
        <v>140</v>
      </c>
      <c r="G40" s="614" t="str">
        <f>G38</f>
        <v>p.DossierName1</v>
      </c>
      <c r="H40" s="609" t="s">
        <v>141</v>
      </c>
      <c r="I40" s="611" t="s">
        <v>142</v>
      </c>
      <c r="J40" s="609" t="s">
        <v>37</v>
      </c>
      <c r="K40" s="611"/>
      <c r="L40" s="609"/>
      <c r="M40" s="611"/>
      <c r="N40" s="609"/>
      <c r="O40" s="611"/>
      <c r="P40" s="609"/>
      <c r="Q40" s="611"/>
      <c r="R40" s="609"/>
      <c r="S40" s="611"/>
      <c r="T40" s="609"/>
      <c r="U40" s="611"/>
      <c r="V40" s="609"/>
      <c r="W40" s="611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48">
        <v>1012</v>
      </c>
      <c r="AJ40" s="96"/>
      <c r="AK40" s="4"/>
      <c r="AL40" s="56">
        <v>1009</v>
      </c>
      <c r="AM40" s="14">
        <f t="shared" si="2"/>
        <v>0.99703557312252966</v>
      </c>
      <c r="AN40" s="56">
        <v>1002</v>
      </c>
      <c r="AO40" s="14">
        <f t="shared" si="2"/>
        <v>0.99011857707509876</v>
      </c>
      <c r="AP40" s="56">
        <v>1008</v>
      </c>
      <c r="AQ40" s="14">
        <f t="shared" si="26"/>
        <v>0.99604743083003955</v>
      </c>
      <c r="AR40" s="56">
        <v>1015</v>
      </c>
      <c r="AS40" s="14">
        <f t="shared" si="26"/>
        <v>1.0029644268774704</v>
      </c>
      <c r="AT40" s="56">
        <v>1022</v>
      </c>
      <c r="AU40" s="14">
        <f t="shared" si="26"/>
        <v>1.0098814229249011</v>
      </c>
      <c r="AV40" s="56">
        <v>1014</v>
      </c>
      <c r="AW40" s="14">
        <f t="shared" si="26"/>
        <v>1.0019762845849802</v>
      </c>
      <c r="AX40" s="56">
        <v>1009</v>
      </c>
      <c r="AY40" s="14">
        <f t="shared" si="26"/>
        <v>0.99703557312252966</v>
      </c>
      <c r="AZ40" s="56">
        <v>1006</v>
      </c>
      <c r="BA40" s="56"/>
      <c r="BB40" s="2">
        <v>1009</v>
      </c>
      <c r="BC40" s="14">
        <f t="shared" si="31"/>
        <v>0.99703557312252966</v>
      </c>
      <c r="BD40" s="2">
        <v>1006</v>
      </c>
      <c r="BE40" s="14">
        <f t="shared" si="31"/>
        <v>0.99407114624505932</v>
      </c>
      <c r="BF40" s="2">
        <v>1003</v>
      </c>
      <c r="BG40" s="14">
        <f t="shared" si="31"/>
        <v>0.99110671936758898</v>
      </c>
      <c r="BH40" s="2">
        <v>1008</v>
      </c>
      <c r="BI40" s="14">
        <f t="shared" si="31"/>
        <v>0.99604743083003955</v>
      </c>
      <c r="BK40" s="10">
        <v>1009</v>
      </c>
      <c r="BL40" s="14">
        <f t="shared" si="35"/>
        <v>0.99703557312252966</v>
      </c>
      <c r="BM40" s="10">
        <v>1005</v>
      </c>
      <c r="BN40" s="14">
        <f t="shared" si="36"/>
        <v>0.99308300395256921</v>
      </c>
      <c r="BO40" s="10">
        <v>10207</v>
      </c>
      <c r="BP40" s="14">
        <f t="shared" si="36"/>
        <v>10.085968379446641</v>
      </c>
      <c r="BQ40" s="10">
        <v>11158</v>
      </c>
      <c r="BR40" s="14">
        <f t="shared" si="36"/>
        <v>11.025691699604742</v>
      </c>
      <c r="BS40" s="10">
        <v>10099</v>
      </c>
      <c r="BT40" s="14">
        <f t="shared" si="36"/>
        <v>9.9792490118577071</v>
      </c>
      <c r="BU40" s="10">
        <v>11236</v>
      </c>
      <c r="BV40" s="14">
        <f t="shared" si="36"/>
        <v>11.102766798418973</v>
      </c>
      <c r="BW40" s="10">
        <v>11130</v>
      </c>
      <c r="BX40" s="14">
        <f t="shared" si="36"/>
        <v>10.99802371541502</v>
      </c>
      <c r="BY40" s="10">
        <v>10977</v>
      </c>
      <c r="BZ40" s="14">
        <f t="shared" si="36"/>
        <v>10.846837944664031</v>
      </c>
      <c r="CA40" s="10">
        <v>10374</v>
      </c>
      <c r="CB40" s="14">
        <f t="shared" si="36"/>
        <v>10.25098814229249</v>
      </c>
      <c r="CC40" s="10">
        <v>10941</v>
      </c>
      <c r="CD40" s="14">
        <f t="shared" si="44"/>
        <v>10.811264822134387</v>
      </c>
      <c r="CE40" s="10">
        <v>10477</v>
      </c>
      <c r="CF40" s="14">
        <f t="shared" si="44"/>
        <v>10.352766798418973</v>
      </c>
      <c r="CG40" s="10">
        <v>10518</v>
      </c>
      <c r="CH40" s="14">
        <f t="shared" si="44"/>
        <v>10.393280632411066</v>
      </c>
      <c r="CI40" s="10">
        <v>10465</v>
      </c>
      <c r="CJ40" s="14">
        <f t="shared" si="44"/>
        <v>10.340909090909092</v>
      </c>
      <c r="CK40" s="10">
        <v>11244</v>
      </c>
      <c r="CL40" s="14">
        <f t="shared" si="44"/>
        <v>11.110671936758893</v>
      </c>
      <c r="CN40" s="14">
        <f t="shared" si="44"/>
        <v>0</v>
      </c>
      <c r="CP40" s="14">
        <f t="shared" si="44"/>
        <v>0</v>
      </c>
      <c r="CQ40" s="10">
        <v>11653</v>
      </c>
      <c r="CR40" s="14">
        <f t="shared" si="44"/>
        <v>11.514822134387352</v>
      </c>
      <c r="CS40" s="10">
        <v>9535</v>
      </c>
      <c r="CT40" s="14">
        <f t="shared" si="52"/>
        <v>9.4219367588932812</v>
      </c>
      <c r="CU40" s="10">
        <v>10393</v>
      </c>
      <c r="CV40" s="14">
        <f t="shared" si="53"/>
        <v>10.269762845849803</v>
      </c>
      <c r="CW40" s="10">
        <v>11436</v>
      </c>
      <c r="CX40" s="14">
        <f t="shared" si="54"/>
        <v>11.300395256916996</v>
      </c>
      <c r="CY40" s="10">
        <v>14854</v>
      </c>
      <c r="DA40" s="10">
        <v>12940</v>
      </c>
      <c r="DC40" s="10">
        <v>12926</v>
      </c>
      <c r="DE40" s="10">
        <v>14246</v>
      </c>
    </row>
    <row r="41" spans="1:109" s="10" customFormat="1" ht="16.5" customHeight="1" thickBot="1">
      <c r="A41" s="119">
        <v>46</v>
      </c>
      <c r="B41" s="122" t="s">
        <v>200</v>
      </c>
      <c r="C41" s="121" t="str">
        <f ca="1">E41</f>
        <v xml:space="preserve">{"verwendungPeriode":"November 2025,Dezember 2025,Januar 2026,Februar 2026,März 2026,April 2026,Mai 2026","status":"Zu bezahlen"}																				
</v>
      </c>
      <c r="D41" s="82"/>
      <c r="E41" s="109" t="str">
        <f ca="1">F41&amp;G41&amp;H41&amp;I41&amp;J41&amp;K41&amp;L41&amp;M41&amp;N41&amp;O41&amp;P41&amp;Q41&amp;R41&amp;S41&amp;T41&amp;U41&amp;V41&amp;W41&amp;X41</f>
        <v xml:space="preserve">{"verwendungPeriode":"November 2025,Dezember 2025,Januar 2026,Februar 2026,März 2026,April 2026,Mai 2026","status":"Zu bezahlen"}																				
</v>
      </c>
      <c r="F41" s="609" t="s">
        <v>201</v>
      </c>
      <c r="G41" s="615" t="str">
        <f ca="1">F72&amp;","&amp;F73&amp;","&amp;F74&amp;","&amp;F75&amp;","&amp;F76&amp;","&amp;F77&amp;","&amp;F78</f>
        <v>November 2025,Dezember 2025,Januar 2026,Februar 2026,März 2026,April 2026,Mai 2026</v>
      </c>
      <c r="H41" s="609"/>
      <c r="I41" s="613"/>
      <c r="J41" s="609" t="s">
        <v>202</v>
      </c>
      <c r="K41" s="614" t="s">
        <v>203</v>
      </c>
      <c r="L41" s="146" t="s">
        <v>204</v>
      </c>
      <c r="M41" s="611"/>
      <c r="N41" s="609"/>
      <c r="O41" s="609"/>
      <c r="P41" s="611"/>
      <c r="Q41" s="611"/>
      <c r="R41" s="611"/>
      <c r="S41" s="611"/>
      <c r="T41" s="611"/>
      <c r="U41" s="611"/>
      <c r="V41" s="611"/>
      <c r="W41" s="611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48">
        <v>11232</v>
      </c>
      <c r="AJ41" s="96"/>
      <c r="AK41" s="4"/>
      <c r="AL41" s="82">
        <v>11618</v>
      </c>
      <c r="AM41" s="14">
        <f t="shared" si="2"/>
        <v>1.0343660968660968</v>
      </c>
      <c r="AN41" s="82">
        <v>11145</v>
      </c>
      <c r="AO41" s="14">
        <f t="shared" si="2"/>
        <v>0.99225427350427353</v>
      </c>
      <c r="AP41" s="82">
        <v>12036</v>
      </c>
      <c r="AQ41" s="14">
        <f t="shared" si="26"/>
        <v>1.0715811965811965</v>
      </c>
      <c r="AR41" s="82">
        <v>12488</v>
      </c>
      <c r="AS41" s="14">
        <f t="shared" si="26"/>
        <v>1.1118233618233617</v>
      </c>
      <c r="AT41" s="82">
        <v>12291</v>
      </c>
      <c r="AU41" s="14">
        <f t="shared" si="26"/>
        <v>1.094284188034188</v>
      </c>
      <c r="AV41" s="82">
        <v>12147</v>
      </c>
      <c r="AW41" s="14">
        <f t="shared" si="26"/>
        <v>1.0814636752136753</v>
      </c>
      <c r="AX41" s="82">
        <v>12134</v>
      </c>
      <c r="AY41" s="14">
        <f t="shared" si="26"/>
        <v>1.0803062678062678</v>
      </c>
      <c r="AZ41" s="82">
        <v>4979</v>
      </c>
      <c r="BA41" s="82"/>
      <c r="BB41" s="2">
        <v>4073</v>
      </c>
      <c r="BC41" s="14">
        <f t="shared" si="31"/>
        <v>0.36262464387464388</v>
      </c>
      <c r="BD41" s="2">
        <v>4740</v>
      </c>
      <c r="BE41" s="14">
        <f t="shared" si="31"/>
        <v>0.42200854700854701</v>
      </c>
      <c r="BF41" s="2">
        <v>4889</v>
      </c>
      <c r="BG41" s="14">
        <f t="shared" si="31"/>
        <v>0.43527421652421655</v>
      </c>
      <c r="BH41" s="2">
        <v>5343</v>
      </c>
      <c r="BI41" s="14">
        <f t="shared" si="31"/>
        <v>0.47569444444444442</v>
      </c>
      <c r="BK41" s="10">
        <v>5161</v>
      </c>
      <c r="BL41" s="14">
        <f t="shared" si="35"/>
        <v>0.45949074074074076</v>
      </c>
      <c r="BM41" s="10">
        <v>4972</v>
      </c>
      <c r="BN41" s="14">
        <f t="shared" si="36"/>
        <v>0.44266381766381768</v>
      </c>
      <c r="BO41" s="10">
        <v>6113</v>
      </c>
      <c r="BP41" s="14">
        <f t="shared" si="36"/>
        <v>0.54424857549857553</v>
      </c>
      <c r="BQ41" s="10">
        <v>6005</v>
      </c>
      <c r="BR41" s="14">
        <f t="shared" si="36"/>
        <v>0.53463319088319083</v>
      </c>
      <c r="BS41" s="10">
        <v>6078</v>
      </c>
      <c r="BT41" s="14">
        <f t="shared" si="36"/>
        <v>0.5411324786324786</v>
      </c>
      <c r="BU41" s="10">
        <v>6241</v>
      </c>
      <c r="BV41" s="14">
        <f t="shared" si="36"/>
        <v>0.55564458689458684</v>
      </c>
      <c r="BW41" s="10">
        <v>6016</v>
      </c>
      <c r="BX41" s="14">
        <f t="shared" si="36"/>
        <v>0.53561253561253563</v>
      </c>
      <c r="BY41" s="10">
        <v>6038</v>
      </c>
      <c r="BZ41" s="14">
        <f t="shared" si="36"/>
        <v>0.53757122507122512</v>
      </c>
      <c r="CA41" s="10">
        <v>6124</v>
      </c>
      <c r="CB41" s="14">
        <f t="shared" si="36"/>
        <v>0.54522792022792022</v>
      </c>
      <c r="CC41" s="10">
        <v>5372</v>
      </c>
      <c r="CD41" s="14">
        <f t="shared" si="44"/>
        <v>0.47827635327635326</v>
      </c>
      <c r="CE41" s="10">
        <v>2742</v>
      </c>
      <c r="CF41" s="14">
        <f t="shared" si="44"/>
        <v>0.24412393162393162</v>
      </c>
      <c r="CG41" s="10">
        <v>2939</v>
      </c>
      <c r="CH41" s="14">
        <f t="shared" si="44"/>
        <v>0.26166310541310539</v>
      </c>
      <c r="CI41" s="10">
        <v>3428</v>
      </c>
      <c r="CJ41" s="14">
        <f t="shared" si="44"/>
        <v>0.30519943019943019</v>
      </c>
      <c r="CK41" s="10">
        <v>6274</v>
      </c>
      <c r="CL41" s="14">
        <f t="shared" si="44"/>
        <v>0.55858262108262113</v>
      </c>
      <c r="CN41" s="14">
        <f t="shared" si="44"/>
        <v>0</v>
      </c>
      <c r="CP41" s="14">
        <f t="shared" si="44"/>
        <v>0</v>
      </c>
      <c r="CQ41" s="10">
        <v>5759</v>
      </c>
      <c r="CR41" s="14">
        <f t="shared" si="44"/>
        <v>0.51273148148148151</v>
      </c>
      <c r="CS41" s="10">
        <v>5063</v>
      </c>
      <c r="CT41" s="14">
        <f t="shared" si="52"/>
        <v>0.45076566951566954</v>
      </c>
      <c r="CU41" s="10">
        <v>5347</v>
      </c>
      <c r="CV41" s="14">
        <f t="shared" si="53"/>
        <v>0.47605056980056981</v>
      </c>
      <c r="CW41" s="10">
        <v>9599</v>
      </c>
      <c r="CX41" s="14">
        <f t="shared" si="54"/>
        <v>0.8546118233618234</v>
      </c>
      <c r="CY41" s="10">
        <v>4881</v>
      </c>
      <c r="DA41" s="10">
        <v>5791</v>
      </c>
      <c r="DC41" s="10">
        <v>4813</v>
      </c>
      <c r="DE41" s="10">
        <v>5010</v>
      </c>
    </row>
    <row r="42" spans="1:109" s="10" customFormat="1" ht="16.5" customHeight="1" thickBot="1">
      <c r="A42" s="119"/>
      <c r="B42" s="120" t="s">
        <v>205</v>
      </c>
      <c r="C42" s="121" t="str">
        <f ca="1">E42</f>
        <v>{"haftungsType":"Einseitige Solidarhaftung erfassen","haftungDurch":`${p.FamilyName1}, ${p.ManFirstName1}`,"haftungVon":"01.11.2025","haftungBis":"31.12.2025","haftungFuer":`${p.FamilyName1}, ${p.WomanFirstName1}`,"person1":"","person2":""}</v>
      </c>
      <c r="D42" s="120"/>
      <c r="E42" s="121" t="str">
        <f t="shared" ca="1" si="56"/>
        <v>{"haftungsType":"Einseitige Solidarhaftung erfassen","haftungDurch":`${p.FamilyName1}, ${p.ManFirstName1}`,"haftungVon":"01.11.2025","haftungBis":"31.12.2025","haftungFuer":`${p.FamilyName1}, ${p.WomanFirstName1}`,"person1":"","person2":""}</v>
      </c>
      <c r="F42" s="611" t="s">
        <v>206</v>
      </c>
      <c r="G42" s="609" t="s">
        <v>207</v>
      </c>
      <c r="H42" s="611" t="s">
        <v>208</v>
      </c>
      <c r="I42" s="609" t="str">
        <f>I23</f>
        <v>${p.FamilyName1}, ${p.ManFirstName1}</v>
      </c>
      <c r="J42" s="611" t="s">
        <v>209</v>
      </c>
      <c r="K42" s="615" t="str">
        <f ca="1">"01."&amp;MONTH(TODAY())&amp;"."&amp;YEAR(TODAY())</f>
        <v>01.11.2025</v>
      </c>
      <c r="L42" s="611" t="s">
        <v>210</v>
      </c>
      <c r="M42" s="615" t="str">
        <f ca="1">"31.12."&amp;YEAR(TODAY())</f>
        <v>31.12.2025</v>
      </c>
      <c r="N42" s="611" t="s">
        <v>211</v>
      </c>
      <c r="O42" s="609" t="str">
        <f>"${"&amp;$G$4&amp;"}, ${"&amp;$H$63&amp;"}"</f>
        <v>${p.FamilyName1}, ${p.WomanFirstName1}</v>
      </c>
      <c r="P42" s="611" t="s">
        <v>212</v>
      </c>
      <c r="Q42" s="614"/>
      <c r="R42" s="611" t="s">
        <v>213</v>
      </c>
      <c r="S42" s="609"/>
      <c r="T42" s="609" t="s">
        <v>37</v>
      </c>
      <c r="U42" s="609"/>
      <c r="V42" s="611"/>
      <c r="W42" s="609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48">
        <v>6915</v>
      </c>
      <c r="AJ42" s="96"/>
      <c r="AK42" s="4"/>
      <c r="AL42" s="122">
        <v>6982</v>
      </c>
      <c r="AM42" s="14">
        <f t="shared" si="2"/>
        <v>1.0096890817064352</v>
      </c>
      <c r="AN42" s="122">
        <v>9078</v>
      </c>
      <c r="AO42" s="14">
        <f t="shared" si="2"/>
        <v>1.3127982646420824</v>
      </c>
      <c r="AP42" s="122">
        <v>9444</v>
      </c>
      <c r="AQ42" s="14">
        <f t="shared" si="26"/>
        <v>1.3657266811279827</v>
      </c>
      <c r="AR42" s="120"/>
      <c r="AS42" s="14">
        <f t="shared" si="26"/>
        <v>0</v>
      </c>
      <c r="AT42" s="120"/>
      <c r="AU42" s="14">
        <f t="shared" si="26"/>
        <v>0</v>
      </c>
      <c r="AV42" s="120"/>
      <c r="AW42" s="14">
        <f t="shared" si="26"/>
        <v>0</v>
      </c>
      <c r="AX42" s="120"/>
      <c r="AY42" s="14">
        <f t="shared" si="26"/>
        <v>0</v>
      </c>
      <c r="AZ42" s="120"/>
      <c r="BA42" s="120"/>
      <c r="BC42" s="14">
        <f t="shared" si="31"/>
        <v>0</v>
      </c>
      <c r="BE42" s="14">
        <f t="shared" si="31"/>
        <v>0</v>
      </c>
      <c r="BG42" s="14">
        <f t="shared" si="31"/>
        <v>0</v>
      </c>
      <c r="BI42" s="14">
        <f t="shared" si="31"/>
        <v>0</v>
      </c>
      <c r="BL42" s="14">
        <f t="shared" si="35"/>
        <v>0</v>
      </c>
      <c r="BN42" s="14">
        <f t="shared" si="36"/>
        <v>0</v>
      </c>
      <c r="BP42" s="14">
        <f t="shared" si="36"/>
        <v>0</v>
      </c>
      <c r="BR42" s="14">
        <f t="shared" si="36"/>
        <v>0</v>
      </c>
      <c r="BT42" s="14">
        <f t="shared" si="36"/>
        <v>0</v>
      </c>
      <c r="BV42" s="14">
        <f t="shared" si="36"/>
        <v>0</v>
      </c>
      <c r="BX42" s="14">
        <f t="shared" si="36"/>
        <v>0</v>
      </c>
      <c r="BZ42" s="14">
        <f t="shared" si="36"/>
        <v>0</v>
      </c>
      <c r="CB42" s="14">
        <f t="shared" si="36"/>
        <v>0</v>
      </c>
      <c r="CD42" s="14">
        <f t="shared" si="44"/>
        <v>0</v>
      </c>
      <c r="CF42" s="14">
        <f t="shared" si="44"/>
        <v>0</v>
      </c>
      <c r="CH42" s="14">
        <f t="shared" si="44"/>
        <v>0</v>
      </c>
      <c r="CJ42" s="14">
        <f t="shared" si="44"/>
        <v>0</v>
      </c>
      <c r="CL42" s="14">
        <f t="shared" si="44"/>
        <v>0</v>
      </c>
      <c r="CN42" s="14">
        <f t="shared" si="44"/>
        <v>0</v>
      </c>
      <c r="CP42" s="14">
        <f t="shared" si="44"/>
        <v>0</v>
      </c>
      <c r="CR42" s="14">
        <f t="shared" si="44"/>
        <v>0</v>
      </c>
      <c r="CT42" s="14">
        <f t="shared" si="52"/>
        <v>0</v>
      </c>
      <c r="CV42" s="14">
        <f t="shared" si="53"/>
        <v>0</v>
      </c>
      <c r="CX42" s="14">
        <f t="shared" si="54"/>
        <v>0</v>
      </c>
    </row>
    <row r="43" spans="1:109" s="10" customFormat="1" ht="16.5" customHeight="1" thickBot="1">
      <c r="A43" s="119"/>
      <c r="B43" s="120" t="s">
        <v>205</v>
      </c>
      <c r="C43" s="121" t="str">
        <f ca="1">E43</f>
        <v>{"haftungsType":"Einzelhaftung erfassen","haftungDurch":`${p.FamilyName1}, ${p.ManFirstName1}`,"haftungVon":"01.11.2025","haftungBis":"31.12.2025","haftungFuer":`${p.FamilyName1}, ${p.GirlFirstName1}`,"person1":"","person2":""}</v>
      </c>
      <c r="D43" s="120"/>
      <c r="E43" s="121" t="str">
        <f t="shared" ca="1" si="56"/>
        <v>{"haftungsType":"Einzelhaftung erfassen","haftungDurch":`${p.FamilyName1}, ${p.ManFirstName1}`,"haftungVon":"01.11.2025","haftungBis":"31.12.2025","haftungFuer":`${p.FamilyName1}, ${p.GirlFirstName1}`,"person1":"","person2":""}</v>
      </c>
      <c r="F43" s="611" t="s">
        <v>206</v>
      </c>
      <c r="G43" s="609" t="s">
        <v>214</v>
      </c>
      <c r="H43" s="611" t="s">
        <v>208</v>
      </c>
      <c r="I43" s="609" t="str">
        <f>I23</f>
        <v>${p.FamilyName1}, ${p.ManFirstName1}</v>
      </c>
      <c r="J43" s="611" t="s">
        <v>209</v>
      </c>
      <c r="K43" s="615" t="str">
        <f ca="1">"01."&amp;MONTH(TODAY())&amp;"."&amp;YEAR(TODAY())</f>
        <v>01.11.2025</v>
      </c>
      <c r="L43" s="611" t="s">
        <v>210</v>
      </c>
      <c r="M43" s="615" t="str">
        <f ca="1">"31.12."&amp;YEAR(TODAY())</f>
        <v>31.12.2025</v>
      </c>
      <c r="N43" s="611" t="s">
        <v>211</v>
      </c>
      <c r="O43" s="609" t="str">
        <f>"${"&amp;$G$4&amp;"}, ${"&amp;$H$64&amp;"}"</f>
        <v>${p.FamilyName1}, ${p.GirlFirstName1}</v>
      </c>
      <c r="P43" s="611" t="s">
        <v>212</v>
      </c>
      <c r="Q43" s="614"/>
      <c r="R43" s="611" t="s">
        <v>213</v>
      </c>
      <c r="S43" s="609"/>
      <c r="T43" s="609" t="s">
        <v>37</v>
      </c>
      <c r="U43" s="609"/>
      <c r="V43" s="611"/>
      <c r="W43" s="609"/>
      <c r="X43" s="120"/>
      <c r="Y43" s="120"/>
      <c r="Z43" s="123"/>
      <c r="AA43" s="120"/>
      <c r="AB43" s="120"/>
      <c r="AC43" s="120"/>
      <c r="AD43" s="120"/>
      <c r="AE43" s="120"/>
      <c r="AF43" s="120"/>
      <c r="AG43" s="120"/>
      <c r="AH43" s="120"/>
      <c r="AI43" s="48">
        <v>5252</v>
      </c>
      <c r="AJ43" s="96"/>
      <c r="AK43" s="4"/>
      <c r="AL43" s="122">
        <v>5584</v>
      </c>
      <c r="AM43" s="14">
        <f t="shared" si="2"/>
        <v>1.0632140137090633</v>
      </c>
      <c r="AN43" s="122">
        <v>7647</v>
      </c>
      <c r="AO43" s="14">
        <f t="shared" si="2"/>
        <v>1.4560167555217061</v>
      </c>
      <c r="AP43" s="122">
        <v>0</v>
      </c>
      <c r="AQ43" s="14">
        <f t="shared" si="26"/>
        <v>0</v>
      </c>
      <c r="AR43" s="120"/>
      <c r="AS43" s="14">
        <f t="shared" si="26"/>
        <v>0</v>
      </c>
      <c r="AT43" s="120"/>
      <c r="AU43" s="14">
        <f t="shared" si="26"/>
        <v>0</v>
      </c>
      <c r="AV43" s="120"/>
      <c r="AW43" s="14">
        <f t="shared" si="26"/>
        <v>0</v>
      </c>
      <c r="AX43" s="120"/>
      <c r="AY43" s="14">
        <f t="shared" si="26"/>
        <v>0</v>
      </c>
      <c r="AZ43" s="120"/>
      <c r="BA43" s="120"/>
      <c r="BC43" s="14">
        <f t="shared" si="31"/>
        <v>0</v>
      </c>
      <c r="BE43" s="14">
        <f t="shared" si="31"/>
        <v>0</v>
      </c>
      <c r="BG43" s="14">
        <f t="shared" si="31"/>
        <v>0</v>
      </c>
      <c r="BI43" s="14">
        <f t="shared" si="31"/>
        <v>0</v>
      </c>
      <c r="BL43" s="14">
        <f t="shared" si="35"/>
        <v>0</v>
      </c>
      <c r="BN43" s="14">
        <f t="shared" si="36"/>
        <v>0</v>
      </c>
      <c r="BP43" s="14">
        <f t="shared" si="36"/>
        <v>0</v>
      </c>
      <c r="BR43" s="14">
        <f t="shared" si="36"/>
        <v>0</v>
      </c>
      <c r="BT43" s="14">
        <f t="shared" si="36"/>
        <v>0</v>
      </c>
      <c r="BV43" s="14">
        <f t="shared" si="36"/>
        <v>0</v>
      </c>
      <c r="BX43" s="14">
        <f t="shared" si="36"/>
        <v>0</v>
      </c>
      <c r="BZ43" s="14">
        <f t="shared" si="36"/>
        <v>0</v>
      </c>
      <c r="CB43" s="14">
        <f t="shared" si="36"/>
        <v>0</v>
      </c>
      <c r="CD43" s="14">
        <f t="shared" si="44"/>
        <v>0</v>
      </c>
      <c r="CF43" s="14">
        <f t="shared" si="44"/>
        <v>0</v>
      </c>
      <c r="CH43" s="14">
        <f t="shared" si="44"/>
        <v>0</v>
      </c>
      <c r="CJ43" s="14">
        <f t="shared" si="44"/>
        <v>0</v>
      </c>
      <c r="CL43" s="14">
        <f t="shared" si="44"/>
        <v>0</v>
      </c>
      <c r="CN43" s="14">
        <f t="shared" si="44"/>
        <v>0</v>
      </c>
      <c r="CP43" s="14">
        <f t="shared" si="44"/>
        <v>0</v>
      </c>
      <c r="CR43" s="14">
        <f t="shared" si="44"/>
        <v>0</v>
      </c>
      <c r="CT43" s="14">
        <f t="shared" si="52"/>
        <v>0</v>
      </c>
      <c r="CV43" s="14">
        <f t="shared" si="53"/>
        <v>0</v>
      </c>
      <c r="CX43" s="14">
        <f t="shared" si="54"/>
        <v>0</v>
      </c>
    </row>
    <row r="44" spans="1:109" s="2722" customFormat="1" ht="16.5" customHeight="1" thickBot="1">
      <c r="A44" s="2721"/>
      <c r="B44" s="2722" t="s">
        <v>22</v>
      </c>
      <c r="C44" s="2723" t="s">
        <v>215</v>
      </c>
      <c r="D44" s="2724"/>
      <c r="E44" s="2725"/>
      <c r="F44" s="2726"/>
      <c r="G44" s="2727"/>
      <c r="H44" s="2727"/>
      <c r="I44" s="2727"/>
      <c r="J44" s="2727"/>
      <c r="K44" s="2727"/>
      <c r="L44" s="2727"/>
      <c r="M44" s="2727"/>
      <c r="N44" s="2727"/>
      <c r="O44" s="2727"/>
      <c r="P44" s="2727"/>
      <c r="Q44" s="2727"/>
      <c r="R44" s="2727"/>
      <c r="S44" s="2727"/>
      <c r="T44" s="2727"/>
      <c r="U44" s="2727"/>
      <c r="V44" s="2727"/>
      <c r="W44" s="2727"/>
      <c r="X44" s="2724"/>
      <c r="Y44" s="2724"/>
      <c r="Z44" s="2724"/>
      <c r="AA44" s="2724"/>
      <c r="AB44" s="2724"/>
      <c r="AC44" s="2724"/>
      <c r="AD44" s="2724"/>
      <c r="AE44" s="2724"/>
      <c r="AF44" s="2724"/>
      <c r="AG44" s="2724"/>
      <c r="AH44" s="2724"/>
      <c r="AI44" s="2724">
        <v>4817</v>
      </c>
      <c r="AJ44" s="2728"/>
      <c r="AK44" s="2729"/>
      <c r="AL44" s="2724">
        <v>4866</v>
      </c>
      <c r="AM44" s="2730">
        <f t="shared" si="2"/>
        <v>1.010172306414781</v>
      </c>
      <c r="AN44" s="2724">
        <v>6555</v>
      </c>
      <c r="AO44" s="2730">
        <f t="shared" si="2"/>
        <v>1.3608054805895786</v>
      </c>
      <c r="AP44" s="2724">
        <v>552</v>
      </c>
      <c r="AQ44" s="2730">
        <f t="shared" si="26"/>
        <v>0.11459414573385925</v>
      </c>
      <c r="AR44" s="2724">
        <v>7656</v>
      </c>
      <c r="AS44" s="2730">
        <f t="shared" si="26"/>
        <v>1.5893709777870044</v>
      </c>
      <c r="AT44" s="2724">
        <v>7641</v>
      </c>
      <c r="AU44" s="2730">
        <f t="shared" si="26"/>
        <v>1.5862570064355408</v>
      </c>
      <c r="AV44" s="2724">
        <v>7477</v>
      </c>
      <c r="AW44" s="2730">
        <f t="shared" si="26"/>
        <v>1.5522109196595391</v>
      </c>
      <c r="AX44" s="2724">
        <v>7539</v>
      </c>
      <c r="AY44" s="2730">
        <f t="shared" si="26"/>
        <v>1.5650820012455886</v>
      </c>
      <c r="AZ44" s="2724">
        <v>7418</v>
      </c>
      <c r="BA44" s="2724"/>
      <c r="BB44" s="2724">
        <v>0</v>
      </c>
      <c r="BC44" s="2730">
        <f t="shared" si="31"/>
        <v>0</v>
      </c>
      <c r="BD44" s="2724">
        <v>5085</v>
      </c>
      <c r="BE44" s="2730">
        <f t="shared" si="31"/>
        <v>1.055636288146149</v>
      </c>
      <c r="BF44" s="2724">
        <v>5191</v>
      </c>
      <c r="BG44" s="2730">
        <f t="shared" si="31"/>
        <v>1.0776416856964917</v>
      </c>
      <c r="BH44" s="2724">
        <v>5126</v>
      </c>
      <c r="BI44" s="2730">
        <f t="shared" si="31"/>
        <v>1.0641478098401496</v>
      </c>
      <c r="BK44" s="2722">
        <v>5172</v>
      </c>
      <c r="BL44" s="2730">
        <f t="shared" si="35"/>
        <v>1.0736973219846377</v>
      </c>
      <c r="BM44" s="2722">
        <v>4792</v>
      </c>
      <c r="BN44" s="2730">
        <f t="shared" si="36"/>
        <v>0.99481004774756077</v>
      </c>
      <c r="BO44" s="2722">
        <v>5127</v>
      </c>
      <c r="BP44" s="2730">
        <f t="shared" si="36"/>
        <v>1.0643554079302471</v>
      </c>
      <c r="BQ44" s="2722">
        <v>5566</v>
      </c>
      <c r="BR44" s="2730">
        <f t="shared" si="36"/>
        <v>1.1554909694830808</v>
      </c>
      <c r="BS44" s="2722">
        <v>5075</v>
      </c>
      <c r="BT44" s="2730">
        <f t="shared" si="36"/>
        <v>1.0535603072451734</v>
      </c>
      <c r="BU44" s="2722">
        <v>5944</v>
      </c>
      <c r="BV44" s="2730">
        <f t="shared" si="36"/>
        <v>1.2339630475399626</v>
      </c>
      <c r="BW44" s="2722">
        <v>5145</v>
      </c>
      <c r="BX44" s="2730">
        <f t="shared" si="36"/>
        <v>1.0680921735520033</v>
      </c>
      <c r="BY44" s="2722">
        <v>6041</v>
      </c>
      <c r="BZ44" s="2730">
        <f t="shared" si="36"/>
        <v>1.2541000622794269</v>
      </c>
      <c r="CA44" s="2722">
        <v>5094</v>
      </c>
      <c r="CB44" s="2730">
        <f t="shared" si="36"/>
        <v>1.0575046709570273</v>
      </c>
      <c r="CC44" s="2722">
        <v>5941</v>
      </c>
      <c r="CD44" s="2730">
        <f t="shared" si="44"/>
        <v>1.23334025326967</v>
      </c>
      <c r="CE44" s="2722">
        <v>5755</v>
      </c>
      <c r="CF44" s="2730">
        <f t="shared" si="44"/>
        <v>1.1947270085115218</v>
      </c>
      <c r="CG44" s="2722">
        <v>5256</v>
      </c>
      <c r="CH44" s="2730">
        <f t="shared" si="44"/>
        <v>1.0911355615528338</v>
      </c>
      <c r="CI44" s="2722">
        <v>5645</v>
      </c>
      <c r="CJ44" s="2730">
        <f t="shared" si="44"/>
        <v>1.1718912186007888</v>
      </c>
      <c r="CK44" s="2722">
        <v>9438</v>
      </c>
      <c r="CL44" s="2730">
        <f t="shared" si="44"/>
        <v>1.959310774340876</v>
      </c>
      <c r="CN44" s="2730">
        <f t="shared" si="44"/>
        <v>0</v>
      </c>
      <c r="CP44" s="2730">
        <f t="shared" si="44"/>
        <v>0</v>
      </c>
      <c r="CQ44" s="2722">
        <v>5469</v>
      </c>
      <c r="CR44" s="2730">
        <f t="shared" si="44"/>
        <v>1.1353539547436164</v>
      </c>
      <c r="CS44" s="2722">
        <v>4979</v>
      </c>
      <c r="CT44" s="2730">
        <f t="shared" si="52"/>
        <v>1.0336308905958065</v>
      </c>
      <c r="CU44" s="2722">
        <v>5279</v>
      </c>
      <c r="CV44" s="2730">
        <f t="shared" si="53"/>
        <v>1.095910317625078</v>
      </c>
      <c r="CW44" s="2722">
        <v>5395</v>
      </c>
      <c r="CX44" s="2730">
        <f t="shared" si="54"/>
        <v>1.119991696076396</v>
      </c>
      <c r="CY44" s="2722">
        <v>5450</v>
      </c>
      <c r="DA44" s="2722">
        <v>4660</v>
      </c>
      <c r="DC44" s="2722">
        <v>8775</v>
      </c>
      <c r="DE44" s="2722">
        <v>5447</v>
      </c>
    </row>
    <row r="45" spans="1:109" s="10" customFormat="1" ht="16.5" customHeight="1" thickBot="1">
      <c r="A45" s="119"/>
      <c r="B45" s="122" t="s">
        <v>216</v>
      </c>
      <c r="C45" s="121"/>
      <c r="D45" s="76"/>
      <c r="E45" s="77"/>
      <c r="F45" s="609"/>
      <c r="G45" s="611"/>
      <c r="H45" s="609"/>
      <c r="I45" s="611"/>
      <c r="J45" s="609"/>
      <c r="K45" s="611"/>
      <c r="L45" s="609"/>
      <c r="M45" s="613"/>
      <c r="N45" s="609"/>
      <c r="O45" s="609"/>
      <c r="P45" s="609"/>
      <c r="Q45" s="614"/>
      <c r="R45" s="609"/>
      <c r="S45" s="611"/>
      <c r="T45" s="611"/>
      <c r="U45" s="611"/>
      <c r="V45" s="609"/>
      <c r="W45" s="611"/>
      <c r="X45" s="76"/>
      <c r="Y45" s="76"/>
      <c r="Z45" s="128"/>
      <c r="AA45" s="76"/>
      <c r="AB45" s="76"/>
      <c r="AC45" s="76"/>
      <c r="AD45" s="76"/>
      <c r="AE45" s="76"/>
      <c r="AF45" s="76"/>
      <c r="AG45" s="76"/>
      <c r="AH45" s="76"/>
      <c r="AI45" s="48">
        <v>2014</v>
      </c>
      <c r="AJ45" s="96"/>
      <c r="AK45" s="4"/>
      <c r="AL45" s="76">
        <v>2016</v>
      </c>
      <c r="AM45" s="14">
        <f t="shared" si="2"/>
        <v>1.0009930486593843</v>
      </c>
      <c r="AN45" s="76"/>
      <c r="AO45" s="14">
        <f t="shared" si="2"/>
        <v>0</v>
      </c>
      <c r="AP45" s="76"/>
      <c r="AQ45" s="14">
        <f t="shared" si="26"/>
        <v>0</v>
      </c>
      <c r="AR45" s="76"/>
      <c r="AS45" s="14">
        <f t="shared" si="26"/>
        <v>0</v>
      </c>
      <c r="AT45" s="76"/>
      <c r="AU45" s="14">
        <f t="shared" si="26"/>
        <v>0</v>
      </c>
      <c r="AV45" s="76"/>
      <c r="AW45" s="14">
        <f t="shared" si="26"/>
        <v>0</v>
      </c>
      <c r="AX45" s="76"/>
      <c r="AY45" s="14">
        <f t="shared" si="26"/>
        <v>0</v>
      </c>
      <c r="AZ45" s="76"/>
      <c r="BA45" s="76"/>
      <c r="BC45" s="14">
        <f t="shared" si="31"/>
        <v>0</v>
      </c>
      <c r="BE45" s="14">
        <f t="shared" si="31"/>
        <v>0</v>
      </c>
      <c r="BG45" s="14">
        <f t="shared" si="31"/>
        <v>0</v>
      </c>
      <c r="BI45" s="14">
        <f t="shared" si="31"/>
        <v>0</v>
      </c>
      <c r="BL45" s="14">
        <f t="shared" si="35"/>
        <v>0</v>
      </c>
      <c r="BN45" s="14">
        <f t="shared" si="36"/>
        <v>0</v>
      </c>
      <c r="BP45" s="14">
        <f t="shared" si="36"/>
        <v>0</v>
      </c>
      <c r="BR45" s="14">
        <f t="shared" si="36"/>
        <v>0</v>
      </c>
      <c r="BT45" s="14">
        <f t="shared" si="36"/>
        <v>0</v>
      </c>
      <c r="BV45" s="14">
        <f t="shared" si="36"/>
        <v>0</v>
      </c>
      <c r="BX45" s="14">
        <f t="shared" si="36"/>
        <v>0</v>
      </c>
      <c r="BZ45" s="14">
        <f t="shared" si="36"/>
        <v>0</v>
      </c>
      <c r="CB45" s="14">
        <f t="shared" si="36"/>
        <v>0</v>
      </c>
      <c r="CD45" s="14">
        <f t="shared" si="44"/>
        <v>0</v>
      </c>
      <c r="CF45" s="14">
        <f t="shared" si="44"/>
        <v>0</v>
      </c>
      <c r="CH45" s="14">
        <f t="shared" si="44"/>
        <v>0</v>
      </c>
      <c r="CJ45" s="14">
        <f t="shared" si="44"/>
        <v>0</v>
      </c>
      <c r="CL45" s="14">
        <f t="shared" si="44"/>
        <v>0</v>
      </c>
      <c r="CN45" s="14">
        <f t="shared" si="44"/>
        <v>0</v>
      </c>
      <c r="CP45" s="14">
        <f t="shared" si="44"/>
        <v>0</v>
      </c>
      <c r="CR45" s="14">
        <f t="shared" si="44"/>
        <v>0</v>
      </c>
      <c r="CT45" s="14">
        <f t="shared" si="52"/>
        <v>0</v>
      </c>
      <c r="CV45" s="14">
        <f t="shared" si="53"/>
        <v>0</v>
      </c>
      <c r="CX45" s="14">
        <f t="shared" si="54"/>
        <v>0</v>
      </c>
    </row>
    <row r="46" spans="1:109" s="2722" customFormat="1" ht="16.5" customHeight="1" thickBot="1">
      <c r="A46" s="2721"/>
      <c r="B46" s="2722" t="s">
        <v>22</v>
      </c>
      <c r="C46" s="2723" t="s">
        <v>215</v>
      </c>
      <c r="D46" s="2724"/>
      <c r="E46" s="2725"/>
      <c r="F46" s="2726"/>
      <c r="G46" s="2727"/>
      <c r="H46" s="2727"/>
      <c r="I46" s="2727"/>
      <c r="J46" s="2727"/>
      <c r="K46" s="2727"/>
      <c r="L46" s="2727"/>
      <c r="M46" s="2727"/>
      <c r="N46" s="2727"/>
      <c r="O46" s="2727"/>
      <c r="P46" s="2727"/>
      <c r="Q46" s="2727"/>
      <c r="R46" s="2727"/>
      <c r="S46" s="2727"/>
      <c r="T46" s="2727"/>
      <c r="U46" s="2727"/>
      <c r="V46" s="2727"/>
      <c r="W46" s="2727"/>
      <c r="X46" s="2724"/>
      <c r="Y46" s="2724"/>
      <c r="Z46" s="2724"/>
      <c r="AA46" s="2724"/>
      <c r="AB46" s="2724"/>
      <c r="AC46" s="2724"/>
      <c r="AD46" s="2724"/>
      <c r="AE46" s="2724"/>
      <c r="AF46" s="2724"/>
      <c r="AG46" s="2724"/>
      <c r="AH46" s="2724"/>
      <c r="AI46" s="2724">
        <v>2011</v>
      </c>
      <c r="AJ46" s="2728"/>
      <c r="AK46" s="2729"/>
      <c r="AL46" s="2724">
        <v>2008</v>
      </c>
      <c r="AM46" s="2730">
        <f t="shared" si="2"/>
        <v>0.99850820487319747</v>
      </c>
      <c r="AN46" s="2724">
        <v>2011</v>
      </c>
      <c r="AO46" s="2730">
        <f t="shared" si="2"/>
        <v>1</v>
      </c>
      <c r="AP46" s="2724"/>
      <c r="AQ46" s="2730">
        <f t="shared" si="26"/>
        <v>0</v>
      </c>
      <c r="AR46" s="2724">
        <v>2013</v>
      </c>
      <c r="AS46" s="2730">
        <f t="shared" si="26"/>
        <v>1.0009945300845351</v>
      </c>
      <c r="AT46" s="2724">
        <v>2020</v>
      </c>
      <c r="AU46" s="2730">
        <f t="shared" si="26"/>
        <v>1.0044753853804078</v>
      </c>
      <c r="AV46" s="2724">
        <v>2017</v>
      </c>
      <c r="AW46" s="2730">
        <f t="shared" si="26"/>
        <v>1.0029835902536051</v>
      </c>
      <c r="AX46" s="2724">
        <v>2019</v>
      </c>
      <c r="AY46" s="2730">
        <f t="shared" si="26"/>
        <v>1.0039781203381402</v>
      </c>
      <c r="AZ46" s="2724">
        <v>2013</v>
      </c>
      <c r="BA46" s="2724"/>
      <c r="BB46" s="2724">
        <v>341</v>
      </c>
      <c r="BC46" s="2730">
        <f t="shared" si="31"/>
        <v>0.16956737941322725</v>
      </c>
      <c r="BD46" s="2724">
        <v>2007</v>
      </c>
      <c r="BE46" s="2730">
        <f t="shared" si="31"/>
        <v>0.99801093983092992</v>
      </c>
      <c r="BF46" s="2724">
        <v>2003</v>
      </c>
      <c r="BG46" s="2730">
        <f t="shared" si="31"/>
        <v>0.99602187966185973</v>
      </c>
      <c r="BH46" s="2724">
        <v>2009</v>
      </c>
      <c r="BI46" s="2730">
        <f t="shared" si="31"/>
        <v>0.99900546991546491</v>
      </c>
      <c r="BK46" s="2722">
        <v>2019</v>
      </c>
      <c r="BL46" s="2730">
        <f t="shared" si="35"/>
        <v>1.0039781203381402</v>
      </c>
      <c r="BM46" s="2722">
        <v>2008</v>
      </c>
      <c r="BN46" s="2730">
        <f t="shared" si="36"/>
        <v>0.99850820487319747</v>
      </c>
      <c r="BO46" s="2722">
        <v>2005</v>
      </c>
      <c r="BP46" s="2730">
        <f t="shared" si="36"/>
        <v>0.99701640974639483</v>
      </c>
      <c r="BQ46" s="2722">
        <v>2012</v>
      </c>
      <c r="BR46" s="2730">
        <f t="shared" si="36"/>
        <v>1.0004972650422674</v>
      </c>
      <c r="BS46" s="2722">
        <v>2004</v>
      </c>
      <c r="BT46" s="2730">
        <f t="shared" si="36"/>
        <v>0.99651914470412728</v>
      </c>
      <c r="BU46" s="2722">
        <v>2005</v>
      </c>
      <c r="BV46" s="2730">
        <f t="shared" si="36"/>
        <v>0.99701640974639483</v>
      </c>
      <c r="BW46" s="2722">
        <v>2013</v>
      </c>
      <c r="BX46" s="2730">
        <f t="shared" si="36"/>
        <v>1.0009945300845351</v>
      </c>
      <c r="BY46" s="2722">
        <v>2013</v>
      </c>
      <c r="BZ46" s="2730">
        <f t="shared" si="36"/>
        <v>1.0009945300845351</v>
      </c>
      <c r="CA46" s="2722">
        <v>2006</v>
      </c>
      <c r="CB46" s="2730">
        <f t="shared" si="36"/>
        <v>0.99751367478866237</v>
      </c>
      <c r="CC46" s="2722">
        <v>2006</v>
      </c>
      <c r="CD46" s="2730">
        <f t="shared" si="44"/>
        <v>0.99751367478866237</v>
      </c>
      <c r="CE46" s="2722">
        <v>2015</v>
      </c>
      <c r="CF46" s="2730">
        <f t="shared" si="44"/>
        <v>1.0019890601690702</v>
      </c>
      <c r="CG46" s="2722">
        <v>2010</v>
      </c>
      <c r="CH46" s="2730">
        <f t="shared" si="44"/>
        <v>0.99950273495773245</v>
      </c>
      <c r="CI46" s="2722">
        <v>2012</v>
      </c>
      <c r="CJ46" s="2730">
        <f t="shared" si="44"/>
        <v>1.0004972650422674</v>
      </c>
      <c r="CK46" s="2722">
        <v>2005</v>
      </c>
      <c r="CL46" s="2730">
        <f t="shared" si="44"/>
        <v>0.99701640974639483</v>
      </c>
      <c r="CN46" s="2730">
        <f t="shared" si="44"/>
        <v>0</v>
      </c>
      <c r="CP46" s="2730">
        <f t="shared" si="44"/>
        <v>0</v>
      </c>
      <c r="CQ46" s="2722">
        <v>2010</v>
      </c>
      <c r="CR46" s="2730">
        <f t="shared" si="44"/>
        <v>0.99950273495773245</v>
      </c>
      <c r="CS46" s="2722">
        <v>2018</v>
      </c>
      <c r="CT46" s="2730">
        <f t="shared" si="52"/>
        <v>1.0034808552958727</v>
      </c>
      <c r="CU46" s="2722">
        <v>2016</v>
      </c>
      <c r="CV46" s="2730">
        <f t="shared" si="53"/>
        <v>1.0024863252113376</v>
      </c>
      <c r="CW46" s="2722">
        <v>2016</v>
      </c>
      <c r="CX46" s="2730">
        <f t="shared" si="54"/>
        <v>1.0024863252113376</v>
      </c>
      <c r="CY46" s="2722">
        <v>2006</v>
      </c>
      <c r="DA46" s="2722">
        <v>2018</v>
      </c>
      <c r="DC46" s="2722">
        <v>2010</v>
      </c>
      <c r="DE46" s="2722">
        <v>2015</v>
      </c>
    </row>
    <row r="47" spans="1:109" s="10" customFormat="1" ht="16.5" customHeight="1" thickBot="1">
      <c r="A47" s="119"/>
      <c r="B47" s="591" t="s">
        <v>139</v>
      </c>
      <c r="C47" s="595" t="str">
        <f>E47</f>
        <v>{"searchDossierOrKlient":p.DossierName1,"resultType":"Dossiers"}</v>
      </c>
      <c r="D47" s="90"/>
      <c r="E47" s="91" t="str">
        <f>F47&amp;G47&amp;H47&amp;I47&amp;J47&amp;K47&amp;L47&amp;M47&amp;N47&amp;O47&amp;P47&amp;Q47&amp;R47&amp;S47&amp;T47&amp;U47&amp;V47&amp;W47&amp;X47</f>
        <v>{"searchDossierOrKlient":p.DossierName1,"resultType":"Dossiers"}</v>
      </c>
      <c r="F47" s="609" t="s">
        <v>140</v>
      </c>
      <c r="G47" s="611" t="str">
        <f>'001x'!$G$11</f>
        <v>p.DossierName1</v>
      </c>
      <c r="H47" s="609" t="s">
        <v>141</v>
      </c>
      <c r="I47" s="611" t="s">
        <v>142</v>
      </c>
      <c r="J47" s="609" t="s">
        <v>37</v>
      </c>
      <c r="K47" s="611"/>
      <c r="L47" s="609"/>
      <c r="M47" s="611"/>
      <c r="N47" s="609"/>
      <c r="O47" s="611"/>
      <c r="P47" s="609"/>
      <c r="Q47" s="611"/>
      <c r="R47" s="609"/>
      <c r="S47" s="611"/>
      <c r="T47" s="609"/>
      <c r="U47" s="611"/>
      <c r="V47" s="609"/>
      <c r="W47" s="611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48">
        <v>10683</v>
      </c>
      <c r="AJ47" s="96"/>
      <c r="AK47" s="4"/>
      <c r="AL47" s="90">
        <v>10909</v>
      </c>
      <c r="AM47" s="14">
        <f t="shared" si="2"/>
        <v>1.0211551062435646</v>
      </c>
      <c r="AN47" s="90">
        <v>2017</v>
      </c>
      <c r="AO47" s="14">
        <f t="shared" si="2"/>
        <v>0.1888046428905738</v>
      </c>
      <c r="AP47" s="90"/>
      <c r="AQ47" s="14">
        <f t="shared" si="26"/>
        <v>0</v>
      </c>
      <c r="AR47" s="90">
        <v>2007</v>
      </c>
      <c r="AS47" s="14">
        <f t="shared" si="26"/>
        <v>0.18786857624262848</v>
      </c>
      <c r="AT47" s="90">
        <v>2006</v>
      </c>
      <c r="AU47" s="14">
        <f t="shared" si="26"/>
        <v>0.18777496957783393</v>
      </c>
      <c r="AV47" s="90">
        <v>2003</v>
      </c>
      <c r="AW47" s="14">
        <f t="shared" si="26"/>
        <v>0.18749414958345034</v>
      </c>
      <c r="AX47" s="90">
        <v>2010</v>
      </c>
      <c r="AY47" s="14">
        <f t="shared" si="26"/>
        <v>0.18814939623701207</v>
      </c>
      <c r="AZ47" s="90">
        <v>2012</v>
      </c>
      <c r="BA47" s="90"/>
      <c r="BC47" s="14">
        <f t="shared" si="31"/>
        <v>0</v>
      </c>
      <c r="BD47" s="2">
        <v>2006</v>
      </c>
      <c r="BE47" s="14">
        <f t="shared" si="31"/>
        <v>0.18777496957783393</v>
      </c>
      <c r="BF47" s="2">
        <v>2006</v>
      </c>
      <c r="BG47" s="14">
        <f t="shared" si="31"/>
        <v>0.18777496957783393</v>
      </c>
      <c r="BH47" s="2">
        <v>2031</v>
      </c>
      <c r="BI47" s="14">
        <f t="shared" si="31"/>
        <v>0.19011513619769727</v>
      </c>
      <c r="BK47" s="10">
        <v>2010</v>
      </c>
      <c r="BL47" s="14">
        <f t="shared" si="35"/>
        <v>0.18814939623701207</v>
      </c>
      <c r="BM47" s="10">
        <v>2019</v>
      </c>
      <c r="BN47" s="14">
        <f t="shared" si="36"/>
        <v>0.18899185622016287</v>
      </c>
      <c r="BO47" s="10">
        <v>2018</v>
      </c>
      <c r="BP47" s="14">
        <f t="shared" si="36"/>
        <v>0.18889824955536835</v>
      </c>
      <c r="BQ47" s="10">
        <v>2005</v>
      </c>
      <c r="BR47" s="14">
        <f t="shared" si="36"/>
        <v>0.18768136291303941</v>
      </c>
      <c r="BS47" s="10">
        <v>2018</v>
      </c>
      <c r="BT47" s="14">
        <f t="shared" si="36"/>
        <v>0.18889824955536835</v>
      </c>
      <c r="BU47" s="10">
        <v>2004</v>
      </c>
      <c r="BV47" s="14">
        <f t="shared" si="36"/>
        <v>0.18758775624824486</v>
      </c>
      <c r="BW47" s="10">
        <v>2006</v>
      </c>
      <c r="BX47" s="14">
        <f t="shared" si="36"/>
        <v>0.18777496957783393</v>
      </c>
      <c r="BY47" s="10">
        <v>2006</v>
      </c>
      <c r="BZ47" s="14">
        <f t="shared" si="36"/>
        <v>0.18777496957783393</v>
      </c>
      <c r="CA47" s="10">
        <v>2014</v>
      </c>
      <c r="CB47" s="14">
        <f t="shared" si="36"/>
        <v>0.18852382289619021</v>
      </c>
      <c r="CC47" s="10">
        <v>2006</v>
      </c>
      <c r="CD47" s="14">
        <f t="shared" si="44"/>
        <v>0.18777496957783393</v>
      </c>
      <c r="CE47" s="10">
        <v>2011</v>
      </c>
      <c r="CF47" s="14">
        <f t="shared" si="44"/>
        <v>0.18824300290180662</v>
      </c>
      <c r="CG47" s="10">
        <v>2016</v>
      </c>
      <c r="CH47" s="14">
        <f t="shared" si="44"/>
        <v>0.18871103622577928</v>
      </c>
      <c r="CI47" s="10">
        <v>2017</v>
      </c>
      <c r="CJ47" s="14">
        <f t="shared" si="44"/>
        <v>0.1888046428905738</v>
      </c>
      <c r="CK47" s="10">
        <v>2015</v>
      </c>
      <c r="CL47" s="14">
        <f t="shared" si="44"/>
        <v>0.18861742956098473</v>
      </c>
      <c r="CN47" s="14">
        <f t="shared" si="44"/>
        <v>0</v>
      </c>
      <c r="CP47" s="14">
        <f t="shared" si="44"/>
        <v>0</v>
      </c>
      <c r="CQ47" s="10">
        <v>2007</v>
      </c>
      <c r="CR47" s="14">
        <f t="shared" si="44"/>
        <v>0.18786857624262848</v>
      </c>
      <c r="CS47" s="10">
        <v>2012</v>
      </c>
      <c r="CT47" s="14">
        <f t="shared" si="52"/>
        <v>0.18833660956660114</v>
      </c>
      <c r="CU47" s="10">
        <v>2013</v>
      </c>
      <c r="CV47" s="14">
        <f t="shared" si="53"/>
        <v>0.18843021623139566</v>
      </c>
      <c r="CW47" s="10">
        <v>2009</v>
      </c>
      <c r="CX47" s="14">
        <f t="shared" si="54"/>
        <v>0.18805578957221755</v>
      </c>
      <c r="CY47" s="10">
        <v>2014</v>
      </c>
      <c r="DA47" s="10">
        <v>2019</v>
      </c>
      <c r="DC47" s="10">
        <v>2012</v>
      </c>
      <c r="DE47" s="10">
        <v>2002</v>
      </c>
    </row>
    <row r="48" spans="1:109" s="10" customFormat="1" ht="16.5" customHeight="1" thickBot="1">
      <c r="A48" s="119">
        <v>52</v>
      </c>
      <c r="B48" s="596" t="s">
        <v>217</v>
      </c>
      <c r="C48" s="595" t="str">
        <f>E48</f>
        <v>{"dossierInstitution":p.DossierName1,"freigegebeneZahlungen":"5"}</v>
      </c>
      <c r="D48" s="90"/>
      <c r="E48" s="91" t="str">
        <f>F48&amp;G48&amp;H48&amp;I48&amp;J48&amp;K48&amp;L48&amp;M48&amp;N48&amp;O48&amp;P48&amp;Q48&amp;R48&amp;S48&amp;T48&amp;U48&amp;V48&amp;W48&amp;X48</f>
        <v>{"dossierInstitution":p.DossierName1,"freigegebeneZahlungen":"5"}</v>
      </c>
      <c r="F48" s="619" t="s">
        <v>128</v>
      </c>
      <c r="G48" s="611" t="str">
        <f>'001x'!$G$11</f>
        <v>p.DossierName1</v>
      </c>
      <c r="H48" s="609" t="s">
        <v>218</v>
      </c>
      <c r="I48" s="609">
        <v>5</v>
      </c>
      <c r="J48" s="609" t="s">
        <v>37</v>
      </c>
      <c r="K48" s="611"/>
      <c r="L48" s="609"/>
      <c r="M48" s="611"/>
      <c r="N48" s="609"/>
      <c r="O48" s="611"/>
      <c r="P48" s="609"/>
      <c r="Q48" s="611"/>
      <c r="R48" s="609"/>
      <c r="S48" s="611"/>
      <c r="T48" s="609"/>
      <c r="U48" s="611"/>
      <c r="V48" s="609"/>
      <c r="W48" s="611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48">
        <v>17062</v>
      </c>
      <c r="AJ48" s="96"/>
      <c r="AK48" s="4"/>
      <c r="AL48" s="90">
        <v>17338</v>
      </c>
      <c r="AM48" s="14">
        <f t="shared" si="2"/>
        <v>1.0161762982065408</v>
      </c>
      <c r="AN48" s="90">
        <v>11068</v>
      </c>
      <c r="AO48" s="14">
        <f t="shared" si="2"/>
        <v>0.64869300199273239</v>
      </c>
      <c r="AP48" s="90"/>
      <c r="AQ48" s="14">
        <f t="shared" ref="AQ48:AY48" si="57">AP48/($AI48)</f>
        <v>0</v>
      </c>
      <c r="AR48" s="90">
        <v>10928</v>
      </c>
      <c r="AS48" s="14">
        <f t="shared" si="57"/>
        <v>0.64048763333724068</v>
      </c>
      <c r="AT48" s="90">
        <v>11238</v>
      </c>
      <c r="AU48" s="14">
        <f t="shared" si="57"/>
        <v>0.65865666393154376</v>
      </c>
      <c r="AV48" s="90">
        <v>11122</v>
      </c>
      <c r="AW48" s="14">
        <f t="shared" si="57"/>
        <v>0.65185792990270774</v>
      </c>
      <c r="AX48" s="90">
        <v>10650</v>
      </c>
      <c r="AY48" s="14">
        <f t="shared" si="57"/>
        <v>0.62419411557847848</v>
      </c>
      <c r="AZ48" s="90">
        <v>2569</v>
      </c>
      <c r="BA48" s="90"/>
      <c r="BC48" s="14">
        <f t="shared" ref="BC48:BI48" si="58">BB48/($AI48)</f>
        <v>0</v>
      </c>
      <c r="BD48" s="2">
        <v>4707</v>
      </c>
      <c r="BE48" s="14">
        <f t="shared" si="58"/>
        <v>0.27587621615285429</v>
      </c>
      <c r="BF48" s="2">
        <v>4794</v>
      </c>
      <c r="BG48" s="14">
        <f t="shared" si="58"/>
        <v>0.28097526667448131</v>
      </c>
      <c r="BH48" s="2">
        <v>4577</v>
      </c>
      <c r="BI48" s="14">
        <f t="shared" si="58"/>
        <v>0.2682569452584691</v>
      </c>
      <c r="BK48" s="10">
        <v>4849</v>
      </c>
      <c r="BL48" s="14">
        <f t="shared" si="35"/>
        <v>0.28419880436056733</v>
      </c>
      <c r="BM48" s="10">
        <v>4885</v>
      </c>
      <c r="BN48" s="14">
        <f t="shared" ref="BN48:CB48" si="59">BM48/($AI48)</f>
        <v>0.28630875630055092</v>
      </c>
      <c r="BO48" s="10">
        <v>4992</v>
      </c>
      <c r="BP48" s="14">
        <f t="shared" si="59"/>
        <v>0.29258000234439102</v>
      </c>
      <c r="BQ48" s="10">
        <v>4771</v>
      </c>
      <c r="BR48" s="14">
        <f t="shared" si="59"/>
        <v>0.27962724182393622</v>
      </c>
      <c r="BS48" s="10">
        <v>5023</v>
      </c>
      <c r="BT48" s="14">
        <f t="shared" si="59"/>
        <v>0.29439690540382135</v>
      </c>
      <c r="BU48" s="10">
        <v>4921</v>
      </c>
      <c r="BV48" s="14">
        <f t="shared" si="59"/>
        <v>0.2884187082405345</v>
      </c>
      <c r="BW48" s="10">
        <v>4937</v>
      </c>
      <c r="BX48" s="14">
        <f t="shared" si="59"/>
        <v>0.289356464658305</v>
      </c>
      <c r="BY48" s="10">
        <v>4890</v>
      </c>
      <c r="BZ48" s="14">
        <f t="shared" si="59"/>
        <v>0.28660180518110423</v>
      </c>
      <c r="CA48" s="10">
        <v>4979</v>
      </c>
      <c r="CB48" s="14">
        <f t="shared" si="59"/>
        <v>0.29181807525495251</v>
      </c>
      <c r="CC48" s="10">
        <v>4533</v>
      </c>
      <c r="CD48" s="14">
        <f t="shared" ref="CD48:CP48" si="60">CC48/($AI48)</f>
        <v>0.26567811510960027</v>
      </c>
      <c r="CE48" s="10">
        <v>1704</v>
      </c>
      <c r="CF48" s="14">
        <f t="shared" si="60"/>
        <v>9.9871058492556564E-2</v>
      </c>
      <c r="CG48" s="10">
        <v>1697</v>
      </c>
      <c r="CH48" s="14">
        <f t="shared" si="60"/>
        <v>9.9460790059781978E-2</v>
      </c>
      <c r="CI48" s="10">
        <v>2352</v>
      </c>
      <c r="CJ48" s="14">
        <f t="shared" si="60"/>
        <v>0.13785019341226115</v>
      </c>
      <c r="CK48" s="10">
        <v>6734</v>
      </c>
      <c r="CL48" s="14">
        <f t="shared" si="60"/>
        <v>0.3946782323291525</v>
      </c>
      <c r="CN48" s="14">
        <f t="shared" si="60"/>
        <v>0</v>
      </c>
      <c r="CP48" s="14">
        <f t="shared" si="60"/>
        <v>0</v>
      </c>
      <c r="CQ48" s="10">
        <v>4172</v>
      </c>
      <c r="CR48" s="14">
        <f t="shared" ref="CR48" si="61">CQ48/($AI48)</f>
        <v>0.24451998593365373</v>
      </c>
      <c r="CS48" s="10">
        <v>4113</v>
      </c>
      <c r="CT48" s="14">
        <f t="shared" si="52"/>
        <v>0.24106200914312506</v>
      </c>
      <c r="CU48" s="10">
        <v>4013</v>
      </c>
      <c r="CV48" s="14">
        <f t="shared" si="53"/>
        <v>0.23520103153205954</v>
      </c>
      <c r="CW48" s="10">
        <v>4464</v>
      </c>
      <c r="CX48" s="14">
        <f t="shared" si="54"/>
        <v>0.26163404055796508</v>
      </c>
      <c r="CY48" s="10">
        <v>4540</v>
      </c>
      <c r="DA48" s="10">
        <v>5600</v>
      </c>
      <c r="DC48" s="10">
        <v>5791</v>
      </c>
      <c r="DE48" s="10">
        <v>4566</v>
      </c>
    </row>
    <row r="49" spans="1:102" s="2722" customFormat="1" ht="16.5" customHeight="1" thickBot="1">
      <c r="A49" s="2721"/>
      <c r="B49" s="2722" t="s">
        <v>22</v>
      </c>
      <c r="C49" s="2723" t="s">
        <v>23</v>
      </c>
      <c r="D49" s="2724"/>
      <c r="E49" s="2725"/>
      <c r="F49" s="2726"/>
      <c r="G49" s="2727"/>
      <c r="H49" s="2727"/>
      <c r="I49" s="2727"/>
      <c r="J49" s="2727"/>
      <c r="K49" s="2727"/>
      <c r="L49" s="2727"/>
      <c r="M49" s="2727"/>
      <c r="N49" s="2727"/>
      <c r="O49" s="2727"/>
      <c r="P49" s="2727"/>
      <c r="Q49" s="2727"/>
      <c r="R49" s="2727"/>
      <c r="S49" s="2727"/>
      <c r="T49" s="2727"/>
      <c r="U49" s="2727"/>
      <c r="V49" s="2727"/>
      <c r="W49" s="2727"/>
      <c r="X49" s="2724"/>
      <c r="Y49" s="2724"/>
      <c r="Z49" s="2724"/>
      <c r="AA49" s="2724"/>
      <c r="AB49" s="2724"/>
      <c r="AC49" s="2724"/>
      <c r="AD49" s="2724"/>
      <c r="AE49" s="2724"/>
      <c r="AF49" s="2724"/>
      <c r="AG49" s="2724"/>
      <c r="AH49" s="2724"/>
      <c r="AI49" s="2724"/>
      <c r="AJ49" s="2728"/>
      <c r="AK49" s="2729"/>
      <c r="AL49" s="2724"/>
      <c r="AM49" s="2730"/>
      <c r="AN49" s="2724"/>
      <c r="AO49" s="2730"/>
      <c r="AP49" s="2724"/>
      <c r="AQ49" s="2730"/>
      <c r="AR49" s="2724"/>
      <c r="AS49" s="2730"/>
      <c r="AT49" s="2724"/>
      <c r="AU49" s="2730"/>
      <c r="AV49" s="2724"/>
      <c r="AW49" s="2730"/>
      <c r="AX49" s="2724"/>
      <c r="AY49" s="2730"/>
      <c r="AZ49" s="2724"/>
      <c r="BA49" s="2724"/>
      <c r="BC49" s="2730"/>
      <c r="BE49" s="2730"/>
      <c r="BG49" s="2730"/>
      <c r="BI49" s="2730"/>
      <c r="BL49" s="2730"/>
      <c r="BN49" s="2730"/>
      <c r="BP49" s="2730"/>
      <c r="BR49" s="2730"/>
      <c r="BT49" s="2730"/>
      <c r="BV49" s="2730"/>
      <c r="BX49" s="2730"/>
      <c r="BZ49" s="2730"/>
      <c r="CB49" s="2730"/>
      <c r="CD49" s="2730"/>
      <c r="CF49" s="2730"/>
      <c r="CH49" s="2730"/>
      <c r="CJ49" s="2730"/>
      <c r="CL49" s="2730"/>
      <c r="CN49" s="2730"/>
      <c r="CP49" s="2730"/>
      <c r="CR49" s="2730"/>
      <c r="CT49" s="2730"/>
      <c r="CV49" s="2730"/>
      <c r="CX49" s="2730"/>
    </row>
    <row r="50" spans="1:102" s="10" customFormat="1" ht="16.5" customHeight="1" thickBot="1">
      <c r="A50" s="49"/>
      <c r="B50" s="19" t="s">
        <v>134</v>
      </c>
      <c r="C50" s="38" t="str">
        <f>E50</f>
        <v>{"username":"Bern.Buchhalter@diartis.ch","password":"HBcc73+ppTX42?E."}</v>
      </c>
      <c r="D50" s="90"/>
      <c r="E50" s="91" t="str">
        <f>F50&amp;G50&amp;H50&amp;I50&amp;J50&amp;K50&amp;L50&amp;M50&amp;N50&amp;O50&amp;P50&amp;Q50&amp;R50&amp;S50&amp;T50&amp;U50&amp;V50&amp;W50&amp;X50</f>
        <v>{"username":"Bern.Buchhalter@diartis.ch","password":"HBcc73+ppTX42?E."}</v>
      </c>
      <c r="F50" s="609" t="s">
        <v>29</v>
      </c>
      <c r="G50" s="611" t="s">
        <v>219</v>
      </c>
      <c r="H50" s="609" t="s">
        <v>31</v>
      </c>
      <c r="I50" s="611" t="s">
        <v>220</v>
      </c>
      <c r="J50" s="609" t="s">
        <v>37</v>
      </c>
      <c r="K50" s="614"/>
      <c r="L50" s="609"/>
      <c r="M50" s="611"/>
      <c r="N50" s="609"/>
      <c r="O50" s="611"/>
      <c r="P50" s="609"/>
      <c r="Q50" s="611"/>
      <c r="R50" s="609"/>
      <c r="S50" s="611"/>
      <c r="T50" s="609"/>
      <c r="U50" s="611"/>
      <c r="V50" s="609"/>
      <c r="W50" s="611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6"/>
      <c r="AK50" s="4"/>
      <c r="AL50" s="90"/>
      <c r="AM50" s="132"/>
      <c r="AN50" s="90"/>
      <c r="AO50" s="132"/>
      <c r="AP50" s="90"/>
      <c r="AQ50" s="132"/>
      <c r="AR50" s="90"/>
      <c r="AS50" s="132"/>
      <c r="AT50" s="90"/>
      <c r="AU50" s="132"/>
      <c r="AV50" s="90"/>
      <c r="AW50" s="132"/>
      <c r="AX50" s="90"/>
      <c r="AY50" s="132"/>
      <c r="AZ50" s="90"/>
      <c r="BA50" s="90"/>
      <c r="BC50" s="132"/>
      <c r="BE50" s="132"/>
      <c r="BG50" s="132"/>
      <c r="BI50" s="132"/>
      <c r="BL50" s="132"/>
      <c r="BN50" s="132"/>
      <c r="BP50" s="132"/>
      <c r="BR50" s="132"/>
      <c r="BT50" s="132"/>
      <c r="BV50" s="132"/>
      <c r="BX50" s="132"/>
      <c r="BZ50" s="132"/>
      <c r="CB50" s="132"/>
      <c r="CD50" s="132"/>
      <c r="CF50" s="132"/>
      <c r="CH50" s="132"/>
      <c r="CJ50" s="132"/>
      <c r="CL50" s="132"/>
      <c r="CN50" s="132"/>
      <c r="CP50" s="132"/>
      <c r="CR50" s="132"/>
      <c r="CT50" s="132"/>
      <c r="CV50" s="132"/>
      <c r="CX50" s="132"/>
    </row>
    <row r="51" spans="1:102" s="53" customFormat="1" ht="16.5" customHeight="1" thickBot="1">
      <c r="A51" s="49"/>
      <c r="B51" s="134" t="s">
        <v>22</v>
      </c>
      <c r="C51" s="55" t="s">
        <v>194</v>
      </c>
      <c r="D51" s="90"/>
      <c r="E51" s="124"/>
      <c r="F51" s="624"/>
      <c r="G51" s="611"/>
      <c r="H51" s="611"/>
      <c r="I51" s="611"/>
      <c r="J51" s="611"/>
      <c r="K51" s="625"/>
      <c r="L51" s="611"/>
      <c r="M51" s="611"/>
      <c r="N51" s="611"/>
      <c r="O51" s="611"/>
      <c r="P51" s="611"/>
      <c r="Q51" s="611"/>
      <c r="R51" s="611"/>
      <c r="S51" s="611"/>
      <c r="T51" s="611"/>
      <c r="U51" s="611"/>
      <c r="V51" s="611"/>
      <c r="W51" s="611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6"/>
      <c r="AK51" s="96"/>
      <c r="AL51" s="90"/>
      <c r="AM51" s="132"/>
      <c r="AN51" s="90"/>
      <c r="AO51" s="132"/>
      <c r="AP51" s="90"/>
      <c r="AQ51" s="132"/>
      <c r="AR51" s="90"/>
      <c r="AS51" s="132"/>
      <c r="AT51" s="90"/>
      <c r="AU51" s="132"/>
      <c r="AV51" s="90"/>
      <c r="AW51" s="132"/>
      <c r="AX51" s="90"/>
      <c r="AY51" s="132"/>
      <c r="AZ51" s="90"/>
      <c r="BA51" s="90"/>
      <c r="BC51" s="132"/>
      <c r="BE51" s="132"/>
      <c r="BG51" s="132"/>
      <c r="BI51" s="132"/>
      <c r="BL51" s="132"/>
      <c r="BN51" s="132"/>
      <c r="BP51" s="132"/>
      <c r="BR51" s="132"/>
      <c r="BT51" s="132"/>
      <c r="BV51" s="132"/>
      <c r="BX51" s="132"/>
      <c r="BZ51" s="132"/>
      <c r="CB51" s="132"/>
      <c r="CD51" s="132"/>
      <c r="CF51" s="132"/>
      <c r="CH51" s="132"/>
      <c r="CJ51" s="132"/>
      <c r="CL51" s="132"/>
      <c r="CN51" s="132"/>
      <c r="CP51" s="132"/>
      <c r="CR51" s="132"/>
      <c r="CT51" s="132"/>
      <c r="CV51" s="132"/>
      <c r="CX51" s="132"/>
    </row>
    <row r="52" spans="1:102" s="10" customFormat="1" ht="16.5" customHeight="1" thickBot="1">
      <c r="A52" s="116"/>
      <c r="B52" s="50" t="s">
        <v>139</v>
      </c>
      <c r="C52" s="89" t="str">
        <f>E52</f>
        <v>{"searchDossierOrKlient":p.DossierName1,"resultType":"Dossiers"}</v>
      </c>
      <c r="D52" s="90"/>
      <c r="E52" s="91" t="str">
        <f>F52&amp;G52&amp;H52&amp;I52&amp;J52&amp;K52&amp;L52&amp;M52&amp;N52&amp;O52&amp;P52&amp;Q52&amp;R52&amp;S52&amp;T52&amp;U52&amp;V52&amp;W52&amp;X52</f>
        <v>{"searchDossierOrKlient":p.DossierName1,"resultType":"Dossiers"}</v>
      </c>
      <c r="F52" s="609" t="s">
        <v>140</v>
      </c>
      <c r="G52" s="611" t="str">
        <f>'001x'!$G$11</f>
        <v>p.DossierName1</v>
      </c>
      <c r="H52" s="609" t="s">
        <v>141</v>
      </c>
      <c r="I52" s="611" t="s">
        <v>142</v>
      </c>
      <c r="J52" s="609" t="s">
        <v>37</v>
      </c>
      <c r="K52" s="611"/>
      <c r="L52" s="609"/>
      <c r="M52" s="611"/>
      <c r="N52" s="609"/>
      <c r="O52" s="611"/>
      <c r="P52" s="609"/>
      <c r="Q52" s="611"/>
      <c r="R52" s="609"/>
      <c r="S52" s="611"/>
      <c r="T52" s="609"/>
      <c r="U52" s="611"/>
      <c r="V52" s="609"/>
      <c r="W52" s="611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6"/>
      <c r="AK52" s="96"/>
      <c r="AL52" s="90"/>
      <c r="AM52" s="132"/>
      <c r="AN52" s="90"/>
      <c r="AO52" s="132"/>
      <c r="AP52" s="90"/>
      <c r="AQ52" s="132"/>
      <c r="AR52" s="90"/>
      <c r="AS52" s="132"/>
      <c r="AT52" s="90"/>
      <c r="AU52" s="132"/>
      <c r="AV52" s="90"/>
      <c r="AW52" s="132"/>
      <c r="AX52" s="90"/>
      <c r="AY52" s="132"/>
      <c r="AZ52" s="90"/>
      <c r="BA52" s="90"/>
      <c r="BC52" s="132"/>
      <c r="BE52" s="132"/>
      <c r="BG52" s="132"/>
      <c r="BI52" s="132"/>
      <c r="BL52" s="132"/>
      <c r="BN52" s="132"/>
      <c r="BP52" s="132"/>
      <c r="BR52" s="132"/>
      <c r="BT52" s="132"/>
      <c r="BV52" s="132"/>
      <c r="BX52" s="132"/>
      <c r="BZ52" s="132"/>
      <c r="CB52" s="132"/>
      <c r="CD52" s="132"/>
      <c r="CF52" s="132"/>
      <c r="CH52" s="132"/>
      <c r="CJ52" s="132"/>
      <c r="CL52" s="132"/>
      <c r="CN52" s="132"/>
      <c r="CP52" s="132"/>
      <c r="CR52" s="132"/>
      <c r="CT52" s="132"/>
      <c r="CV52" s="132"/>
      <c r="CX52" s="132"/>
    </row>
    <row r="53" spans="1:102" s="10" customFormat="1" ht="16.5" customHeight="1" thickBot="1">
      <c r="A53" s="21"/>
      <c r="B53" s="135" t="s">
        <v>221</v>
      </c>
      <c r="C53" s="89" t="str">
        <f>E53</f>
        <v>{"bisValutaDatum":"31.12.2024","dossier":p.DossierName1,"zahlungenTotal":"","buchhaltung":`Regionaler Sozialdienst "Bern"`,"zustGemeinde":""}</v>
      </c>
      <c r="D53" s="90"/>
      <c r="E53" s="91" t="str">
        <f>F53&amp;G53&amp;H53&amp;I53&amp;J53&amp;K53&amp;L53&amp;M53&amp;N53&amp;O53&amp;P53&amp;Q53&amp;R53&amp;S53&amp;T53&amp;U53&amp;V53&amp;W53&amp;X53</f>
        <v>{"bisValutaDatum":"31.12.2024","dossier":p.DossierName1,"zahlungenTotal":"","buchhaltung":`Regionaler Sozialdienst "Bern"`,"zustGemeinde":""}</v>
      </c>
      <c r="F53" s="609" t="s">
        <v>222</v>
      </c>
      <c r="G53" s="611" t="s">
        <v>223</v>
      </c>
      <c r="H53" s="609" t="s">
        <v>224</v>
      </c>
      <c r="I53" s="614" t="str">
        <f>G47</f>
        <v>p.DossierName1</v>
      </c>
      <c r="J53" s="609" t="s">
        <v>225</v>
      </c>
      <c r="K53" s="375"/>
      <c r="L53" s="609" t="s">
        <v>226</v>
      </c>
      <c r="M53" s="611" t="s">
        <v>227</v>
      </c>
      <c r="N53" s="609" t="s">
        <v>228</v>
      </c>
      <c r="O53" s="611"/>
      <c r="P53" s="609" t="s">
        <v>37</v>
      </c>
      <c r="Q53" s="611"/>
      <c r="R53" s="609"/>
      <c r="S53" s="611"/>
      <c r="T53" s="609"/>
      <c r="U53" s="611"/>
      <c r="V53" s="609"/>
      <c r="W53" s="611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6"/>
      <c r="AK53" s="96"/>
      <c r="AL53" s="90"/>
      <c r="AM53" s="132"/>
      <c r="AN53" s="90"/>
      <c r="AO53" s="132"/>
      <c r="AP53" s="90"/>
      <c r="AQ53" s="132"/>
      <c r="AR53" s="90"/>
      <c r="AS53" s="132"/>
      <c r="AT53" s="90"/>
      <c r="AU53" s="132"/>
      <c r="AV53" s="90"/>
      <c r="AW53" s="132"/>
      <c r="AX53" s="90"/>
      <c r="AY53" s="132"/>
      <c r="AZ53" s="90"/>
      <c r="BA53" s="90"/>
      <c r="BC53" s="132"/>
      <c r="BE53" s="132"/>
      <c r="BG53" s="132"/>
      <c r="BI53" s="132"/>
      <c r="BL53" s="132"/>
      <c r="BN53" s="132"/>
      <c r="BP53" s="132"/>
      <c r="BR53" s="132"/>
      <c r="BT53" s="132"/>
      <c r="BV53" s="132"/>
      <c r="BX53" s="132"/>
      <c r="BZ53" s="132"/>
      <c r="CB53" s="132"/>
      <c r="CD53" s="132"/>
      <c r="CF53" s="132"/>
      <c r="CH53" s="132"/>
      <c r="CJ53" s="132"/>
      <c r="CL53" s="132"/>
      <c r="CN53" s="132"/>
      <c r="CP53" s="132"/>
      <c r="CR53" s="132"/>
      <c r="CT53" s="132"/>
      <c r="CV53" s="132"/>
      <c r="CX53" s="132"/>
    </row>
    <row r="54" spans="1:102" s="53" customFormat="1" ht="16.5" customHeight="1" thickBot="1">
      <c r="A54" s="49"/>
      <c r="B54" s="54" t="s">
        <v>22</v>
      </c>
      <c r="C54" s="55" t="s">
        <v>126</v>
      </c>
      <c r="D54" s="90"/>
      <c r="E54" s="124"/>
      <c r="F54" s="624"/>
      <c r="G54" s="611"/>
      <c r="H54" s="611"/>
      <c r="I54" s="611"/>
      <c r="J54" s="611"/>
      <c r="K54" s="625"/>
      <c r="L54" s="611"/>
      <c r="M54" s="611"/>
      <c r="N54" s="611"/>
      <c r="O54" s="611"/>
      <c r="P54" s="611"/>
      <c r="Q54" s="611"/>
      <c r="R54" s="611"/>
      <c r="S54" s="611"/>
      <c r="T54" s="611"/>
      <c r="U54" s="611"/>
      <c r="V54" s="611"/>
      <c r="W54" s="611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6"/>
      <c r="AK54" s="96"/>
      <c r="AL54" s="90"/>
      <c r="AM54" s="132"/>
      <c r="AN54" s="90"/>
      <c r="AO54" s="132"/>
      <c r="AP54" s="90"/>
      <c r="AQ54" s="132"/>
      <c r="AR54" s="90"/>
      <c r="AS54" s="132"/>
      <c r="AT54" s="90"/>
      <c r="AU54" s="132"/>
      <c r="AV54" s="90"/>
      <c r="AW54" s="132"/>
      <c r="AX54" s="90"/>
      <c r="AY54" s="132"/>
      <c r="AZ54" s="90"/>
      <c r="BA54" s="90"/>
      <c r="BC54" s="132"/>
      <c r="BE54" s="132"/>
      <c r="BG54" s="132"/>
      <c r="BI54" s="132"/>
      <c r="BL54" s="132"/>
      <c r="BN54" s="132"/>
      <c r="BP54" s="132"/>
      <c r="BR54" s="132"/>
      <c r="BT54" s="132"/>
      <c r="BV54" s="132"/>
      <c r="BX54" s="132"/>
      <c r="BZ54" s="132"/>
      <c r="CB54" s="132"/>
      <c r="CD54" s="132"/>
      <c r="CF54" s="132"/>
      <c r="CH54" s="132"/>
      <c r="CJ54" s="132"/>
      <c r="CL54" s="132"/>
      <c r="CN54" s="132"/>
      <c r="CP54" s="132"/>
      <c r="CR54" s="132"/>
      <c r="CT54" s="132"/>
      <c r="CV54" s="132"/>
      <c r="CX54" s="132"/>
    </row>
    <row r="55" spans="1:102" s="10" customFormat="1" ht="16.5" customHeight="1" thickBot="1">
      <c r="A55" s="21"/>
      <c r="B55" s="16" t="s">
        <v>229</v>
      </c>
      <c r="C55" s="38" t="str">
        <f>E55</f>
        <v>{"dossier":p.DossierName1,"ausgefuehrteZahlungen":"7"}</v>
      </c>
      <c r="D55" s="38"/>
      <c r="E55" s="91" t="str">
        <f>F55&amp;G55&amp;H55&amp;I55&amp;J55&amp;K55&amp;L55&amp;M55&amp;N55&amp;O55&amp;P55&amp;Q55&amp;R55&amp;S55&amp;T55&amp;U55&amp;V55&amp;W55</f>
        <v>{"dossier":p.DossierName1,"ausgefuehrteZahlungen":"7"}</v>
      </c>
      <c r="F55" s="611" t="s">
        <v>159</v>
      </c>
      <c r="G55" s="611" t="str">
        <f>G62</f>
        <v>p.DossierName1</v>
      </c>
      <c r="H55" s="611" t="s">
        <v>230</v>
      </c>
      <c r="I55" s="609">
        <v>7</v>
      </c>
      <c r="J55" s="611" t="s">
        <v>37</v>
      </c>
      <c r="K55" s="611"/>
      <c r="L55" s="611"/>
      <c r="M55" s="611"/>
      <c r="N55" s="611"/>
      <c r="O55" s="625"/>
      <c r="P55" s="611"/>
      <c r="Q55" s="611"/>
      <c r="R55" s="611"/>
      <c r="S55" s="611"/>
      <c r="T55" s="611"/>
      <c r="U55" s="611"/>
      <c r="V55" s="611"/>
      <c r="W55" s="611"/>
      <c r="X55" s="2"/>
      <c r="Y55" s="2" t="s">
        <v>37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96"/>
      <c r="AK55" s="96"/>
      <c r="AL55" s="2"/>
      <c r="AM55" s="132"/>
      <c r="AN55" s="2"/>
      <c r="AO55" s="132"/>
      <c r="AP55" s="2"/>
      <c r="AQ55" s="132"/>
      <c r="AR55" s="2"/>
      <c r="AS55" s="132"/>
      <c r="AT55" s="2"/>
      <c r="AU55" s="132"/>
      <c r="AV55" s="2"/>
      <c r="AW55" s="132"/>
      <c r="AX55" s="2"/>
      <c r="AY55" s="132"/>
      <c r="AZ55" s="2"/>
      <c r="BA55" s="2"/>
      <c r="BC55" s="132"/>
      <c r="BE55" s="132"/>
      <c r="BG55" s="132"/>
      <c r="BI55" s="132"/>
      <c r="BL55" s="132"/>
      <c r="BN55" s="132"/>
      <c r="BP55" s="132"/>
      <c r="BR55" s="132"/>
      <c r="BT55" s="132"/>
      <c r="BV55" s="132"/>
      <c r="BX55" s="132"/>
      <c r="BZ55" s="132"/>
      <c r="CB55" s="132"/>
      <c r="CD55" s="132"/>
      <c r="CF55" s="132"/>
      <c r="CH55" s="132"/>
      <c r="CJ55" s="132"/>
      <c r="CL55" s="132"/>
      <c r="CN55" s="132"/>
      <c r="CP55" s="132"/>
      <c r="CR55" s="132"/>
      <c r="CT55" s="132"/>
      <c r="CV55" s="132"/>
      <c r="CX55" s="132"/>
    </row>
    <row r="56" spans="1:102" ht="16.5" customHeight="1">
      <c r="A56" s="49"/>
      <c r="B56" s="137" t="s">
        <v>134</v>
      </c>
      <c r="C56" s="88" t="s">
        <v>138</v>
      </c>
      <c r="E56" s="2" t="str">
        <f>F56&amp;G56&amp;H56&amp;I56&amp;J56&amp;K56&amp;L56&amp;M56&amp;N56&amp;O56&amp;P56&amp;Q56&amp;R56&amp;S56&amp;T56&amp;U56&amp;V56&amp;W56&amp;X56</f>
        <v>{"username":"Bern.Sachbearbeiterin@diartis.ch","password":"XXxa22?pdTA66-S@"}</v>
      </c>
      <c r="F56" s="609" t="s">
        <v>29</v>
      </c>
      <c r="G56" s="611" t="s">
        <v>30</v>
      </c>
      <c r="H56" s="609" t="s">
        <v>31</v>
      </c>
      <c r="I56" s="611" t="s">
        <v>32</v>
      </c>
      <c r="J56" s="609" t="s">
        <v>37</v>
      </c>
      <c r="AJ56" s="96"/>
      <c r="AK56" s="96"/>
      <c r="AM56" s="132"/>
      <c r="AO56" s="132"/>
      <c r="AQ56" s="132"/>
      <c r="AS56" s="132"/>
      <c r="AU56" s="132"/>
      <c r="AW56" s="132"/>
      <c r="AY56" s="132"/>
      <c r="BC56" s="132"/>
      <c r="BE56" s="132"/>
      <c r="BG56" s="132"/>
      <c r="BI56" s="132"/>
      <c r="BL56" s="132"/>
      <c r="BN56" s="132"/>
      <c r="BP56" s="132"/>
      <c r="BR56" s="132"/>
      <c r="BT56" s="132"/>
      <c r="BV56" s="132"/>
      <c r="BX56" s="132"/>
      <c r="BZ56" s="132"/>
      <c r="CB56" s="132"/>
      <c r="CD56" s="132"/>
      <c r="CF56" s="132"/>
      <c r="CH56" s="132"/>
      <c r="CJ56" s="132"/>
      <c r="CL56" s="132"/>
      <c r="CN56" s="132"/>
      <c r="CP56" s="132"/>
      <c r="CR56" s="132"/>
      <c r="CT56" s="132"/>
      <c r="CV56" s="132"/>
      <c r="CX56" s="132"/>
    </row>
    <row r="57" spans="1:102" ht="14.25"/>
    <row r="58" spans="1:102" ht="16.5" customHeight="1">
      <c r="B58" s="24" t="s">
        <v>231</v>
      </c>
      <c r="C58" s="38"/>
      <c r="E58" s="2"/>
      <c r="K58" s="609" t="s">
        <v>232</v>
      </c>
      <c r="AJ58" s="96"/>
      <c r="AK58" s="96"/>
    </row>
    <row r="59" spans="1:102" ht="16.5" customHeight="1">
      <c r="B59" s="2" t="s">
        <v>233</v>
      </c>
      <c r="C59" s="38"/>
      <c r="E59" s="2"/>
      <c r="AJ59" s="96"/>
      <c r="AK59" s="96"/>
    </row>
    <row r="60" spans="1:102" ht="16.5" customHeight="1">
      <c r="B60" s="2" t="s">
        <v>234</v>
      </c>
      <c r="C60" s="38"/>
      <c r="E60" s="2"/>
      <c r="AJ60" s="4"/>
      <c r="AK60" s="96"/>
    </row>
    <row r="61" spans="1:102" ht="16.5" customHeight="1">
      <c r="B61" s="18" t="s">
        <v>235</v>
      </c>
      <c r="C61" s="38"/>
      <c r="E61" s="2"/>
      <c r="AJ61" s="4"/>
      <c r="AK61" s="2"/>
    </row>
    <row r="62" spans="1:102" ht="16.5" customHeight="1">
      <c r="B62" s="2" t="s">
        <v>233</v>
      </c>
      <c r="C62" s="38"/>
      <c r="E62" s="2"/>
      <c r="F62" s="609" t="s">
        <v>236</v>
      </c>
      <c r="G62" s="611" t="str">
        <f>"p.DossierName"&amp;G67</f>
        <v>p.DossierName1</v>
      </c>
      <c r="H62" s="611" t="str">
        <f>"p.ManFirstName"&amp;G67</f>
        <v>p.ManFirstName1</v>
      </c>
      <c r="I62" s="611" t="str">
        <f>"p.AHVNumber"&amp;G69</f>
        <v>p.AHVNumber1</v>
      </c>
      <c r="J62" s="614" t="str">
        <f>"p.BirthdayAdult"&amp;G67</f>
        <v>p.BirthdayAdult1</v>
      </c>
      <c r="AJ62" s="4"/>
    </row>
    <row r="63" spans="1:102" ht="16.5" customHeight="1">
      <c r="B63" s="2" t="s">
        <v>231</v>
      </c>
      <c r="C63" s="38"/>
      <c r="E63" s="2"/>
      <c r="F63" s="609" t="s">
        <v>237</v>
      </c>
      <c r="G63" s="611" t="str">
        <f>"p.FamilyName"&amp;G67</f>
        <v>p.FamilyName1</v>
      </c>
      <c r="H63" s="611" t="str">
        <f>"p.WomanFirstName"&amp;G67</f>
        <v>p.WomanFirstName1</v>
      </c>
      <c r="I63" s="611" t="str">
        <f>"p.AHVNumber"&amp;G69+1</f>
        <v>p.AHVNumber2</v>
      </c>
      <c r="J63" s="614" t="str">
        <f>"p.BirthdayAdult"&amp;G68</f>
        <v>p.BirthdayAdult2</v>
      </c>
      <c r="AJ63" s="4"/>
      <c r="AK63" s="2"/>
    </row>
    <row r="64" spans="1:102" ht="16.5" customHeight="1">
      <c r="C64" s="38"/>
      <c r="E64" s="2"/>
      <c r="F64" s="609" t="s">
        <v>238</v>
      </c>
      <c r="G64" s="611" t="str">
        <f>G63</f>
        <v>p.FamilyName1</v>
      </c>
      <c r="H64" s="611" t="str">
        <f>"p.GirlFirstName"&amp;G67</f>
        <v>p.GirlFirstName1</v>
      </c>
      <c r="I64" s="611" t="str">
        <f>"p.AHVNumber"&amp;G69+2</f>
        <v>p.AHVNumber3</v>
      </c>
      <c r="J64" s="614" t="str">
        <f>"p.BirthdayKid"&amp;G67</f>
        <v>p.BirthdayKid1</v>
      </c>
      <c r="AJ64" s="4"/>
      <c r="AK64" s="96"/>
    </row>
    <row r="65" spans="2:37" ht="16.5" customHeight="1">
      <c r="B65" s="15" t="s">
        <v>239</v>
      </c>
      <c r="C65" s="38"/>
      <c r="E65" s="2"/>
      <c r="H65" s="611" t="str">
        <f>"p.ManFirstName"&amp;G68</f>
        <v>p.ManFirstName2</v>
      </c>
      <c r="I65" s="611" t="str">
        <f>"p.AHVNumber"&amp;G69+3</f>
        <v>p.AHVNumber4</v>
      </c>
      <c r="J65" s="614" t="str">
        <f>"p.BirthdayKid"&amp;G68</f>
        <v>p.BirthdayKid2</v>
      </c>
      <c r="AJ65" s="4"/>
      <c r="AK65" s="96"/>
    </row>
    <row r="66" spans="2:37" ht="16.5" customHeight="1">
      <c r="C66" s="38"/>
      <c r="E66" s="2"/>
      <c r="AJ66" s="4"/>
      <c r="AK66" s="2"/>
    </row>
    <row r="67" spans="2:37" ht="16.5" customHeight="1">
      <c r="B67" s="2" t="s">
        <v>240</v>
      </c>
      <c r="C67" s="38"/>
      <c r="E67" s="2"/>
      <c r="G67" s="611">
        <v>1</v>
      </c>
      <c r="AJ67" s="4"/>
      <c r="AK67" s="96"/>
    </row>
    <row r="68" spans="2:37" ht="16.5" customHeight="1">
      <c r="B68" s="24" t="s">
        <v>241</v>
      </c>
      <c r="C68" s="38"/>
      <c r="E68" s="2"/>
      <c r="G68" s="611">
        <f>G67+1</f>
        <v>2</v>
      </c>
      <c r="AJ68" s="4"/>
      <c r="AK68" s="96"/>
    </row>
    <row r="69" spans="2:37" ht="16.5" customHeight="1">
      <c r="B69" s="24" t="s">
        <v>242</v>
      </c>
      <c r="C69" s="38"/>
      <c r="E69" s="2"/>
      <c r="G69" s="611">
        <f>G67*4-4+1</f>
        <v>1</v>
      </c>
      <c r="AJ69" s="4"/>
    </row>
    <row r="70" spans="2:37" ht="16.5" customHeight="1" thickBot="1">
      <c r="B70" s="24" t="s">
        <v>243</v>
      </c>
      <c r="C70" s="38"/>
      <c r="E70" s="2"/>
    </row>
    <row r="71" spans="2:37" ht="16.5" customHeight="1">
      <c r="B71" s="24" t="s">
        <v>244</v>
      </c>
      <c r="C71" s="38"/>
      <c r="D71" s="139" t="s">
        <v>245</v>
      </c>
      <c r="E71" s="140"/>
      <c r="F71" s="626"/>
      <c r="G71" s="626"/>
      <c r="H71" s="626"/>
      <c r="I71" s="627"/>
    </row>
    <row r="72" spans="2:37" ht="16.5" customHeight="1">
      <c r="B72" s="144" t="s">
        <v>246</v>
      </c>
      <c r="C72" s="38"/>
      <c r="D72" s="145"/>
      <c r="E72" s="2">
        <f ca="1">MONTH(TODAY())</f>
        <v>11</v>
      </c>
      <c r="F72" s="146" t="str">
        <f t="array" aca="1" ref="F72" ca="1">_xlfn.CHOOSEROWS(H$84:H$107,E72)&amp;" "&amp;_xlfn.CHOOSEROWS(I$84:I$107,E72)</f>
        <v>November 2025</v>
      </c>
      <c r="G72" s="609"/>
      <c r="H72" s="611"/>
      <c r="I72" s="628"/>
    </row>
    <row r="73" spans="2:37" ht="16.5" customHeight="1">
      <c r="B73" s="24" t="s">
        <v>247</v>
      </c>
      <c r="C73" s="38"/>
      <c r="D73" s="145"/>
      <c r="E73" s="2">
        <f ca="1">E72+1</f>
        <v>12</v>
      </c>
      <c r="F73" s="146" t="str">
        <f t="array" aca="1" ref="F73" ca="1">_xlfn.CHOOSEROWS(H$84:H$107,E73)&amp;" "&amp;_xlfn.CHOOSEROWS(I$84:I$107,E73)</f>
        <v>Dezember 2025</v>
      </c>
      <c r="G73" s="609"/>
      <c r="H73" s="611"/>
      <c r="I73" s="628"/>
    </row>
    <row r="74" spans="2:37" ht="16.5" customHeight="1">
      <c r="B74" s="144" t="s">
        <v>248</v>
      </c>
      <c r="C74" s="38"/>
      <c r="D74" s="145"/>
      <c r="E74" s="2">
        <f t="shared" ref="E74:E78" ca="1" si="62">E73+1</f>
        <v>13</v>
      </c>
      <c r="F74" s="146" t="str">
        <f t="array" aca="1" ref="F74" ca="1">_xlfn.CHOOSEROWS(H$84:H$107,E74)&amp;" "&amp;_xlfn.CHOOSEROWS(I$84:I$107,E74)</f>
        <v>Januar 2026</v>
      </c>
      <c r="G74" s="609"/>
      <c r="H74" s="611"/>
      <c r="I74" s="628"/>
    </row>
    <row r="75" spans="2:37" ht="16.5" customHeight="1">
      <c r="C75" s="38"/>
      <c r="D75" s="145"/>
      <c r="E75" s="2">
        <f t="shared" ca="1" si="62"/>
        <v>14</v>
      </c>
      <c r="F75" s="146" t="str">
        <f t="array" aca="1" ref="F75" ca="1">_xlfn.CHOOSEROWS(H$84:H$107,E75)&amp;" "&amp;_xlfn.CHOOSEROWS(I$84:I$107,E75)</f>
        <v>Februar 2026</v>
      </c>
      <c r="G75" s="609"/>
      <c r="H75" s="611"/>
      <c r="I75" s="628"/>
    </row>
    <row r="76" spans="2:37" ht="16.5" customHeight="1">
      <c r="C76" s="38"/>
      <c r="D76" s="145"/>
      <c r="E76" s="2">
        <f t="shared" ca="1" si="62"/>
        <v>15</v>
      </c>
      <c r="F76" s="146" t="str">
        <f t="array" aca="1" ref="F76" ca="1">_xlfn.CHOOSEROWS(H$84:H$107,E76)&amp;" "&amp;_xlfn.CHOOSEROWS(I$84:I$107,E76)</f>
        <v>März 2026</v>
      </c>
      <c r="G76" s="609"/>
      <c r="H76" s="611"/>
      <c r="I76" s="628"/>
    </row>
    <row r="77" spans="2:37" ht="16.5" customHeight="1">
      <c r="C77" s="38"/>
      <c r="D77" s="145"/>
      <c r="E77" s="2">
        <f t="shared" ca="1" si="62"/>
        <v>16</v>
      </c>
      <c r="F77" s="146" t="str">
        <f t="array" aca="1" ref="F77" ca="1">_xlfn.CHOOSEROWS(H$84:H$107,E77)&amp;" "&amp;_xlfn.CHOOSEROWS(I$84:I$107,E77)</f>
        <v>April 2026</v>
      </c>
      <c r="G77" s="609"/>
      <c r="H77" s="611"/>
      <c r="I77" s="628"/>
    </row>
    <row r="78" spans="2:37" ht="16.5" customHeight="1">
      <c r="C78" s="38"/>
      <c r="D78" s="145"/>
      <c r="E78" s="2">
        <f t="shared" ca="1" si="62"/>
        <v>17</v>
      </c>
      <c r="F78" s="146" t="str">
        <f t="array" aca="1" ref="F78" ca="1">_xlfn.CHOOSEROWS(H$84:H$116,E78)&amp;" "&amp;_xlfn.CHOOSEROWS(I$84:I$116,E78)</f>
        <v>Mai 2026</v>
      </c>
      <c r="G78" s="609"/>
      <c r="H78" s="611"/>
      <c r="I78" s="628"/>
    </row>
    <row r="79" spans="2:37" ht="16.5" customHeight="1">
      <c r="C79" s="38"/>
      <c r="D79" s="145"/>
      <c r="E79" s="2"/>
      <c r="F79" s="629"/>
      <c r="G79" s="609"/>
      <c r="H79" s="611"/>
      <c r="I79" s="628"/>
    </row>
    <row r="80" spans="2:37" ht="16.5" customHeight="1">
      <c r="C80" s="38"/>
      <c r="D80" s="145"/>
      <c r="E80" s="2">
        <v>13</v>
      </c>
      <c r="F80" s="611">
        <f t="array" ref="F80">_xlfn.CHOOSEROWS(I84:I107,E80)</f>
        <v>2026</v>
      </c>
      <c r="G80" s="609"/>
      <c r="H80" s="611"/>
      <c r="I80" s="628"/>
    </row>
    <row r="81" spans="3:9" ht="16.5" customHeight="1">
      <c r="C81" s="38"/>
      <c r="D81" s="145"/>
      <c r="E81" s="2"/>
      <c r="F81" s="611"/>
      <c r="G81" s="609"/>
      <c r="H81" s="611"/>
      <c r="I81" s="628"/>
    </row>
    <row r="82" spans="3:9" ht="16.5" customHeight="1">
      <c r="C82" s="38"/>
      <c r="D82" s="145"/>
      <c r="E82" s="2"/>
      <c r="F82" s="611"/>
      <c r="G82" s="609"/>
      <c r="H82" s="611"/>
      <c r="I82" s="628"/>
    </row>
    <row r="83" spans="3:9" ht="16.5" customHeight="1">
      <c r="C83" s="38"/>
      <c r="D83" s="145"/>
      <c r="E83" s="2"/>
      <c r="F83" s="611" t="str">
        <f t="array" ref="F83">_xlfn.CHOOSEROWS(H83:H89,3)</f>
        <v>Februar</v>
      </c>
      <c r="G83" s="609"/>
      <c r="H83" s="611"/>
      <c r="I83" s="628"/>
    </row>
    <row r="84" spans="3:9" ht="16.5" customHeight="1">
      <c r="C84" s="38"/>
      <c r="D84" s="145"/>
      <c r="E84" s="2"/>
      <c r="F84" s="611"/>
      <c r="G84" s="609">
        <v>1</v>
      </c>
      <c r="H84" s="611" t="s">
        <v>249</v>
      </c>
      <c r="I84" s="628">
        <v>2025</v>
      </c>
    </row>
    <row r="85" spans="3:9" ht="16.5" customHeight="1">
      <c r="C85" s="38"/>
      <c r="D85" s="145"/>
      <c r="E85" s="2"/>
      <c r="F85" s="611"/>
      <c r="G85" s="609">
        <v>2</v>
      </c>
      <c r="H85" s="611" t="s">
        <v>250</v>
      </c>
      <c r="I85" s="628">
        <v>2025</v>
      </c>
    </row>
    <row r="86" spans="3:9" ht="16.5" customHeight="1">
      <c r="C86" s="38"/>
      <c r="D86" s="145"/>
      <c r="E86" s="2"/>
      <c r="F86" s="611"/>
      <c r="G86" s="609">
        <v>3</v>
      </c>
      <c r="H86" s="611" t="s">
        <v>251</v>
      </c>
      <c r="I86" s="628">
        <v>2025</v>
      </c>
    </row>
    <row r="87" spans="3:9" ht="16.5" customHeight="1">
      <c r="C87" s="38"/>
      <c r="D87" s="145"/>
      <c r="E87" s="2"/>
      <c r="F87" s="611"/>
      <c r="G87" s="609">
        <v>4</v>
      </c>
      <c r="H87" s="611" t="s">
        <v>252</v>
      </c>
      <c r="I87" s="628">
        <v>2025</v>
      </c>
    </row>
    <row r="88" spans="3:9" ht="16.5" customHeight="1">
      <c r="C88" s="38"/>
      <c r="D88" s="145"/>
      <c r="E88" s="2"/>
      <c r="F88" s="611"/>
      <c r="G88" s="609">
        <v>5</v>
      </c>
      <c r="H88" s="611" t="s">
        <v>253</v>
      </c>
      <c r="I88" s="628">
        <v>2025</v>
      </c>
    </row>
    <row r="89" spans="3:9" ht="16.5" customHeight="1">
      <c r="C89" s="38"/>
      <c r="D89" s="145"/>
      <c r="E89" s="2"/>
      <c r="F89" s="611"/>
      <c r="G89" s="609">
        <v>6</v>
      </c>
      <c r="H89" s="611" t="s">
        <v>254</v>
      </c>
      <c r="I89" s="628">
        <v>2025</v>
      </c>
    </row>
    <row r="90" spans="3:9" ht="16.5" customHeight="1">
      <c r="F90" s="611"/>
      <c r="G90" s="609">
        <v>7</v>
      </c>
      <c r="H90" s="611" t="s">
        <v>255</v>
      </c>
      <c r="I90" s="628">
        <v>2025</v>
      </c>
    </row>
    <row r="91" spans="3:9" ht="16.5" customHeight="1">
      <c r="F91" s="611"/>
      <c r="G91" s="609">
        <v>8</v>
      </c>
      <c r="H91" s="611" t="s">
        <v>256</v>
      </c>
      <c r="I91" s="628">
        <v>2025</v>
      </c>
    </row>
    <row r="92" spans="3:9" ht="16.5" customHeight="1">
      <c r="F92" s="611"/>
      <c r="G92" s="609">
        <v>9</v>
      </c>
      <c r="H92" s="611" t="s">
        <v>257</v>
      </c>
      <c r="I92" s="628">
        <v>2025</v>
      </c>
    </row>
    <row r="93" spans="3:9" ht="16.5" customHeight="1">
      <c r="F93" s="611"/>
      <c r="G93" s="609">
        <v>10</v>
      </c>
      <c r="H93" s="611" t="s">
        <v>258</v>
      </c>
      <c r="I93" s="628">
        <v>2025</v>
      </c>
    </row>
    <row r="94" spans="3:9" ht="16.5" customHeight="1">
      <c r="F94" s="611"/>
      <c r="G94" s="609">
        <v>11</v>
      </c>
      <c r="H94" s="611" t="s">
        <v>259</v>
      </c>
      <c r="I94" s="628">
        <v>2025</v>
      </c>
    </row>
    <row r="95" spans="3:9" ht="16.5" customHeight="1">
      <c r="F95" s="611"/>
      <c r="G95" s="609">
        <v>12</v>
      </c>
      <c r="H95" s="611" t="s">
        <v>260</v>
      </c>
      <c r="I95" s="628">
        <v>2025</v>
      </c>
    </row>
    <row r="96" spans="3:9" ht="16.5" customHeight="1">
      <c r="F96" s="611"/>
      <c r="G96" s="609">
        <v>13</v>
      </c>
      <c r="H96" s="611" t="s">
        <v>249</v>
      </c>
      <c r="I96" s="628">
        <v>2026</v>
      </c>
    </row>
    <row r="97" spans="6:9" ht="16.5" customHeight="1">
      <c r="F97" s="611"/>
      <c r="G97" s="609">
        <v>14</v>
      </c>
      <c r="H97" s="611" t="s">
        <v>250</v>
      </c>
      <c r="I97" s="628">
        <v>2026</v>
      </c>
    </row>
    <row r="98" spans="6:9" ht="16.5" customHeight="1">
      <c r="F98" s="611"/>
      <c r="G98" s="609">
        <v>15</v>
      </c>
      <c r="H98" s="611" t="s">
        <v>251</v>
      </c>
      <c r="I98" s="628">
        <v>2026</v>
      </c>
    </row>
    <row r="99" spans="6:9" ht="16.5" customHeight="1">
      <c r="F99" s="611"/>
      <c r="G99" s="609">
        <v>16</v>
      </c>
      <c r="H99" s="611" t="s">
        <v>252</v>
      </c>
      <c r="I99" s="628">
        <v>2026</v>
      </c>
    </row>
    <row r="100" spans="6:9" ht="16.5" customHeight="1">
      <c r="F100" s="611"/>
      <c r="G100" s="609">
        <v>17</v>
      </c>
      <c r="H100" s="611" t="s">
        <v>253</v>
      </c>
      <c r="I100" s="628">
        <v>2026</v>
      </c>
    </row>
    <row r="101" spans="6:9" ht="16.5" customHeight="1">
      <c r="F101" s="611"/>
      <c r="G101" s="609">
        <v>18</v>
      </c>
      <c r="H101" s="611" t="s">
        <v>254</v>
      </c>
      <c r="I101" s="628">
        <v>2026</v>
      </c>
    </row>
    <row r="102" spans="6:9" ht="16.5" customHeight="1">
      <c r="F102" s="611"/>
      <c r="G102" s="609">
        <v>19</v>
      </c>
      <c r="H102" s="611" t="s">
        <v>255</v>
      </c>
      <c r="I102" s="628">
        <v>2026</v>
      </c>
    </row>
    <row r="103" spans="6:9" ht="16.5" customHeight="1">
      <c r="F103" s="611"/>
      <c r="G103" s="609">
        <v>20</v>
      </c>
      <c r="H103" s="611" t="s">
        <v>256</v>
      </c>
      <c r="I103" s="628">
        <v>2026</v>
      </c>
    </row>
    <row r="104" spans="6:9" ht="16.5" customHeight="1">
      <c r="F104" s="611"/>
      <c r="G104" s="609">
        <v>21</v>
      </c>
      <c r="H104" s="611" t="s">
        <v>257</v>
      </c>
      <c r="I104" s="628">
        <v>2026</v>
      </c>
    </row>
    <row r="105" spans="6:9" ht="16.5" customHeight="1">
      <c r="F105" s="611"/>
      <c r="G105" s="609">
        <v>22</v>
      </c>
      <c r="H105" s="611" t="s">
        <v>258</v>
      </c>
      <c r="I105" s="628">
        <v>2026</v>
      </c>
    </row>
    <row r="106" spans="6:9" ht="16.5" customHeight="1">
      <c r="F106" s="611"/>
      <c r="G106" s="609">
        <v>23</v>
      </c>
      <c r="H106" s="611" t="s">
        <v>259</v>
      </c>
      <c r="I106" s="628">
        <v>2026</v>
      </c>
    </row>
    <row r="107" spans="6:9" ht="16.5" customHeight="1" thickBot="1">
      <c r="F107" s="630"/>
      <c r="G107" s="609">
        <v>24</v>
      </c>
      <c r="H107" s="631" t="s">
        <v>260</v>
      </c>
      <c r="I107" s="628">
        <v>2026</v>
      </c>
    </row>
    <row r="108" spans="6:9" ht="16.5" customHeight="1">
      <c r="G108" s="609">
        <v>25</v>
      </c>
      <c r="H108" s="611" t="s">
        <v>249</v>
      </c>
      <c r="I108" s="628">
        <v>2027</v>
      </c>
    </row>
    <row r="109" spans="6:9" ht="16.5" customHeight="1">
      <c r="G109" s="609">
        <v>26</v>
      </c>
      <c r="H109" s="611" t="s">
        <v>250</v>
      </c>
      <c r="I109" s="628">
        <v>2027</v>
      </c>
    </row>
    <row r="110" spans="6:9" ht="16.5" customHeight="1">
      <c r="G110" s="609">
        <v>27</v>
      </c>
      <c r="H110" s="611" t="s">
        <v>251</v>
      </c>
      <c r="I110" s="628">
        <v>2027</v>
      </c>
    </row>
    <row r="111" spans="6:9" ht="16.5" customHeight="1">
      <c r="G111" s="609">
        <v>28</v>
      </c>
      <c r="H111" s="611" t="s">
        <v>252</v>
      </c>
      <c r="I111" s="628">
        <v>2027</v>
      </c>
    </row>
    <row r="112" spans="6:9" ht="16.5" customHeight="1">
      <c r="G112" s="609">
        <v>29</v>
      </c>
      <c r="H112" s="611" t="s">
        <v>253</v>
      </c>
      <c r="I112" s="628">
        <v>2027</v>
      </c>
    </row>
    <row r="113" spans="7:9" ht="16.5" customHeight="1">
      <c r="G113" s="609">
        <v>30</v>
      </c>
      <c r="H113" s="611" t="s">
        <v>254</v>
      </c>
      <c r="I113" s="628">
        <v>2027</v>
      </c>
    </row>
    <row r="114" spans="7:9" ht="16.5" customHeight="1">
      <c r="G114" s="609">
        <v>31</v>
      </c>
      <c r="H114" s="611" t="s">
        <v>255</v>
      </c>
      <c r="I114" s="628">
        <v>2027</v>
      </c>
    </row>
    <row r="115" spans="7:9" ht="16.5" customHeight="1">
      <c r="G115" s="609">
        <v>32</v>
      </c>
      <c r="H115" s="611" t="s">
        <v>256</v>
      </c>
      <c r="I115" s="628">
        <v>2027</v>
      </c>
    </row>
    <row r="116" spans="7:9" ht="16.5" customHeight="1">
      <c r="G116" s="609">
        <v>33</v>
      </c>
      <c r="H116" s="611" t="s">
        <v>257</v>
      </c>
      <c r="I116" s="628">
        <v>2027</v>
      </c>
    </row>
  </sheetData>
  <conditionalFormatting sqref="AM2:AM142 AO2:AO142 AQ2:AQ142 AS2:AS142 AU2:AU142 AW2:AW142 AY2:AY142 BC2:BC142 BE2:BE142">
    <cfRule type="colorScale" priority="2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2:BG142">
    <cfRule type="colorScale" priority="2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2:BI142">
    <cfRule type="colorScale" priority="2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2:BL142">
    <cfRule type="colorScale" priority="2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2:BN142">
    <cfRule type="colorScale" priority="1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2:BP142">
    <cfRule type="colorScale" priority="1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2:BR142">
    <cfRule type="colorScale" priority="1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2:BT142">
    <cfRule type="colorScale" priority="1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2:BV142">
    <cfRule type="colorScale" priority="1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2:BX142">
    <cfRule type="colorScale" priority="1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2:BZ142">
    <cfRule type="colorScale" priority="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2:CB142">
    <cfRule type="colorScale" priority="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2:CD142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2:CF142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2:CH142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2:CJ142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2:CL142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2:CN142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2:CP142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2:CR142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T2:CT142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V2:CV142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X2:CX142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G2" r:id="rId1" xr:uid="{D05E6621-A40A-4966-91C2-AD06531D57C4}"/>
    <hyperlink ref="G3" r:id="rId2" xr:uid="{3143E73B-B8C7-4FB3-975B-EFF20502F809}"/>
    <hyperlink ref="K6" r:id="rId3" xr:uid="{7C00E874-4017-4996-BA16-85878D40466A}"/>
    <hyperlink ref="G13" r:id="rId4" xr:uid="{9C618349-4D5F-46C4-BFA5-F0D3D71FA5CA}"/>
    <hyperlink ref="I13" r:id="rId5" xr:uid="{C15287E8-D9E2-4ED8-9BB7-40EFFADA107B}"/>
    <hyperlink ref="G15" r:id="rId6" xr:uid="{A56B0787-8791-4179-906A-870511109346}"/>
    <hyperlink ref="I15" r:id="rId7" xr:uid="{26A7DCE5-0071-48DB-B54C-DB3086E0B25B}"/>
    <hyperlink ref="G34" r:id="rId8" xr:uid="{EF577F9B-8F48-4820-8741-0A5F77B64F0D}"/>
    <hyperlink ref="I34" r:id="rId9" xr:uid="{7EA335F8-A0D5-4010-9173-C2B2C3EC91EC}"/>
    <hyperlink ref="G35" r:id="rId10" xr:uid="{88C48578-BEFD-4F2C-8731-F7FAEB71ED5A}"/>
    <hyperlink ref="I35" r:id="rId11" xr:uid="{38F42CA2-D853-4D18-9817-0575C3EDCDB7}"/>
    <hyperlink ref="G37" r:id="rId12" xr:uid="{19D2FD26-FF99-4828-B00C-086172A82246}"/>
    <hyperlink ref="I37" r:id="rId13" xr:uid="{51FA26E4-1722-4365-9E4C-8C8120547355}"/>
    <hyperlink ref="G39" r:id="rId14" xr:uid="{26DF2A18-8AC8-43A0-877F-C2D220D136B7}"/>
    <hyperlink ref="I39" r:id="rId15" xr:uid="{DDBB4346-E199-47FC-9DDB-0CFA91EC847A}"/>
    <hyperlink ref="G56" r:id="rId16" xr:uid="{73D2BB57-1DDC-450C-8273-DF49E22828A0}"/>
    <hyperlink ref="I56" r:id="rId17" xr:uid="{9F91B565-2845-442A-8590-BBB7E632AC42}"/>
  </hyperlinks>
  <pageMargins left="0.7" right="0.7" top="0.75" bottom="0.75" header="0.3" footer="0.3"/>
  <pageSetup paperSize="9"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DL117"/>
  <sheetViews>
    <sheetView zoomScale="70" zoomScaleNormal="70" workbookViewId="0">
      <pane xSplit="2" ySplit="1" topLeftCell="D2" activePane="bottomRight" state="frozen"/>
      <selection activeCell="H1" sqref="H1"/>
      <selection pane="topRight" activeCell="H1" sqref="H1"/>
      <selection pane="bottomLeft" activeCell="H1" sqref="H1"/>
      <selection pane="bottomRight" activeCell="B16" sqref="B16"/>
    </sheetView>
  </sheetViews>
  <sheetFormatPr defaultColWidth="9.140625" defaultRowHeight="16.5" customHeight="1"/>
  <cols>
    <col min="1" max="1" width="9.140625" style="1" customWidth="1"/>
    <col min="2" max="2" width="89.85546875" style="2" customWidth="1"/>
    <col min="3" max="3" width="159.7109375" style="12" customWidth="1"/>
    <col min="4" max="4" width="7.140625" style="2" customWidth="1"/>
    <col min="5" max="5" width="9.7109375" style="12" customWidth="1"/>
    <col min="6" max="6" width="30" style="609" customWidth="1"/>
    <col min="7" max="7" width="83" style="611" customWidth="1"/>
    <col min="8" max="8" width="22" style="609" customWidth="1"/>
    <col min="9" max="9" width="36.28515625" style="611" customWidth="1"/>
    <col min="10" max="10" width="10.5703125" style="609" customWidth="1"/>
    <col min="11" max="11" width="23.5703125" style="611" customWidth="1"/>
    <col min="12" max="12" width="9.28515625" style="609" customWidth="1"/>
    <col min="13" max="13" width="24.42578125" style="611" customWidth="1"/>
    <col min="14" max="14" width="9.140625" style="609" customWidth="1"/>
    <col min="15" max="15" width="40.42578125" style="611" customWidth="1"/>
    <col min="16" max="16" width="9.140625" style="609" customWidth="1"/>
    <col min="17" max="17" width="16.140625" style="611" customWidth="1"/>
    <col min="18" max="18" width="9.140625" style="609" customWidth="1"/>
    <col min="19" max="19" width="9.140625" style="611" customWidth="1"/>
    <col min="20" max="20" width="9.140625" style="609" customWidth="1"/>
    <col min="21" max="21" width="9.140625" style="611" customWidth="1"/>
    <col min="22" max="22" width="9.140625" style="609" customWidth="1"/>
    <col min="23" max="23" width="9.140625" style="611" customWidth="1"/>
    <col min="24" max="25" width="9.140625" style="2" customWidth="1"/>
    <col min="26" max="26" width="13" style="2" hidden="1" customWidth="1"/>
    <col min="27" max="33" width="9.140625" style="2" hidden="1" customWidth="1"/>
    <col min="34" max="34" width="9.140625" style="2" customWidth="1"/>
    <col min="35" max="35" width="10.5703125" style="2" customWidth="1"/>
    <col min="36" max="36" width="14.7109375" style="36" customWidth="1"/>
    <col min="37" max="37" width="14.7109375" style="4" customWidth="1"/>
    <col min="38" max="38" width="15.28515625" style="2" customWidth="1"/>
    <col min="39" max="39" width="14.7109375" style="4" customWidth="1"/>
    <col min="40" max="40" width="12.7109375" style="2" customWidth="1"/>
    <col min="41" max="41" width="14.7109375" style="4" customWidth="1"/>
    <col min="42" max="42" width="14.28515625" style="2" customWidth="1"/>
    <col min="43" max="43" width="14.7109375" style="4" customWidth="1"/>
    <col min="44" max="44" width="13.85546875" style="2" customWidth="1"/>
    <col min="45" max="45" width="14.7109375" style="4" customWidth="1"/>
    <col min="46" max="46" width="17.140625" style="2" customWidth="1"/>
    <col min="47" max="47" width="14.7109375" style="4" customWidth="1"/>
    <col min="48" max="48" width="11.85546875" style="2" customWidth="1"/>
    <col min="49" max="49" width="14.7109375" style="4" customWidth="1"/>
    <col min="50" max="50" width="15.7109375" style="2" customWidth="1"/>
    <col min="51" max="51" width="14.7109375" style="4" customWidth="1"/>
    <col min="52" max="52" width="11.5703125" style="2" customWidth="1"/>
    <col min="53" max="53" width="20.42578125" style="2" customWidth="1"/>
    <col min="54" max="54" width="9.7109375" style="2" customWidth="1"/>
    <col min="55" max="55" width="14.7109375" style="4" customWidth="1"/>
    <col min="56" max="56" width="10.85546875" style="2" customWidth="1"/>
    <col min="57" max="57" width="14.7109375" style="4" customWidth="1"/>
    <col min="58" max="58" width="19.85546875" style="2" customWidth="1"/>
    <col min="59" max="59" width="14.7109375" style="4" customWidth="1"/>
    <col min="60" max="60" width="20.42578125" style="2" customWidth="1"/>
    <col min="61" max="61" width="14.7109375" style="4" customWidth="1"/>
    <col min="62" max="62" width="9.140625" style="2" customWidth="1"/>
    <col min="63" max="63" width="20" style="2" customWidth="1"/>
    <col min="64" max="64" width="14.7109375" style="4" customWidth="1"/>
    <col min="65" max="65" width="20" style="2" customWidth="1"/>
    <col min="66" max="66" width="14.7109375" style="4" customWidth="1"/>
    <col min="67" max="67" width="20" style="2" customWidth="1"/>
    <col min="68" max="68" width="14.7109375" style="4" customWidth="1"/>
    <col min="69" max="69" width="20" style="2" customWidth="1"/>
    <col min="70" max="70" width="14.7109375" style="4" customWidth="1"/>
    <col min="71" max="71" width="20" style="2" customWidth="1"/>
    <col min="72" max="72" width="14.7109375" style="4" customWidth="1"/>
    <col min="73" max="73" width="20" style="2" customWidth="1"/>
    <col min="74" max="74" width="14.7109375" style="4" customWidth="1"/>
    <col min="75" max="75" width="20" style="2" customWidth="1"/>
    <col min="76" max="76" width="14.7109375" style="4" customWidth="1"/>
    <col min="77" max="77" width="20" style="2" customWidth="1"/>
    <col min="78" max="78" width="14.7109375" style="4" customWidth="1"/>
    <col min="79" max="79" width="20" style="2" customWidth="1"/>
    <col min="80" max="80" width="14.7109375" style="4" customWidth="1"/>
    <col min="81" max="81" width="20" style="2" customWidth="1"/>
    <col min="82" max="82" width="14.7109375" style="4" customWidth="1"/>
    <col min="83" max="83" width="20" style="2" customWidth="1"/>
    <col min="84" max="84" width="14.7109375" style="4" customWidth="1"/>
    <col min="85" max="85" width="20" style="2" customWidth="1"/>
    <col min="86" max="86" width="14.7109375" style="4" customWidth="1"/>
    <col min="87" max="87" width="20" style="2" customWidth="1"/>
    <col min="88" max="88" width="14.7109375" style="4" customWidth="1"/>
    <col min="89" max="89" width="20" style="2" customWidth="1"/>
    <col min="90" max="90" width="14.7109375" style="4" customWidth="1"/>
    <col min="91" max="91" width="20" style="2" customWidth="1"/>
    <col min="92" max="92" width="14.7109375" style="4" customWidth="1"/>
    <col min="93" max="93" width="20" style="2" customWidth="1"/>
    <col min="94" max="94" width="14.7109375" style="4" customWidth="1"/>
    <col min="95" max="95" width="20" style="2" customWidth="1"/>
    <col min="96" max="96" width="14.7109375" style="4" customWidth="1"/>
    <col min="97" max="97" width="20" style="2" customWidth="1"/>
    <col min="98" max="98" width="14.7109375" style="4" customWidth="1"/>
    <col min="99" max="99" width="20" style="2" customWidth="1"/>
    <col min="100" max="100" width="14.7109375" style="4" customWidth="1"/>
    <col min="101" max="101" width="20" style="2" customWidth="1"/>
    <col min="102" max="102" width="14.7109375" style="4" customWidth="1"/>
    <col min="103" max="103" width="20" style="2" customWidth="1"/>
    <col min="104" max="104" width="50" style="2" customWidth="1"/>
    <col min="105" max="105" width="20" style="2" customWidth="1"/>
    <col min="106" max="106" width="50" style="2" customWidth="1"/>
    <col min="107" max="107" width="20" style="2" customWidth="1"/>
    <col min="108" max="108" width="50" style="2" customWidth="1"/>
    <col min="109" max="109" width="20" style="2" customWidth="1"/>
    <col min="110" max="110" width="50" style="2" customWidth="1"/>
    <col min="111" max="111" width="20" style="2" customWidth="1"/>
    <col min="112" max="112" width="50" style="2" customWidth="1"/>
    <col min="113" max="113" width="20" style="2" customWidth="1"/>
    <col min="114" max="114" width="50" style="2" customWidth="1"/>
    <col min="115" max="115" width="20" style="2" customWidth="1"/>
    <col min="116" max="116" width="50" style="2" customWidth="1"/>
    <col min="117" max="16384" width="9.140625" style="2"/>
  </cols>
  <sheetData>
    <row r="1" spans="1:116" ht="16.5" customHeight="1">
      <c r="A1" s="5" t="s">
        <v>59</v>
      </c>
      <c r="B1" s="37" t="s">
        <v>60</v>
      </c>
      <c r="C1" s="38" t="s">
        <v>61</v>
      </c>
      <c r="D1" s="39" t="s">
        <v>3</v>
      </c>
      <c r="E1" s="40"/>
      <c r="F1" s="609" t="s">
        <v>4</v>
      </c>
      <c r="G1" s="2558">
        <f>5*60*1000*SpeedFaktor</f>
        <v>300000</v>
      </c>
      <c r="H1" s="609">
        <v>50</v>
      </c>
      <c r="AH1" s="2" t="s">
        <v>5</v>
      </c>
      <c r="AI1" s="42" t="s">
        <v>62</v>
      </c>
      <c r="AJ1" s="4"/>
      <c r="AK1" s="7" t="s">
        <v>5</v>
      </c>
      <c r="AL1" s="2" t="s">
        <v>63</v>
      </c>
      <c r="AM1" s="43" t="s">
        <v>8</v>
      </c>
      <c r="AN1" s="3" t="s">
        <v>64</v>
      </c>
      <c r="AO1" s="24" t="s">
        <v>8</v>
      </c>
      <c r="AP1" s="3" t="s">
        <v>9</v>
      </c>
      <c r="AQ1" s="24" t="s">
        <v>8</v>
      </c>
      <c r="AR1" s="3" t="s">
        <v>10</v>
      </c>
      <c r="AS1" s="24" t="s">
        <v>8</v>
      </c>
      <c r="AT1" s="2" t="s">
        <v>11</v>
      </c>
      <c r="AU1" s="24" t="s">
        <v>8</v>
      </c>
      <c r="AV1" s="2" t="s">
        <v>12</v>
      </c>
      <c r="AW1" s="24" t="s">
        <v>8</v>
      </c>
      <c r="AX1" s="2" t="s">
        <v>13</v>
      </c>
      <c r="AY1" s="24" t="s">
        <v>8</v>
      </c>
      <c r="AZ1" s="2" t="s">
        <v>65</v>
      </c>
      <c r="BA1" s="2" t="s">
        <v>66</v>
      </c>
      <c r="BB1" s="2" t="s">
        <v>15</v>
      </c>
      <c r="BC1" s="24" t="s">
        <v>8</v>
      </c>
      <c r="BD1" s="2" t="s">
        <v>17</v>
      </c>
      <c r="BE1" s="24" t="s">
        <v>8</v>
      </c>
      <c r="BF1" s="2" t="s">
        <v>1285</v>
      </c>
      <c r="BG1" s="24" t="s">
        <v>8</v>
      </c>
      <c r="BH1" s="2" t="s">
        <v>1286</v>
      </c>
      <c r="BI1" s="24" t="s">
        <v>8</v>
      </c>
      <c r="BK1" s="488" t="s">
        <v>1303</v>
      </c>
      <c r="BL1" s="24" t="s">
        <v>8</v>
      </c>
      <c r="BM1" s="572" t="s">
        <v>1306</v>
      </c>
      <c r="BN1" s="24" t="s">
        <v>8</v>
      </c>
      <c r="BO1" s="788" t="s">
        <v>1311</v>
      </c>
      <c r="BP1" s="24" t="s">
        <v>8</v>
      </c>
      <c r="BQ1" s="914" t="s">
        <v>1318</v>
      </c>
      <c r="BR1" s="24" t="s">
        <v>8</v>
      </c>
      <c r="BS1" s="1039" t="s">
        <v>1322</v>
      </c>
      <c r="BT1" s="24" t="s">
        <v>8</v>
      </c>
      <c r="BU1" s="1061" t="s">
        <v>1324</v>
      </c>
      <c r="BV1" s="24" t="s">
        <v>8</v>
      </c>
      <c r="BW1" s="1183" t="s">
        <v>1327</v>
      </c>
      <c r="BX1" s="24" t="s">
        <v>8</v>
      </c>
      <c r="BY1" s="1240" t="s">
        <v>1335</v>
      </c>
      <c r="BZ1" s="24" t="s">
        <v>8</v>
      </c>
      <c r="CA1" s="1261" t="s">
        <v>1341</v>
      </c>
      <c r="CB1" s="24" t="s">
        <v>8</v>
      </c>
      <c r="CC1" s="1488" t="s">
        <v>1361</v>
      </c>
      <c r="CD1" s="24" t="s">
        <v>8</v>
      </c>
      <c r="CE1" s="1497" t="s">
        <v>1363</v>
      </c>
      <c r="CF1" s="24" t="s">
        <v>8</v>
      </c>
      <c r="CG1" s="1645" t="s">
        <v>1368</v>
      </c>
      <c r="CH1" s="24" t="s">
        <v>8</v>
      </c>
      <c r="CI1" s="1786" t="s">
        <v>1371</v>
      </c>
      <c r="CJ1" s="24" t="s">
        <v>8</v>
      </c>
      <c r="CK1" s="1927" t="s">
        <v>1375</v>
      </c>
      <c r="CL1" s="24" t="s">
        <v>8</v>
      </c>
      <c r="CM1" s="1979" t="s">
        <v>1387</v>
      </c>
      <c r="CN1" s="24" t="s">
        <v>8</v>
      </c>
      <c r="CO1" s="1985" t="s">
        <v>1388</v>
      </c>
      <c r="CP1" s="24" t="s">
        <v>8</v>
      </c>
      <c r="CQ1" s="1989" t="s">
        <v>1389</v>
      </c>
      <c r="CR1" s="24" t="s">
        <v>8</v>
      </c>
      <c r="CS1" s="2002" t="s">
        <v>1392</v>
      </c>
      <c r="CT1" s="24" t="s">
        <v>8</v>
      </c>
      <c r="CU1" s="2011" t="s">
        <v>1394</v>
      </c>
      <c r="CV1" s="24" t="s">
        <v>8</v>
      </c>
      <c r="CW1" s="2561" t="s">
        <v>1442</v>
      </c>
      <c r="CX1" s="24" t="s">
        <v>8</v>
      </c>
      <c r="CY1" s="2740" t="s">
        <v>1460</v>
      </c>
      <c r="CZ1" s="2741" t="s">
        <v>572</v>
      </c>
      <c r="DA1" s="2908" t="s">
        <v>1472</v>
      </c>
      <c r="DB1" s="2909" t="s">
        <v>572</v>
      </c>
      <c r="DC1" s="3098" t="s">
        <v>1492</v>
      </c>
      <c r="DD1" s="3099" t="s">
        <v>572</v>
      </c>
      <c r="DE1" s="3280" t="s">
        <v>1503</v>
      </c>
      <c r="DF1" s="3281" t="s">
        <v>572</v>
      </c>
      <c r="DG1" s="3450" t="s">
        <v>1519</v>
      </c>
      <c r="DH1" s="3451" t="s">
        <v>572</v>
      </c>
      <c r="DI1" s="3738" t="s">
        <v>1666</v>
      </c>
      <c r="DJ1" s="3739" t="s">
        <v>572</v>
      </c>
      <c r="DK1" s="3963" t="s">
        <v>1717</v>
      </c>
      <c r="DL1" s="3964" t="s">
        <v>572</v>
      </c>
    </row>
    <row r="2" spans="1:116" s="10" customFormat="1" ht="16.5" customHeight="1">
      <c r="A2" s="119">
        <v>1</v>
      </c>
      <c r="B2" s="122" t="s">
        <v>21</v>
      </c>
      <c r="C2" s="44" t="str">
        <f>B59</f>
        <v>{"url":p.aventisURL}</v>
      </c>
      <c r="D2" s="13"/>
      <c r="E2" s="45" t="str">
        <f>F2&amp;G2&amp;H2&amp;I2&amp;J2&amp;K2&amp;L2&amp;M2&amp;N2&amp;O2&amp;P2&amp;Q2&amp;R2&amp;S2&amp;T2&amp;U2&amp;V2&amp;W2&amp;X2</f>
        <v>{"url":"https://dev.aventis.swiss"}</v>
      </c>
      <c r="F2" s="611" t="s">
        <v>67</v>
      </c>
      <c r="G2" s="612" t="s">
        <v>68</v>
      </c>
      <c r="H2" s="611" t="s">
        <v>37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48">
        <v>2535</v>
      </c>
      <c r="AJ2" s="13"/>
      <c r="AK2" s="13"/>
      <c r="AL2" s="13">
        <v>933</v>
      </c>
      <c r="AM2" s="14">
        <f>AL2/($AI2)</f>
        <v>0.36804733727810651</v>
      </c>
      <c r="AN2" s="13">
        <v>554</v>
      </c>
      <c r="AO2" s="14">
        <f>AN2/($AI2)</f>
        <v>0.21854043392504932</v>
      </c>
      <c r="AP2" s="13">
        <v>770</v>
      </c>
      <c r="AQ2" s="14">
        <f>AP2/($AI2)</f>
        <v>0.30374753451676528</v>
      </c>
      <c r="AR2" s="13">
        <v>382</v>
      </c>
      <c r="AS2" s="14">
        <f>AR2/($AI2)</f>
        <v>0.15069033530571993</v>
      </c>
      <c r="AT2" s="13">
        <v>555</v>
      </c>
      <c r="AU2" s="14">
        <f>AT2/($AI2)</f>
        <v>0.21893491124260356</v>
      </c>
      <c r="AV2" s="13">
        <v>356</v>
      </c>
      <c r="AW2" s="14">
        <f>AV2/($AI2)</f>
        <v>0.14043392504930965</v>
      </c>
      <c r="AX2" s="13">
        <v>355</v>
      </c>
      <c r="AY2" s="14">
        <f>AX2/($AI2)</f>
        <v>0.14003944773175542</v>
      </c>
      <c r="AZ2" s="13">
        <v>424</v>
      </c>
      <c r="BA2" s="13"/>
      <c r="BB2" s="2">
        <v>354</v>
      </c>
      <c r="BC2" s="14">
        <f>BB2/($AI2)</f>
        <v>0.13964497041420118</v>
      </c>
      <c r="BD2" s="2">
        <v>4014</v>
      </c>
      <c r="BE2" s="14">
        <f>BD2/($AI2)</f>
        <v>1.5834319526627219</v>
      </c>
      <c r="BF2" s="2">
        <v>4014</v>
      </c>
      <c r="BG2" s="14">
        <f>BF2/($AI2)</f>
        <v>1.5834319526627219</v>
      </c>
      <c r="BH2" s="2">
        <v>4011</v>
      </c>
      <c r="BI2" s="14">
        <f>BH2/($AI2)</f>
        <v>1.5822485207100592</v>
      </c>
      <c r="BK2" s="10">
        <v>338</v>
      </c>
      <c r="BL2" s="14">
        <f>BK2/($AI2)</f>
        <v>0.13333333333333333</v>
      </c>
      <c r="BM2" s="10">
        <v>299</v>
      </c>
      <c r="BN2" s="14">
        <f>BM2/($AI2)</f>
        <v>0.11794871794871795</v>
      </c>
      <c r="BO2" s="10">
        <v>331</v>
      </c>
      <c r="BP2" s="14">
        <f>BO2/($AI2)</f>
        <v>0.13057199211045364</v>
      </c>
      <c r="BQ2" s="10">
        <v>406</v>
      </c>
      <c r="BR2" s="14">
        <f>BQ2/($AI2)</f>
        <v>0.1601577909270217</v>
      </c>
      <c r="BS2" s="10">
        <v>356</v>
      </c>
      <c r="BT2" s="14">
        <f>BS2/($AI2)</f>
        <v>0.14043392504930965</v>
      </c>
      <c r="BU2" s="10">
        <v>295</v>
      </c>
      <c r="BV2" s="14">
        <f>BU2/($AI2)</f>
        <v>0.11637080867850098</v>
      </c>
      <c r="BW2" s="10">
        <v>291</v>
      </c>
      <c r="BX2" s="14">
        <f>BW2/($AI2)</f>
        <v>0.11479289940828402</v>
      </c>
      <c r="BY2" s="10">
        <v>367</v>
      </c>
      <c r="BZ2" s="14">
        <f>BY2/($AI2)</f>
        <v>0.14477317554240632</v>
      </c>
      <c r="CA2" s="10">
        <v>444</v>
      </c>
      <c r="CB2" s="14">
        <f>CA2/($AI2)</f>
        <v>0.17514792899408285</v>
      </c>
      <c r="CC2" s="10">
        <v>354</v>
      </c>
      <c r="CD2" s="14">
        <f>CC2/($AI2)</f>
        <v>0.13964497041420118</v>
      </c>
      <c r="CE2" s="10">
        <v>420</v>
      </c>
      <c r="CF2" s="14">
        <f>CE2/($AI2)</f>
        <v>0.16568047337278108</v>
      </c>
      <c r="CG2" s="10">
        <v>366</v>
      </c>
      <c r="CH2" s="14">
        <f>CG2/($AI2)</f>
        <v>0.14437869822485208</v>
      </c>
      <c r="CI2" s="10">
        <v>173</v>
      </c>
      <c r="CJ2" s="14">
        <f>CI2/($AI2)</f>
        <v>6.8244575936883628E-2</v>
      </c>
      <c r="CK2" s="10">
        <v>1013</v>
      </c>
      <c r="CL2" s="14">
        <f>CK2/($AI2)</f>
        <v>0.39960552268244576</v>
      </c>
      <c r="CM2" s="10">
        <v>707</v>
      </c>
      <c r="CN2" s="14">
        <f>CM2/($AI2)</f>
        <v>0.27889546351084815</v>
      </c>
      <c r="CO2" s="10">
        <v>733</v>
      </c>
      <c r="CP2" s="14">
        <f>CO2/($AI2)</f>
        <v>0.28915187376725837</v>
      </c>
      <c r="CQ2" s="10">
        <v>1009</v>
      </c>
      <c r="CR2" s="14">
        <f>CQ2/($AI2)</f>
        <v>0.39802761341222881</v>
      </c>
      <c r="CS2" s="10">
        <v>953</v>
      </c>
      <c r="CT2" s="14">
        <f>CS2/($AI2)</f>
        <v>0.37593688362919131</v>
      </c>
      <c r="CU2" s="10">
        <v>1182</v>
      </c>
      <c r="CV2" s="14">
        <f>CU2/($AI2)</f>
        <v>0.46627218934911241</v>
      </c>
      <c r="CW2" s="10">
        <v>213</v>
      </c>
      <c r="CX2" s="14">
        <f>CW2/($AI2)</f>
        <v>8.4023668639053251E-2</v>
      </c>
      <c r="CY2" s="10">
        <v>403</v>
      </c>
      <c r="DA2" s="10">
        <v>904</v>
      </c>
      <c r="DC2" s="10">
        <v>335</v>
      </c>
      <c r="DE2" s="10">
        <v>369</v>
      </c>
      <c r="DG2" s="10">
        <v>363</v>
      </c>
      <c r="DI2" s="10">
        <v>243</v>
      </c>
      <c r="DK2" s="10">
        <v>189</v>
      </c>
      <c r="DL2" s="10" t="s">
        <v>1718</v>
      </c>
    </row>
    <row r="3" spans="1:116" s="10" customFormat="1" ht="16.5" customHeight="1" thickBot="1">
      <c r="A3" s="119">
        <v>4</v>
      </c>
      <c r="B3" s="120" t="s">
        <v>25</v>
      </c>
      <c r="C3" s="19" t="str">
        <f t="shared" ref="C3:C9" si="0">E3</f>
        <v>{"username":"bern.sozialarbeiterin1a@diartis.ch","password":"SMze97-jkSJ59!F.","fullname":"Sozialarbeiterin 1A Bern","team":"Sozialarbeit Bern 1"}</v>
      </c>
      <c r="D3" s="13"/>
      <c r="E3" s="45" t="str">
        <f t="shared" ref="E3:E9" si="1"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611" t="s">
        <v>29</v>
      </c>
      <c r="G3" s="612" t="s">
        <v>71</v>
      </c>
      <c r="H3" s="611" t="s">
        <v>31</v>
      </c>
      <c r="I3" s="611" t="s">
        <v>72</v>
      </c>
      <c r="J3" s="611" t="s">
        <v>73</v>
      </c>
      <c r="K3" s="611" t="s">
        <v>74</v>
      </c>
      <c r="L3" s="611" t="s">
        <v>75</v>
      </c>
      <c r="M3" s="611" t="s">
        <v>76</v>
      </c>
      <c r="N3" s="611" t="s">
        <v>37</v>
      </c>
      <c r="O3" s="611"/>
      <c r="P3" s="611"/>
      <c r="Q3" s="611"/>
      <c r="R3" s="611"/>
      <c r="S3" s="611"/>
      <c r="T3" s="611"/>
      <c r="U3" s="611"/>
      <c r="V3" s="611"/>
      <c r="W3" s="611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48">
        <v>407</v>
      </c>
      <c r="AJ3" s="13" t="s">
        <v>38</v>
      </c>
      <c r="AK3" s="26"/>
      <c r="AL3" s="13">
        <v>407</v>
      </c>
      <c r="AM3" s="14">
        <f t="shared" ref="AM3:AO49" si="2">AL3/($AI3)</f>
        <v>1</v>
      </c>
      <c r="AN3" s="13">
        <v>417</v>
      </c>
      <c r="AO3" s="14">
        <f t="shared" si="2"/>
        <v>1.0245700245700247</v>
      </c>
      <c r="AP3" s="13">
        <v>412</v>
      </c>
      <c r="AQ3" s="14">
        <f t="shared" ref="AQ3:AY4" si="3">AP3/($AI3)</f>
        <v>1.0122850122850122</v>
      </c>
      <c r="AR3" s="13">
        <v>421</v>
      </c>
      <c r="AS3" s="14">
        <f t="shared" si="3"/>
        <v>1.0343980343980343</v>
      </c>
      <c r="AT3" s="13">
        <v>403</v>
      </c>
      <c r="AU3" s="14">
        <f t="shared" si="3"/>
        <v>0.9901719901719902</v>
      </c>
      <c r="AV3" s="13">
        <v>411</v>
      </c>
      <c r="AW3" s="14">
        <f t="shared" si="3"/>
        <v>1.0098280098280099</v>
      </c>
      <c r="AX3" s="13">
        <v>1391</v>
      </c>
      <c r="AY3" s="14">
        <f t="shared" si="3"/>
        <v>3.4176904176904177</v>
      </c>
      <c r="AZ3" s="13">
        <v>1355</v>
      </c>
      <c r="BA3" s="13"/>
      <c r="BB3" s="2">
        <v>1177</v>
      </c>
      <c r="BC3" s="14">
        <f t="shared" ref="BC3:BI26" si="4">BB3/($AI3)</f>
        <v>2.8918918918918921</v>
      </c>
      <c r="BD3" s="2">
        <v>410</v>
      </c>
      <c r="BE3" s="14">
        <f t="shared" si="4"/>
        <v>1.0073710073710074</v>
      </c>
      <c r="BF3" s="2">
        <v>416</v>
      </c>
      <c r="BG3" s="14">
        <f t="shared" si="4"/>
        <v>1.0221130221130221</v>
      </c>
      <c r="BH3" s="2">
        <v>404</v>
      </c>
      <c r="BI3" s="14">
        <f t="shared" si="4"/>
        <v>0.99262899262899262</v>
      </c>
      <c r="BK3" s="10">
        <v>413</v>
      </c>
      <c r="BL3" s="14">
        <f t="shared" ref="BL3:BL26" si="5">BK3/($AI3)</f>
        <v>1.0147420147420148</v>
      </c>
      <c r="BM3" s="10">
        <v>403</v>
      </c>
      <c r="BN3" s="14">
        <f t="shared" ref="BN3:CJ26" si="6">BM3/($AI3)</f>
        <v>0.9901719901719902</v>
      </c>
      <c r="BO3" s="10">
        <v>1161</v>
      </c>
      <c r="BP3" s="14">
        <f t="shared" si="6"/>
        <v>2.8525798525798525</v>
      </c>
      <c r="BQ3" s="10">
        <v>1183</v>
      </c>
      <c r="BR3" s="14">
        <f t="shared" si="6"/>
        <v>2.9066339066339064</v>
      </c>
      <c r="BS3" s="10">
        <v>1170</v>
      </c>
      <c r="BT3" s="14">
        <f t="shared" si="6"/>
        <v>2.8746928746928746</v>
      </c>
      <c r="BU3" s="10">
        <v>1089</v>
      </c>
      <c r="BV3" s="14">
        <f t="shared" si="6"/>
        <v>2.6756756756756759</v>
      </c>
      <c r="BW3" s="10">
        <v>1108</v>
      </c>
      <c r="BX3" s="14">
        <f t="shared" si="6"/>
        <v>2.7223587223587224</v>
      </c>
      <c r="BY3" s="10">
        <v>1162</v>
      </c>
      <c r="BZ3" s="14">
        <f t="shared" si="6"/>
        <v>2.8550368550368552</v>
      </c>
      <c r="CA3" s="10">
        <v>1253</v>
      </c>
      <c r="CB3" s="14">
        <f t="shared" si="6"/>
        <v>3.0786240786240788</v>
      </c>
      <c r="CC3" s="10">
        <v>1022</v>
      </c>
      <c r="CD3" s="14">
        <f t="shared" si="6"/>
        <v>2.5110565110565108</v>
      </c>
      <c r="CE3" s="10">
        <v>1168</v>
      </c>
      <c r="CF3" s="14">
        <f t="shared" si="6"/>
        <v>2.86977886977887</v>
      </c>
      <c r="CG3" s="10">
        <v>1042</v>
      </c>
      <c r="CH3" s="14">
        <f t="shared" si="6"/>
        <v>2.5601965601965602</v>
      </c>
      <c r="CI3" s="10">
        <v>774</v>
      </c>
      <c r="CJ3" s="14">
        <f t="shared" si="6"/>
        <v>1.9017199017199018</v>
      </c>
      <c r="CK3" s="10">
        <v>1476</v>
      </c>
      <c r="CL3" s="14">
        <f t="shared" ref="CL3:CL26" si="7">CK3/($AI3)</f>
        <v>3.6265356265356266</v>
      </c>
      <c r="CM3" s="10">
        <v>1335</v>
      </c>
      <c r="CN3" s="14">
        <f t="shared" ref="CN3:CN26" si="8">CM3/($AI3)</f>
        <v>3.2800982800982803</v>
      </c>
      <c r="CO3" s="10">
        <v>1310</v>
      </c>
      <c r="CP3" s="14">
        <f t="shared" ref="CP3:CV26" si="9">CO3/($AI3)</f>
        <v>3.2186732186732185</v>
      </c>
      <c r="CQ3" s="10">
        <v>1597</v>
      </c>
      <c r="CR3" s="14">
        <f t="shared" si="9"/>
        <v>3.9238329238329239</v>
      </c>
      <c r="CS3" s="10">
        <v>1493</v>
      </c>
      <c r="CT3" s="14">
        <f t="shared" si="9"/>
        <v>3.6683046683046685</v>
      </c>
      <c r="CU3" s="10">
        <v>1812</v>
      </c>
      <c r="CV3" s="14">
        <f t="shared" si="9"/>
        <v>4.4520884520884518</v>
      </c>
      <c r="CW3" s="10">
        <v>814</v>
      </c>
      <c r="CX3" s="14">
        <f t="shared" ref="CX3:CX26" si="10">CW3/($AI3)</f>
        <v>2</v>
      </c>
      <c r="CY3" s="10">
        <v>1180</v>
      </c>
      <c r="DA3" s="10">
        <v>1383</v>
      </c>
      <c r="DC3" s="10">
        <v>1128</v>
      </c>
      <c r="DE3" s="10">
        <v>1072</v>
      </c>
      <c r="DG3" s="10">
        <v>1124</v>
      </c>
      <c r="DI3" s="10">
        <v>932</v>
      </c>
      <c r="DK3" s="10">
        <v>481</v>
      </c>
      <c r="DL3" s="10" t="s">
        <v>1718</v>
      </c>
    </row>
    <row r="4" spans="1:116" s="2722" customFormat="1" ht="16.5" customHeight="1" thickBot="1">
      <c r="A4" s="2721">
        <v>50</v>
      </c>
      <c r="B4" s="2722" t="s">
        <v>22</v>
      </c>
      <c r="C4" s="2723" t="s">
        <v>280</v>
      </c>
      <c r="D4" s="2724"/>
      <c r="E4" s="2725"/>
      <c r="F4" s="2726"/>
      <c r="G4" s="2727"/>
      <c r="H4" s="2727"/>
      <c r="I4" s="2727"/>
      <c r="J4" s="2727"/>
      <c r="K4" s="2727"/>
      <c r="L4" s="2727"/>
      <c r="M4" s="2727"/>
      <c r="N4" s="2727"/>
      <c r="O4" s="2727"/>
      <c r="P4" s="2727"/>
      <c r="Q4" s="2727"/>
      <c r="R4" s="2727"/>
      <c r="S4" s="2727"/>
      <c r="T4" s="2727"/>
      <c r="U4" s="2727"/>
      <c r="V4" s="2727"/>
      <c r="W4" s="2727"/>
      <c r="X4" s="2724"/>
      <c r="Y4" s="2724"/>
      <c r="Z4" s="2724"/>
      <c r="AA4" s="2724"/>
      <c r="AB4" s="2724"/>
      <c r="AC4" s="2724"/>
      <c r="AD4" s="2724"/>
      <c r="AE4" s="2724"/>
      <c r="AF4" s="2724"/>
      <c r="AG4" s="2724"/>
      <c r="AH4" s="2724"/>
      <c r="AI4" s="2724">
        <v>2011</v>
      </c>
      <c r="AJ4" s="2728"/>
      <c r="AK4" s="2729"/>
      <c r="AL4" s="2724">
        <v>2008</v>
      </c>
      <c r="AM4" s="2730">
        <f t="shared" si="2"/>
        <v>0.99850820487319747</v>
      </c>
      <c r="AN4" s="2724">
        <v>2011</v>
      </c>
      <c r="AO4" s="2730">
        <f t="shared" si="2"/>
        <v>1</v>
      </c>
      <c r="AP4" s="2724"/>
      <c r="AQ4" s="2730">
        <f t="shared" si="3"/>
        <v>0</v>
      </c>
      <c r="AR4" s="2724">
        <v>2013</v>
      </c>
      <c r="AS4" s="2730">
        <f t="shared" si="3"/>
        <v>1.0009945300845351</v>
      </c>
      <c r="AT4" s="2724">
        <v>2020</v>
      </c>
      <c r="AU4" s="2730">
        <f t="shared" si="3"/>
        <v>1.0044753853804078</v>
      </c>
      <c r="AV4" s="2724">
        <v>2017</v>
      </c>
      <c r="AW4" s="2730">
        <f t="shared" si="3"/>
        <v>1.0029835902536051</v>
      </c>
      <c r="AX4" s="2724">
        <v>2019</v>
      </c>
      <c r="AY4" s="2730">
        <f t="shared" si="3"/>
        <v>1.0039781203381402</v>
      </c>
      <c r="AZ4" s="2724">
        <v>2013</v>
      </c>
      <c r="BA4" s="2724"/>
      <c r="BB4" s="2724">
        <v>341</v>
      </c>
      <c r="BC4" s="2730">
        <f t="shared" si="4"/>
        <v>0.16956737941322725</v>
      </c>
      <c r="BD4" s="2724">
        <v>2007</v>
      </c>
      <c r="BE4" s="2730">
        <f t="shared" si="4"/>
        <v>0.99801093983092992</v>
      </c>
      <c r="BF4" s="2724">
        <v>2003</v>
      </c>
      <c r="BG4" s="2730">
        <f t="shared" si="4"/>
        <v>0.99602187966185973</v>
      </c>
      <c r="BH4" s="2724">
        <v>2009</v>
      </c>
      <c r="BI4" s="2730">
        <f t="shared" si="4"/>
        <v>0.99900546991546491</v>
      </c>
      <c r="BK4" s="2722">
        <v>2019</v>
      </c>
      <c r="BL4" s="2730">
        <f t="shared" si="5"/>
        <v>1.0039781203381402</v>
      </c>
      <c r="BM4" s="2722">
        <v>2008</v>
      </c>
      <c r="BN4" s="2730">
        <f t="shared" ref="BN4" si="11">BM4/($AI4)</f>
        <v>0.99850820487319747</v>
      </c>
      <c r="BO4" s="2722">
        <v>2005</v>
      </c>
      <c r="BP4" s="2730">
        <f t="shared" ref="BP4" si="12">BO4/($AI4)</f>
        <v>0.99701640974639483</v>
      </c>
      <c r="BQ4" s="2722">
        <v>2012</v>
      </c>
      <c r="BR4" s="2730">
        <f t="shared" ref="BR4" si="13">BQ4/($AI4)</f>
        <v>1.0004972650422674</v>
      </c>
      <c r="BS4" s="2722">
        <v>2004</v>
      </c>
      <c r="BT4" s="2730">
        <f t="shared" ref="BT4" si="14">BS4/($AI4)</f>
        <v>0.99651914470412728</v>
      </c>
      <c r="BU4" s="2722">
        <v>2005</v>
      </c>
      <c r="BV4" s="2730">
        <f t="shared" ref="BV4" si="15">BU4/($AI4)</f>
        <v>0.99701640974639483</v>
      </c>
      <c r="BW4" s="2722">
        <v>2013</v>
      </c>
      <c r="BX4" s="2730">
        <f t="shared" ref="BX4" si="16">BW4/($AI4)</f>
        <v>1.0009945300845351</v>
      </c>
      <c r="BY4" s="2722">
        <v>2013</v>
      </c>
      <c r="BZ4" s="2730">
        <f t="shared" ref="BZ4" si="17">BY4/($AI4)</f>
        <v>1.0009945300845351</v>
      </c>
      <c r="CA4" s="2722">
        <v>2006</v>
      </c>
      <c r="CB4" s="2730">
        <f t="shared" ref="CB4" si="18">CA4/($AI4)</f>
        <v>0.99751367478866237</v>
      </c>
      <c r="CC4" s="2722">
        <v>2006</v>
      </c>
      <c r="CD4" s="2730">
        <f t="shared" ref="CD4" si="19">CC4/($AI4)</f>
        <v>0.99751367478866237</v>
      </c>
      <c r="CE4" s="2722">
        <v>2015</v>
      </c>
      <c r="CF4" s="2730">
        <f t="shared" ref="CF4" si="20">CE4/($AI4)</f>
        <v>1.0019890601690702</v>
      </c>
      <c r="CG4" s="2722">
        <v>2010</v>
      </c>
      <c r="CH4" s="2730">
        <f t="shared" ref="CH4" si="21">CG4/($AI4)</f>
        <v>0.99950273495773245</v>
      </c>
      <c r="CI4" s="2722">
        <v>2012</v>
      </c>
      <c r="CJ4" s="2730">
        <f t="shared" ref="CJ4" si="22">CI4/($AI4)</f>
        <v>1.0004972650422674</v>
      </c>
      <c r="CK4" s="2722">
        <v>2005</v>
      </c>
      <c r="CL4" s="2730">
        <f t="shared" si="7"/>
        <v>0.99701640974639483</v>
      </c>
      <c r="CN4" s="2730">
        <f t="shared" si="8"/>
        <v>0</v>
      </c>
      <c r="CO4" s="2722">
        <v>3307</v>
      </c>
      <c r="CP4" s="2730">
        <f t="shared" si="9"/>
        <v>1.6444554947787171</v>
      </c>
      <c r="CQ4" s="2722">
        <v>12881</v>
      </c>
      <c r="CR4" s="2730">
        <f t="shared" si="9"/>
        <v>6.4052710094480361</v>
      </c>
      <c r="CS4" s="2722">
        <v>16955</v>
      </c>
      <c r="CT4" s="2730">
        <f t="shared" si="9"/>
        <v>8.4311287916459481</v>
      </c>
      <c r="CU4" s="2722">
        <v>17778</v>
      </c>
      <c r="CV4" s="2730">
        <f t="shared" si="9"/>
        <v>8.8403779214321236</v>
      </c>
      <c r="CW4" s="2722">
        <v>3806</v>
      </c>
      <c r="CX4" s="2730">
        <f t="shared" si="10"/>
        <v>1.8925907508702138</v>
      </c>
      <c r="CY4" s="2722">
        <v>1914</v>
      </c>
      <c r="DA4" s="2722">
        <v>6014</v>
      </c>
      <c r="DC4" s="2722">
        <v>6014</v>
      </c>
      <c r="DE4" s="2722">
        <v>6033</v>
      </c>
      <c r="DG4" s="2722">
        <v>609</v>
      </c>
      <c r="DI4" s="2722">
        <v>9005</v>
      </c>
      <c r="DK4" s="2722">
        <v>6643</v>
      </c>
      <c r="DL4" s="2722" t="s">
        <v>1718</v>
      </c>
    </row>
    <row r="5" spans="1:116" s="10" customFormat="1" ht="16.5" customHeight="1">
      <c r="A5" s="119">
        <v>3</v>
      </c>
      <c r="B5" s="122" t="s">
        <v>77</v>
      </c>
      <c r="C5" s="19" t="str">
        <f t="shared" si="0"/>
        <v>{"name":p.FamilyName1,"vorname":p.ManFirstName1,"ahvNumber":"","geburtsdatum":""}</v>
      </c>
      <c r="D5" s="13"/>
      <c r="E5" s="45" t="str">
        <f t="shared" si="1"/>
        <v>{"name":p.FamilyName1,"vorname":p.ManFirstName1,"ahvNumber":"","geburtsdatum":""}</v>
      </c>
      <c r="F5" s="146" t="s">
        <v>78</v>
      </c>
      <c r="G5" s="611" t="str">
        <f>G$64</f>
        <v>p.FamilyName1</v>
      </c>
      <c r="H5" s="611" t="s">
        <v>79</v>
      </c>
      <c r="I5" s="611" t="str">
        <f>H$63</f>
        <v>p.ManFirstName1</v>
      </c>
      <c r="J5" s="611" t="s">
        <v>80</v>
      </c>
      <c r="K5" s="611"/>
      <c r="L5" s="611" t="s">
        <v>81</v>
      </c>
      <c r="M5" s="613"/>
      <c r="N5" s="611" t="s">
        <v>37</v>
      </c>
      <c r="O5" s="611"/>
      <c r="P5" s="611"/>
      <c r="Q5" s="611"/>
      <c r="R5" s="611"/>
      <c r="S5" s="611"/>
      <c r="T5" s="611"/>
      <c r="U5" s="611"/>
      <c r="V5" s="611"/>
      <c r="W5" s="611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48">
        <v>6791</v>
      </c>
      <c r="AJ5" s="13" t="s">
        <v>39</v>
      </c>
      <c r="AK5" s="27"/>
      <c r="AL5" s="13">
        <v>9630</v>
      </c>
      <c r="AM5" s="14">
        <f t="shared" si="2"/>
        <v>1.4180533058459726</v>
      </c>
      <c r="AN5" s="13">
        <v>8889</v>
      </c>
      <c r="AO5" s="14">
        <f t="shared" si="2"/>
        <v>1.3089383006920925</v>
      </c>
      <c r="AP5" s="13">
        <v>10209</v>
      </c>
      <c r="AQ5" s="14">
        <f t="shared" ref="AQ5:AY5" si="23">AP5/($AI5)</f>
        <v>1.5033132086585186</v>
      </c>
      <c r="AR5" s="13">
        <v>9507</v>
      </c>
      <c r="AS5" s="14">
        <f t="shared" si="23"/>
        <v>1.3999410985127374</v>
      </c>
      <c r="AT5" s="13">
        <v>6454</v>
      </c>
      <c r="AU5" s="14">
        <f t="shared" si="23"/>
        <v>0.95037549698129875</v>
      </c>
      <c r="AV5" s="13">
        <v>8318</v>
      </c>
      <c r="AW5" s="14">
        <f t="shared" si="23"/>
        <v>1.2248564276247975</v>
      </c>
      <c r="AX5" s="13">
        <v>10072</v>
      </c>
      <c r="AY5" s="14">
        <f t="shared" si="23"/>
        <v>1.4831394492710941</v>
      </c>
      <c r="AZ5" s="13">
        <v>10056</v>
      </c>
      <c r="BA5" s="13"/>
      <c r="BB5" s="2">
        <v>9423</v>
      </c>
      <c r="BC5" s="14">
        <f t="shared" si="4"/>
        <v>1.3875717861876011</v>
      </c>
      <c r="BD5" s="2">
        <v>6604</v>
      </c>
      <c r="BE5" s="14">
        <f t="shared" si="4"/>
        <v>0.97246355470475632</v>
      </c>
      <c r="BF5" s="2">
        <v>10404</v>
      </c>
      <c r="BG5" s="14">
        <f t="shared" si="4"/>
        <v>1.5320276836990134</v>
      </c>
      <c r="BH5" s="2">
        <v>4702</v>
      </c>
      <c r="BI5" s="14">
        <f t="shared" si="4"/>
        <v>0.69238698277131494</v>
      </c>
      <c r="BK5" s="10">
        <v>7245</v>
      </c>
      <c r="BL5" s="14">
        <f t="shared" si="5"/>
        <v>1.0668531880429981</v>
      </c>
      <c r="BM5" s="10">
        <v>6500</v>
      </c>
      <c r="BN5" s="14">
        <f t="shared" si="6"/>
        <v>0.95714916801649241</v>
      </c>
      <c r="BO5" s="10">
        <v>7445</v>
      </c>
      <c r="BP5" s="14">
        <f t="shared" si="6"/>
        <v>1.0963039316742749</v>
      </c>
      <c r="BQ5" s="10">
        <v>7658</v>
      </c>
      <c r="BR5" s="14">
        <f t="shared" si="6"/>
        <v>1.1276689736415844</v>
      </c>
      <c r="BS5" s="10">
        <v>6851</v>
      </c>
      <c r="BT5" s="14">
        <f t="shared" si="6"/>
        <v>1.0088352230893831</v>
      </c>
      <c r="BU5" s="10">
        <v>7556</v>
      </c>
      <c r="BV5" s="14">
        <f t="shared" si="6"/>
        <v>1.1126490943896334</v>
      </c>
      <c r="BW5" s="10">
        <v>7074</v>
      </c>
      <c r="BX5" s="14">
        <f t="shared" si="6"/>
        <v>1.0416728022382564</v>
      </c>
      <c r="BY5" s="10">
        <v>7362</v>
      </c>
      <c r="BZ5" s="14">
        <f t="shared" si="6"/>
        <v>1.084081873067295</v>
      </c>
      <c r="CA5" s="10">
        <v>6882</v>
      </c>
      <c r="CB5" s="14">
        <f t="shared" si="6"/>
        <v>1.0134000883522309</v>
      </c>
      <c r="CC5" s="10">
        <v>7465</v>
      </c>
      <c r="CD5" s="14">
        <f t="shared" si="6"/>
        <v>1.0992490060374025</v>
      </c>
      <c r="CE5" s="10">
        <v>7303</v>
      </c>
      <c r="CF5" s="14">
        <f t="shared" si="6"/>
        <v>1.0753939036960682</v>
      </c>
      <c r="CG5" s="10">
        <v>6858</v>
      </c>
      <c r="CH5" s="14">
        <f t="shared" si="6"/>
        <v>1.0098659991164778</v>
      </c>
      <c r="CI5" s="10">
        <v>5092</v>
      </c>
      <c r="CJ5" s="14">
        <f t="shared" si="6"/>
        <v>0.74981593285230452</v>
      </c>
      <c r="CK5" s="10">
        <v>6341</v>
      </c>
      <c r="CL5" s="14">
        <f t="shared" si="7"/>
        <v>0.93373582682962741</v>
      </c>
      <c r="CM5" s="10">
        <v>6443</v>
      </c>
      <c r="CN5" s="14">
        <f t="shared" si="8"/>
        <v>0.94875570608157855</v>
      </c>
      <c r="CO5" s="10">
        <v>6003</v>
      </c>
      <c r="CP5" s="14">
        <f t="shared" si="9"/>
        <v>0.88396407009276989</v>
      </c>
      <c r="CQ5" s="10">
        <v>6485</v>
      </c>
      <c r="CR5" s="14">
        <f t="shared" si="9"/>
        <v>0.95494036224414669</v>
      </c>
      <c r="CS5" s="10">
        <v>10819</v>
      </c>
      <c r="CT5" s="14">
        <f t="shared" si="9"/>
        <v>1.5931379767339124</v>
      </c>
      <c r="CU5" s="10">
        <v>6713</v>
      </c>
      <c r="CV5" s="14">
        <f t="shared" si="9"/>
        <v>0.98851420998380213</v>
      </c>
      <c r="CW5" s="10">
        <v>5703</v>
      </c>
      <c r="CX5" s="14">
        <f t="shared" si="10"/>
        <v>0.83978795464585476</v>
      </c>
      <c r="CY5" s="10">
        <v>8793</v>
      </c>
      <c r="DA5" s="10">
        <v>6465</v>
      </c>
      <c r="DC5" s="10">
        <v>8399</v>
      </c>
      <c r="DE5" s="10">
        <v>7518</v>
      </c>
      <c r="DG5" s="10">
        <v>8015</v>
      </c>
      <c r="DI5" s="10">
        <v>6005</v>
      </c>
      <c r="DK5" s="10">
        <v>6009</v>
      </c>
      <c r="DL5" s="10" t="s">
        <v>1718</v>
      </c>
    </row>
    <row r="6" spans="1:116" s="10" customFormat="1" ht="16.5" customHeight="1">
      <c r="A6" s="119">
        <v>6</v>
      </c>
      <c r="B6" s="120" t="s">
        <v>82</v>
      </c>
      <c r="C6" s="38" t="str">
        <f t="shared" si="0"/>
        <v>{"name":p.FamilyName1,"vorname":p.ManFirstName1,"ahvNumber":p.AHVNumber1,"language":"Deutsch","zivilstand":"ledig","geburtsdatum":p.BirthdayAdult1,"national":"Schweiz","gender":"männlich","aufenthalt":""}</v>
      </c>
      <c r="D6" s="13"/>
      <c r="E6" s="45" t="str">
        <f t="shared" si="1"/>
        <v>{"name":p.FamilyName1,"vorname":p.ManFirstName1,"ahvNumber":p.AHVNumber1,"language":"Deutsch","zivilstand":"ledig","geburtsdatum":p.BirthdayAdult1,"national":"Schweiz","gender":"männlich","aufenthalt":""}</v>
      </c>
      <c r="F6" s="146" t="s">
        <v>78</v>
      </c>
      <c r="G6" s="611" t="str">
        <f>G5</f>
        <v>p.FamilyName1</v>
      </c>
      <c r="H6" s="611" t="s">
        <v>79</v>
      </c>
      <c r="I6" s="611" t="str">
        <f>I5</f>
        <v>p.ManFirstName1</v>
      </c>
      <c r="J6" s="611" t="s">
        <v>83</v>
      </c>
      <c r="K6" s="609" t="str">
        <f>I$63</f>
        <v>p.AHVNumber1</v>
      </c>
      <c r="L6" s="611" t="s">
        <v>84</v>
      </c>
      <c r="M6" s="613" t="s">
        <v>85</v>
      </c>
      <c r="N6" s="611" t="s">
        <v>86</v>
      </c>
      <c r="O6" s="611" t="s">
        <v>87</v>
      </c>
      <c r="P6" s="611" t="s">
        <v>88</v>
      </c>
      <c r="Q6" s="614" t="str">
        <f>J63</f>
        <v>p.BirthdayAdult1</v>
      </c>
      <c r="R6" s="611" t="s">
        <v>89</v>
      </c>
      <c r="S6" s="611" t="s">
        <v>90</v>
      </c>
      <c r="T6" s="611" t="s">
        <v>91</v>
      </c>
      <c r="U6" s="611" t="s">
        <v>92</v>
      </c>
      <c r="V6" s="611" t="s">
        <v>93</v>
      </c>
      <c r="W6" s="611"/>
      <c r="X6" s="13" t="s">
        <v>37</v>
      </c>
      <c r="Y6" s="13"/>
      <c r="Z6" s="66"/>
      <c r="AA6" s="13"/>
      <c r="AB6" s="13"/>
      <c r="AC6" s="13"/>
      <c r="AD6" s="13"/>
      <c r="AE6" s="13"/>
      <c r="AF6" s="13"/>
      <c r="AG6" s="13"/>
      <c r="AH6" s="13"/>
      <c r="AI6" s="48">
        <v>4248</v>
      </c>
      <c r="AJ6" s="13" t="s">
        <v>41</v>
      </c>
      <c r="AK6" s="28"/>
      <c r="AL6" s="13">
        <v>2994</v>
      </c>
      <c r="AM6" s="14">
        <f t="shared" si="2"/>
        <v>0.70480225988700562</v>
      </c>
      <c r="AN6" s="13">
        <v>3290</v>
      </c>
      <c r="AO6" s="14">
        <f t="shared" si="2"/>
        <v>0.77448210922787197</v>
      </c>
      <c r="AP6" s="13">
        <v>3368</v>
      </c>
      <c r="AQ6" s="14">
        <f t="shared" ref="AQ6:AY6" si="24">AP6/($AI6)</f>
        <v>0.79284369114877584</v>
      </c>
      <c r="AR6" s="13">
        <v>3306</v>
      </c>
      <c r="AS6" s="14">
        <f t="shared" si="24"/>
        <v>0.77824858757062143</v>
      </c>
      <c r="AT6" s="13">
        <v>1785</v>
      </c>
      <c r="AU6" s="14">
        <f t="shared" si="24"/>
        <v>0.42019774011299438</v>
      </c>
      <c r="AV6" s="13">
        <v>3248</v>
      </c>
      <c r="AW6" s="14">
        <f t="shared" si="24"/>
        <v>0.76459510357815441</v>
      </c>
      <c r="AX6" s="13">
        <v>3124</v>
      </c>
      <c r="AY6" s="14">
        <f t="shared" si="24"/>
        <v>0.73540489642184559</v>
      </c>
      <c r="AZ6" s="13">
        <v>2770</v>
      </c>
      <c r="BA6" s="13"/>
      <c r="BB6" s="2">
        <v>2828</v>
      </c>
      <c r="BC6" s="14">
        <f t="shared" si="4"/>
        <v>0.66572504708097924</v>
      </c>
      <c r="BD6" s="2">
        <v>1839</v>
      </c>
      <c r="BE6" s="14">
        <f t="shared" si="4"/>
        <v>0.43290960451977401</v>
      </c>
      <c r="BF6" s="2">
        <v>3591</v>
      </c>
      <c r="BG6" s="14">
        <f t="shared" si="4"/>
        <v>0.84533898305084743</v>
      </c>
      <c r="BH6" s="2">
        <v>1286</v>
      </c>
      <c r="BI6" s="14">
        <f t="shared" si="4"/>
        <v>0.3027306967984934</v>
      </c>
      <c r="BK6" s="10">
        <v>1866</v>
      </c>
      <c r="BL6" s="14">
        <f t="shared" si="5"/>
        <v>0.43926553672316382</v>
      </c>
      <c r="BM6" s="10">
        <v>1734</v>
      </c>
      <c r="BN6" s="14">
        <f t="shared" si="6"/>
        <v>0.40819209039548021</v>
      </c>
      <c r="BO6" s="10">
        <v>1743</v>
      </c>
      <c r="BP6" s="14">
        <f t="shared" si="6"/>
        <v>0.41031073446327682</v>
      </c>
      <c r="BQ6" s="10">
        <v>1989</v>
      </c>
      <c r="BR6" s="14">
        <f t="shared" si="6"/>
        <v>0.46822033898305082</v>
      </c>
      <c r="BS6" s="10">
        <v>1938</v>
      </c>
      <c r="BT6" s="14">
        <f t="shared" si="6"/>
        <v>0.45621468926553671</v>
      </c>
      <c r="BU6" s="10">
        <v>1806</v>
      </c>
      <c r="BV6" s="14">
        <f t="shared" si="6"/>
        <v>0.4251412429378531</v>
      </c>
      <c r="BW6" s="10">
        <v>1746</v>
      </c>
      <c r="BX6" s="14">
        <f t="shared" si="6"/>
        <v>0.41101694915254239</v>
      </c>
      <c r="BY6" s="10">
        <v>1735</v>
      </c>
      <c r="BZ6" s="14">
        <f t="shared" si="6"/>
        <v>0.40842749529190209</v>
      </c>
      <c r="CA6" s="10">
        <v>1625</v>
      </c>
      <c r="CB6" s="14">
        <f t="shared" si="6"/>
        <v>0.38253295668549908</v>
      </c>
      <c r="CC6" s="10">
        <v>1839</v>
      </c>
      <c r="CD6" s="14">
        <f t="shared" si="6"/>
        <v>0.43290960451977401</v>
      </c>
      <c r="CE6" s="10">
        <v>1633</v>
      </c>
      <c r="CF6" s="14">
        <f t="shared" si="6"/>
        <v>0.38441619585687381</v>
      </c>
      <c r="CG6" s="10">
        <v>1427</v>
      </c>
      <c r="CH6" s="14">
        <f t="shared" si="6"/>
        <v>0.33592278719397362</v>
      </c>
      <c r="CI6" s="10">
        <v>569</v>
      </c>
      <c r="CJ6" s="14">
        <f t="shared" si="6"/>
        <v>0.13394538606403014</v>
      </c>
      <c r="CK6" s="10">
        <v>459</v>
      </c>
      <c r="CL6" s="14">
        <f t="shared" si="7"/>
        <v>0.10805084745762712</v>
      </c>
      <c r="CM6" s="10">
        <v>1317</v>
      </c>
      <c r="CN6" s="14">
        <f t="shared" si="8"/>
        <v>0.31002824858757061</v>
      </c>
      <c r="CO6" s="10">
        <v>1435</v>
      </c>
      <c r="CP6" s="14">
        <f t="shared" si="9"/>
        <v>0.3378060263653484</v>
      </c>
      <c r="CQ6" s="10">
        <v>1356</v>
      </c>
      <c r="CR6" s="14">
        <f t="shared" si="9"/>
        <v>0.3192090395480226</v>
      </c>
      <c r="CS6" s="10">
        <v>1454</v>
      </c>
      <c r="CT6" s="14">
        <f t="shared" si="9"/>
        <v>0.34227871939736348</v>
      </c>
      <c r="CU6" s="10">
        <v>1334</v>
      </c>
      <c r="CV6" s="14">
        <f t="shared" si="9"/>
        <v>0.314030131826742</v>
      </c>
      <c r="CW6" s="10">
        <v>1162</v>
      </c>
      <c r="CX6" s="14">
        <f t="shared" si="10"/>
        <v>0.27354048964218458</v>
      </c>
      <c r="CY6" s="10">
        <v>1488</v>
      </c>
      <c r="DA6" s="10">
        <v>484</v>
      </c>
      <c r="DC6" s="10">
        <v>1126</v>
      </c>
      <c r="DE6" s="10">
        <v>1206</v>
      </c>
      <c r="DG6" s="10">
        <v>1425</v>
      </c>
      <c r="DI6" s="10">
        <v>487</v>
      </c>
      <c r="DK6" s="10">
        <v>388</v>
      </c>
      <c r="DL6" s="10" t="s">
        <v>1718</v>
      </c>
    </row>
    <row r="7" spans="1:116" s="10" customFormat="1" ht="16.5" customHeight="1" thickBot="1">
      <c r="A7" s="119">
        <v>7</v>
      </c>
      <c r="B7" s="120" t="s">
        <v>94</v>
      </c>
      <c r="C7" s="38" t="str">
        <f t="shared" ca="1" si="0"/>
        <v>{"mobile":"079 5465658","privateNumber":"079 5287449","email":"5624abc@gmail.com"}</v>
      </c>
      <c r="D7" s="13"/>
      <c r="E7" s="45" t="str">
        <f t="shared" ca="1" si="1"/>
        <v>{"mobile":"079 5465658","privateNumber":"079 5287449","email":"5624abc@gmail.com"}</v>
      </c>
      <c r="F7" s="146" t="s">
        <v>95</v>
      </c>
      <c r="G7" s="611" t="str">
        <f ca="1">"079 "&amp;RANDBETWEEN(5234500,5699999)</f>
        <v>079 5465658</v>
      </c>
      <c r="H7" s="611" t="s">
        <v>96</v>
      </c>
      <c r="I7" s="611" t="str">
        <f ca="1">"079 "&amp;RANDBETWEEN(5234500,5699999)</f>
        <v>079 5287449</v>
      </c>
      <c r="J7" s="611" t="s">
        <v>97</v>
      </c>
      <c r="K7" s="612" t="s">
        <v>98</v>
      </c>
      <c r="L7" s="611" t="s">
        <v>37</v>
      </c>
      <c r="M7" s="611"/>
      <c r="N7" s="611"/>
      <c r="O7" s="611"/>
      <c r="P7" s="611"/>
      <c r="Q7" s="611"/>
      <c r="R7" s="611"/>
      <c r="S7" s="611"/>
      <c r="T7" s="611"/>
      <c r="U7" s="611"/>
      <c r="V7" s="611"/>
      <c r="W7" s="611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48">
        <v>3639</v>
      </c>
      <c r="AJ7" s="13" t="s">
        <v>42</v>
      </c>
      <c r="AK7" s="29"/>
      <c r="AL7" s="13">
        <v>3657</v>
      </c>
      <c r="AM7" s="14">
        <f t="shared" si="2"/>
        <v>1.0049464138499589</v>
      </c>
      <c r="AN7" s="13">
        <v>4534</v>
      </c>
      <c r="AO7" s="14">
        <f t="shared" si="2"/>
        <v>1.2459466886507282</v>
      </c>
      <c r="AP7" s="13">
        <v>4999</v>
      </c>
      <c r="AQ7" s="14">
        <f t="shared" ref="AQ7:AY7" si="25">AP7/($AI7)</f>
        <v>1.3737290464413301</v>
      </c>
      <c r="AR7" s="13">
        <v>4750</v>
      </c>
      <c r="AS7" s="14">
        <f t="shared" si="25"/>
        <v>1.3053036548502335</v>
      </c>
      <c r="AT7" s="13">
        <v>2507</v>
      </c>
      <c r="AU7" s="14">
        <f t="shared" si="25"/>
        <v>0.68892552899148118</v>
      </c>
      <c r="AV7" s="13">
        <v>4176</v>
      </c>
      <c r="AW7" s="14">
        <f t="shared" si="25"/>
        <v>1.1475680131904369</v>
      </c>
      <c r="AX7" s="13">
        <v>3909</v>
      </c>
      <c r="AY7" s="14">
        <f t="shared" si="25"/>
        <v>1.0741962077493816</v>
      </c>
      <c r="AZ7" s="13">
        <v>3585</v>
      </c>
      <c r="BA7" s="13"/>
      <c r="BB7" s="2">
        <v>3326</v>
      </c>
      <c r="BC7" s="14">
        <f t="shared" si="4"/>
        <v>0.91398735916460561</v>
      </c>
      <c r="BD7" s="2">
        <v>3008</v>
      </c>
      <c r="BE7" s="14">
        <f t="shared" si="4"/>
        <v>0.82660071448200056</v>
      </c>
      <c r="BF7" s="2">
        <v>4148</v>
      </c>
      <c r="BG7" s="14">
        <f t="shared" si="4"/>
        <v>1.1398735916460565</v>
      </c>
      <c r="BH7" s="2">
        <v>2528</v>
      </c>
      <c r="BI7" s="14">
        <f t="shared" si="4"/>
        <v>0.69469634514976641</v>
      </c>
      <c r="BK7" s="10">
        <v>3014</v>
      </c>
      <c r="BL7" s="14">
        <f t="shared" si="5"/>
        <v>0.82824951909865352</v>
      </c>
      <c r="BM7" s="10">
        <v>2617</v>
      </c>
      <c r="BN7" s="14">
        <f t="shared" si="6"/>
        <v>0.7191536136301182</v>
      </c>
      <c r="BO7" s="10">
        <v>2785</v>
      </c>
      <c r="BP7" s="14">
        <f t="shared" si="6"/>
        <v>0.76532014289640016</v>
      </c>
      <c r="BQ7" s="10">
        <v>3146</v>
      </c>
      <c r="BR7" s="14">
        <f t="shared" si="6"/>
        <v>0.86452322066501786</v>
      </c>
      <c r="BS7" s="10">
        <v>3792</v>
      </c>
      <c r="BT7" s="14">
        <f t="shared" si="6"/>
        <v>1.0420445177246496</v>
      </c>
      <c r="BU7" s="10">
        <v>3891</v>
      </c>
      <c r="BV7" s="14">
        <f t="shared" si="6"/>
        <v>1.069249793899423</v>
      </c>
      <c r="BW7" s="10">
        <v>3784</v>
      </c>
      <c r="BX7" s="14">
        <f t="shared" si="6"/>
        <v>1.0398461115691124</v>
      </c>
      <c r="BY7" s="10">
        <v>3631</v>
      </c>
      <c r="BZ7" s="14">
        <f t="shared" si="6"/>
        <v>0.99780159384446276</v>
      </c>
      <c r="CA7" s="10">
        <v>2395</v>
      </c>
      <c r="CB7" s="14">
        <f t="shared" si="6"/>
        <v>0.65814784281395988</v>
      </c>
      <c r="CC7" s="10">
        <v>3816</v>
      </c>
      <c r="CD7" s="14">
        <f t="shared" si="6"/>
        <v>1.0486397361912614</v>
      </c>
      <c r="CE7" s="10">
        <v>2687</v>
      </c>
      <c r="CF7" s="14">
        <f t="shared" si="6"/>
        <v>0.73838966749106894</v>
      </c>
      <c r="CG7" s="10">
        <v>2464</v>
      </c>
      <c r="CH7" s="14">
        <f t="shared" si="6"/>
        <v>0.67710909590546853</v>
      </c>
      <c r="CI7" s="10">
        <v>2247</v>
      </c>
      <c r="CJ7" s="14">
        <f t="shared" si="6"/>
        <v>0.61747732893652107</v>
      </c>
      <c r="CK7" s="10">
        <v>2207</v>
      </c>
      <c r="CL7" s="14">
        <f t="shared" si="7"/>
        <v>0.6064852981588349</v>
      </c>
      <c r="CM7" s="10">
        <v>2514</v>
      </c>
      <c r="CN7" s="14">
        <f t="shared" si="8"/>
        <v>0.69084913437757622</v>
      </c>
      <c r="CO7" s="10">
        <v>2449</v>
      </c>
      <c r="CP7" s="14">
        <f t="shared" si="9"/>
        <v>0.67298708436383625</v>
      </c>
      <c r="CQ7" s="10">
        <v>2560</v>
      </c>
      <c r="CR7" s="14">
        <f t="shared" si="9"/>
        <v>0.70348996977191536</v>
      </c>
      <c r="CS7" s="10">
        <v>2643</v>
      </c>
      <c r="CT7" s="14">
        <f t="shared" si="9"/>
        <v>0.72629843363561419</v>
      </c>
      <c r="CU7" s="10">
        <v>2534</v>
      </c>
      <c r="CV7" s="14">
        <f t="shared" si="9"/>
        <v>0.69634514976641937</v>
      </c>
      <c r="CW7" s="10">
        <v>2486</v>
      </c>
      <c r="CX7" s="14">
        <f t="shared" si="10"/>
        <v>0.68315471283319595</v>
      </c>
      <c r="CY7" s="10">
        <v>2948</v>
      </c>
      <c r="DA7" s="10">
        <v>2208</v>
      </c>
      <c r="DC7" s="10">
        <v>2753</v>
      </c>
      <c r="DE7" s="10">
        <v>2659</v>
      </c>
      <c r="DG7" s="10">
        <v>2809</v>
      </c>
      <c r="DI7" s="10">
        <v>2284</v>
      </c>
      <c r="DK7" s="10">
        <v>2286</v>
      </c>
      <c r="DL7" s="10" t="s">
        <v>1718</v>
      </c>
    </row>
    <row r="8" spans="1:116" s="10" customFormat="1" ht="16.5" customHeight="1" thickBot="1">
      <c r="A8" s="119">
        <v>8</v>
      </c>
      <c r="B8" s="120" t="s">
        <v>99</v>
      </c>
      <c r="C8" s="38" t="str">
        <f t="shared" ca="1" si="0"/>
        <v>{"zusatz":"","strasse":"Strasse_743","houseNumber":"41","ort":"3053 Münchenbuchsee","validDate":"01.01.2025"}</v>
      </c>
      <c r="D8" s="13"/>
      <c r="E8" s="45" t="str">
        <f t="shared" ca="1" si="1"/>
        <v>{"zusatz":"","strasse":"Strasse_743","houseNumber":"41","ort":"3053 Münchenbuchsee","validDate":"01.01.2025"}</v>
      </c>
      <c r="F8" s="611" t="s">
        <v>100</v>
      </c>
      <c r="G8" s="611"/>
      <c r="H8" s="611" t="s">
        <v>101</v>
      </c>
      <c r="I8" s="611" t="str">
        <f ca="1">"Strasse_"&amp;RANDBETWEEN(1,1000)</f>
        <v>Strasse_743</v>
      </c>
      <c r="J8" s="611" t="s">
        <v>102</v>
      </c>
      <c r="K8" s="611">
        <f ca="1">RANDBETWEEN(1,100)</f>
        <v>41</v>
      </c>
      <c r="L8" s="609" t="s">
        <v>103</v>
      </c>
      <c r="M8" s="611" t="s">
        <v>104</v>
      </c>
      <c r="N8" s="611" t="s">
        <v>105</v>
      </c>
      <c r="O8" s="615" t="str">
        <f ca="1">"01.01."&amp;TEXT(TODAY(),"YYYY")</f>
        <v>01.01.2025</v>
      </c>
      <c r="P8" s="611" t="s">
        <v>37</v>
      </c>
      <c r="Q8" s="611"/>
      <c r="R8" s="611"/>
      <c r="S8" s="611"/>
      <c r="T8" s="611"/>
      <c r="U8" s="611"/>
      <c r="V8" s="611"/>
      <c r="W8" s="611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48">
        <v>434</v>
      </c>
      <c r="AJ8" s="13" t="s">
        <v>44</v>
      </c>
      <c r="AK8" s="31"/>
      <c r="AL8" s="13">
        <v>443</v>
      </c>
      <c r="AM8" s="14">
        <f t="shared" si="2"/>
        <v>1.0207373271889402</v>
      </c>
      <c r="AN8" s="13">
        <v>807</v>
      </c>
      <c r="AO8" s="14">
        <f t="shared" si="2"/>
        <v>1.8594470046082949</v>
      </c>
      <c r="AP8" s="13">
        <v>785</v>
      </c>
      <c r="AQ8" s="14">
        <f t="shared" ref="AQ8:AY8" si="26">AP8/($AI8)</f>
        <v>1.8087557603686637</v>
      </c>
      <c r="AR8" s="13">
        <v>742</v>
      </c>
      <c r="AS8" s="14">
        <f t="shared" si="26"/>
        <v>1.7096774193548387</v>
      </c>
      <c r="AT8" s="13">
        <v>407</v>
      </c>
      <c r="AU8" s="14">
        <f t="shared" si="26"/>
        <v>0.93778801843317972</v>
      </c>
      <c r="AV8" s="13">
        <v>629</v>
      </c>
      <c r="AW8" s="14">
        <f t="shared" si="26"/>
        <v>1.4493087557603688</v>
      </c>
      <c r="AX8" s="13">
        <v>624</v>
      </c>
      <c r="AY8" s="14">
        <f t="shared" si="26"/>
        <v>1.4377880184331797</v>
      </c>
      <c r="AZ8" s="13">
        <v>547</v>
      </c>
      <c r="BA8" s="13"/>
      <c r="BB8" s="2">
        <v>428</v>
      </c>
      <c r="BC8" s="14">
        <f t="shared" si="4"/>
        <v>0.98617511520737322</v>
      </c>
      <c r="BD8" s="2">
        <v>246</v>
      </c>
      <c r="BE8" s="14">
        <f t="shared" si="4"/>
        <v>0.56682027649769584</v>
      </c>
      <c r="BF8" s="2">
        <v>641</v>
      </c>
      <c r="BG8" s="14">
        <f t="shared" si="4"/>
        <v>1.4769585253456221</v>
      </c>
      <c r="BH8" s="2">
        <v>247</v>
      </c>
      <c r="BI8" s="14">
        <f t="shared" si="4"/>
        <v>0.56912442396313367</v>
      </c>
      <c r="BK8" s="10">
        <v>358</v>
      </c>
      <c r="BL8" s="14">
        <f t="shared" si="5"/>
        <v>0.82488479262672809</v>
      </c>
      <c r="BM8" s="10">
        <v>344</v>
      </c>
      <c r="BN8" s="14">
        <f t="shared" si="6"/>
        <v>0.79262672811059909</v>
      </c>
      <c r="BO8" s="10">
        <v>321</v>
      </c>
      <c r="BP8" s="14">
        <f t="shared" si="6"/>
        <v>0.73963133640552992</v>
      </c>
      <c r="BQ8" s="10">
        <v>400</v>
      </c>
      <c r="BR8" s="14">
        <f t="shared" si="6"/>
        <v>0.92165898617511521</v>
      </c>
      <c r="BS8" s="10">
        <v>509</v>
      </c>
      <c r="BT8" s="14">
        <f t="shared" si="6"/>
        <v>1.1728110599078341</v>
      </c>
      <c r="BU8" s="10">
        <v>513</v>
      </c>
      <c r="BV8" s="14">
        <f t="shared" si="6"/>
        <v>1.1820276497695852</v>
      </c>
      <c r="BW8" s="10">
        <v>456</v>
      </c>
      <c r="BX8" s="14">
        <f t="shared" si="6"/>
        <v>1.0506912442396312</v>
      </c>
      <c r="BY8" s="10">
        <v>457</v>
      </c>
      <c r="BZ8" s="14">
        <f t="shared" si="6"/>
        <v>1.0529953917050692</v>
      </c>
      <c r="CA8" s="10">
        <v>366</v>
      </c>
      <c r="CB8" s="14">
        <f t="shared" si="6"/>
        <v>0.84331797235023043</v>
      </c>
      <c r="CC8" s="10">
        <v>422</v>
      </c>
      <c r="CD8" s="14">
        <f t="shared" si="6"/>
        <v>0.97235023041474655</v>
      </c>
      <c r="CE8" s="10">
        <v>346</v>
      </c>
      <c r="CF8" s="14">
        <f t="shared" si="6"/>
        <v>0.79723502304147464</v>
      </c>
      <c r="CG8" s="10">
        <v>294</v>
      </c>
      <c r="CH8" s="14">
        <f t="shared" si="6"/>
        <v>0.67741935483870963</v>
      </c>
      <c r="CI8" s="10">
        <v>174</v>
      </c>
      <c r="CJ8" s="14">
        <f t="shared" si="6"/>
        <v>0.4009216589861751</v>
      </c>
      <c r="CK8" s="10">
        <v>148</v>
      </c>
      <c r="CL8" s="14">
        <f t="shared" si="7"/>
        <v>0.34101382488479265</v>
      </c>
      <c r="CM8" s="10">
        <v>240</v>
      </c>
      <c r="CN8" s="14">
        <f t="shared" si="8"/>
        <v>0.55299539170506917</v>
      </c>
      <c r="CO8" s="10">
        <v>234</v>
      </c>
      <c r="CP8" s="14">
        <f t="shared" si="9"/>
        <v>0.53917050691244239</v>
      </c>
      <c r="CQ8" s="10">
        <v>248</v>
      </c>
      <c r="CR8" s="14">
        <f t="shared" si="9"/>
        <v>0.5714285714285714</v>
      </c>
      <c r="CS8" s="10">
        <v>224</v>
      </c>
      <c r="CT8" s="14">
        <f t="shared" si="9"/>
        <v>0.5161290322580645</v>
      </c>
      <c r="CU8" s="10">
        <v>252</v>
      </c>
      <c r="CV8" s="14">
        <f t="shared" si="9"/>
        <v>0.58064516129032262</v>
      </c>
      <c r="CW8" s="10">
        <v>175</v>
      </c>
      <c r="CX8" s="14">
        <f t="shared" si="10"/>
        <v>0.40322580645161288</v>
      </c>
      <c r="CY8" s="10">
        <v>403</v>
      </c>
      <c r="DA8" s="10">
        <v>151</v>
      </c>
      <c r="DC8" s="10">
        <v>237</v>
      </c>
      <c r="DE8" s="10">
        <v>293</v>
      </c>
      <c r="DG8" s="10">
        <v>325</v>
      </c>
      <c r="DI8" s="10">
        <v>225</v>
      </c>
      <c r="DK8" s="10">
        <v>142</v>
      </c>
      <c r="DL8" s="10" t="s">
        <v>1718</v>
      </c>
    </row>
    <row r="9" spans="1:116" s="10" customFormat="1" ht="16.5" customHeight="1">
      <c r="A9" s="119">
        <v>9</v>
      </c>
      <c r="B9" s="120" t="s">
        <v>106</v>
      </c>
      <c r="C9" s="38" t="str">
        <f t="shared" si="0"/>
        <v>{"iban":p.IBAN1}</v>
      </c>
      <c r="D9" s="13"/>
      <c r="E9" s="45" t="str">
        <f t="shared" si="1"/>
        <v>{"iban":p.IBAN1}</v>
      </c>
      <c r="F9" s="146" t="s">
        <v>107</v>
      </c>
      <c r="G9" s="611" t="s">
        <v>108</v>
      </c>
      <c r="H9" s="611" t="s">
        <v>109</v>
      </c>
      <c r="I9" s="616"/>
      <c r="J9" s="611"/>
      <c r="K9" s="611"/>
      <c r="L9" s="611"/>
      <c r="M9" s="611"/>
      <c r="N9" s="611"/>
      <c r="O9" s="611"/>
      <c r="P9" s="611"/>
      <c r="Q9" s="611"/>
      <c r="R9" s="611"/>
      <c r="S9" s="611"/>
      <c r="T9" s="611"/>
      <c r="U9" s="611"/>
      <c r="V9" s="611"/>
      <c r="W9" s="611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48">
        <v>5206</v>
      </c>
      <c r="AJ9" s="13"/>
      <c r="AK9" s="13"/>
      <c r="AL9" s="13">
        <v>5243</v>
      </c>
      <c r="AM9" s="14">
        <f t="shared" si="2"/>
        <v>1.0071071840184402</v>
      </c>
      <c r="AN9" s="13">
        <v>5874</v>
      </c>
      <c r="AO9" s="14">
        <f t="shared" si="2"/>
        <v>1.1283134844410296</v>
      </c>
      <c r="AP9" s="13">
        <v>5927</v>
      </c>
      <c r="AQ9" s="14">
        <f t="shared" ref="AQ9:AY9" si="27">AP9/($AI9)</f>
        <v>1.1384940453323089</v>
      </c>
      <c r="AR9" s="13">
        <v>5864</v>
      </c>
      <c r="AS9" s="14">
        <f t="shared" si="27"/>
        <v>1.1263926238955051</v>
      </c>
      <c r="AT9" s="13">
        <v>5028</v>
      </c>
      <c r="AU9" s="14">
        <f t="shared" si="27"/>
        <v>0.96580868228966577</v>
      </c>
      <c r="AV9" s="13">
        <v>5359</v>
      </c>
      <c r="AW9" s="14">
        <f t="shared" si="27"/>
        <v>1.0293891663465233</v>
      </c>
      <c r="AX9" s="13">
        <v>5610</v>
      </c>
      <c r="AY9" s="14">
        <f t="shared" si="27"/>
        <v>1.0776027660391856</v>
      </c>
      <c r="AZ9" s="13">
        <v>5301</v>
      </c>
      <c r="BA9" s="13"/>
      <c r="BB9" s="2">
        <v>5109</v>
      </c>
      <c r="BC9" s="14">
        <f t="shared" si="4"/>
        <v>0.98136765270841342</v>
      </c>
      <c r="BD9" s="2">
        <v>4704</v>
      </c>
      <c r="BE9" s="14">
        <f t="shared" si="4"/>
        <v>0.90357280061467538</v>
      </c>
      <c r="BF9" s="2">
        <v>5426</v>
      </c>
      <c r="BG9" s="14">
        <f t="shared" si="4"/>
        <v>1.0422589320015367</v>
      </c>
      <c r="BH9" s="2">
        <v>4624</v>
      </c>
      <c r="BI9" s="14">
        <f t="shared" si="4"/>
        <v>0.88820591625048018</v>
      </c>
      <c r="BK9" s="10">
        <v>4951</v>
      </c>
      <c r="BL9" s="14">
        <f t="shared" si="5"/>
        <v>0.95101805608912793</v>
      </c>
      <c r="BM9" s="10">
        <v>4775</v>
      </c>
      <c r="BN9" s="14">
        <f t="shared" si="6"/>
        <v>0.9172109104878986</v>
      </c>
      <c r="BO9" s="10">
        <v>4813</v>
      </c>
      <c r="BP9" s="14">
        <f t="shared" si="6"/>
        <v>0.92451018056089129</v>
      </c>
      <c r="BQ9" s="10">
        <v>5016</v>
      </c>
      <c r="BR9" s="14">
        <f t="shared" si="6"/>
        <v>0.96350364963503654</v>
      </c>
      <c r="BS9" s="10">
        <v>5090</v>
      </c>
      <c r="BT9" s="14">
        <f t="shared" si="6"/>
        <v>0.97771801767191702</v>
      </c>
      <c r="BU9" s="10">
        <v>4875</v>
      </c>
      <c r="BV9" s="14">
        <f t="shared" si="6"/>
        <v>0.93641951594314254</v>
      </c>
      <c r="BW9" s="10">
        <v>5143</v>
      </c>
      <c r="BX9" s="14">
        <f t="shared" si="6"/>
        <v>0.98789857856319629</v>
      </c>
      <c r="BY9" s="10">
        <v>5098</v>
      </c>
      <c r="BZ9" s="14">
        <f t="shared" si="6"/>
        <v>0.97925470610833654</v>
      </c>
      <c r="CA9" s="10">
        <v>4840</v>
      </c>
      <c r="CB9" s="14">
        <f t="shared" si="6"/>
        <v>0.9296965040338071</v>
      </c>
      <c r="CC9" s="10">
        <v>5137</v>
      </c>
      <c r="CD9" s="14">
        <f t="shared" si="6"/>
        <v>0.98674606223588168</v>
      </c>
      <c r="CE9" s="10">
        <v>4898</v>
      </c>
      <c r="CF9" s="14">
        <f t="shared" si="6"/>
        <v>0.94083749519784865</v>
      </c>
      <c r="CG9" s="10">
        <v>4725</v>
      </c>
      <c r="CH9" s="14">
        <f t="shared" si="6"/>
        <v>0.90760660776027657</v>
      </c>
      <c r="CI9" s="10">
        <v>4511</v>
      </c>
      <c r="CJ9" s="14">
        <f t="shared" si="6"/>
        <v>0.86650019208605455</v>
      </c>
      <c r="CK9" s="10">
        <v>4489</v>
      </c>
      <c r="CL9" s="14">
        <f t="shared" si="7"/>
        <v>0.8622742988859009</v>
      </c>
      <c r="CM9" s="10">
        <v>4613</v>
      </c>
      <c r="CN9" s="14">
        <f t="shared" si="8"/>
        <v>0.88609296965040341</v>
      </c>
      <c r="CO9" s="10">
        <v>4618</v>
      </c>
      <c r="CP9" s="14">
        <f t="shared" si="9"/>
        <v>0.88705339992316556</v>
      </c>
      <c r="CQ9" s="10">
        <v>4611</v>
      </c>
      <c r="CR9" s="14">
        <f t="shared" si="9"/>
        <v>0.8857087975412985</v>
      </c>
      <c r="CS9" s="10">
        <v>4609</v>
      </c>
      <c r="CT9" s="14">
        <f t="shared" si="9"/>
        <v>0.88532462543219359</v>
      </c>
      <c r="CU9" s="10">
        <v>4684</v>
      </c>
      <c r="CV9" s="14">
        <f t="shared" si="9"/>
        <v>0.89973107952362663</v>
      </c>
      <c r="CW9" s="10">
        <v>1637</v>
      </c>
      <c r="CX9" s="14">
        <f t="shared" si="10"/>
        <v>0.31444487130234344</v>
      </c>
      <c r="CY9" s="10">
        <v>2374</v>
      </c>
      <c r="DA9" s="10">
        <v>984</v>
      </c>
      <c r="DC9" s="10">
        <v>1361</v>
      </c>
      <c r="DE9" s="10">
        <v>1502</v>
      </c>
      <c r="DG9" s="10">
        <v>1728</v>
      </c>
      <c r="DI9" s="10">
        <v>1858</v>
      </c>
      <c r="DK9" s="10">
        <v>1761</v>
      </c>
      <c r="DL9" s="10" t="s">
        <v>1718</v>
      </c>
    </row>
    <row r="10" spans="1:116" s="10" customFormat="1" ht="16.5" customHeight="1">
      <c r="A10" s="119">
        <v>10</v>
      </c>
      <c r="B10" s="120" t="s">
        <v>110</v>
      </c>
      <c r="C10" s="38"/>
      <c r="D10" s="13"/>
      <c r="E10" s="45"/>
      <c r="F10" s="611"/>
      <c r="G10" s="611"/>
      <c r="H10" s="611"/>
      <c r="I10" s="611"/>
      <c r="J10" s="611"/>
      <c r="K10" s="611"/>
      <c r="L10" s="611"/>
      <c r="M10" s="611"/>
      <c r="N10" s="611"/>
      <c r="O10" s="611"/>
      <c r="P10" s="611"/>
      <c r="Q10" s="611"/>
      <c r="R10" s="611"/>
      <c r="S10" s="611"/>
      <c r="T10" s="611"/>
      <c r="U10" s="611"/>
      <c r="V10" s="611"/>
      <c r="W10" s="611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48">
        <v>2108</v>
      </c>
      <c r="AJ10" s="13"/>
      <c r="AK10" s="13"/>
      <c r="AL10" s="13">
        <v>2128</v>
      </c>
      <c r="AM10" s="14">
        <f t="shared" si="2"/>
        <v>1.0094876660341556</v>
      </c>
      <c r="AN10" s="13">
        <v>2253</v>
      </c>
      <c r="AO10" s="14">
        <f t="shared" si="2"/>
        <v>1.0687855787476281</v>
      </c>
      <c r="AP10" s="13">
        <v>2264</v>
      </c>
      <c r="AQ10" s="14">
        <f t="shared" ref="AQ10:AY10" si="28">AP10/($AI10)</f>
        <v>1.0740037950664136</v>
      </c>
      <c r="AR10" s="13">
        <v>2224</v>
      </c>
      <c r="AS10" s="14">
        <f t="shared" si="28"/>
        <v>1.0550284629981024</v>
      </c>
      <c r="AT10" s="13">
        <v>2165</v>
      </c>
      <c r="AU10" s="14">
        <f t="shared" si="28"/>
        <v>1.0270398481973435</v>
      </c>
      <c r="AV10" s="13">
        <v>2154</v>
      </c>
      <c r="AW10" s="14">
        <f t="shared" si="28"/>
        <v>1.0218216318785578</v>
      </c>
      <c r="AX10" s="13">
        <v>2204</v>
      </c>
      <c r="AY10" s="14">
        <f t="shared" si="28"/>
        <v>1.045540796963947</v>
      </c>
      <c r="AZ10" s="13">
        <v>2132</v>
      </c>
      <c r="BA10" s="13"/>
      <c r="BB10" s="2">
        <v>2158</v>
      </c>
      <c r="BC10" s="14">
        <f t="shared" si="4"/>
        <v>1.023719165085389</v>
      </c>
      <c r="BD10" s="2">
        <v>104</v>
      </c>
      <c r="BE10" s="14">
        <f t="shared" si="4"/>
        <v>4.9335863377609111E-2</v>
      </c>
      <c r="BF10" s="2">
        <v>93</v>
      </c>
      <c r="BG10" s="14">
        <f t="shared" si="4"/>
        <v>4.4117647058823532E-2</v>
      </c>
      <c r="BH10" s="2">
        <v>93</v>
      </c>
      <c r="BI10" s="14">
        <f t="shared" si="4"/>
        <v>4.4117647058823532E-2</v>
      </c>
      <c r="BK10" s="10">
        <v>80</v>
      </c>
      <c r="BL10" s="14">
        <f t="shared" si="5"/>
        <v>3.7950664136622389E-2</v>
      </c>
      <c r="BM10" s="10">
        <v>67</v>
      </c>
      <c r="BN10" s="14">
        <f t="shared" si="6"/>
        <v>3.1783681214421253E-2</v>
      </c>
      <c r="BO10" s="10">
        <v>75</v>
      </c>
      <c r="BP10" s="14">
        <f t="shared" si="6"/>
        <v>3.5578747628083489E-2</v>
      </c>
      <c r="BQ10" s="10">
        <v>87</v>
      </c>
      <c r="BR10" s="14">
        <f t="shared" si="6"/>
        <v>4.1271347248576853E-2</v>
      </c>
      <c r="BS10" s="10">
        <v>80</v>
      </c>
      <c r="BT10" s="14">
        <f t="shared" si="6"/>
        <v>3.7950664136622389E-2</v>
      </c>
      <c r="BU10" s="10">
        <v>107</v>
      </c>
      <c r="BV10" s="14">
        <f t="shared" si="6"/>
        <v>5.0759013282732447E-2</v>
      </c>
      <c r="BW10" s="10">
        <v>134</v>
      </c>
      <c r="BX10" s="14">
        <f t="shared" si="6"/>
        <v>6.3567362428842505E-2</v>
      </c>
      <c r="BY10" s="10">
        <v>78</v>
      </c>
      <c r="BZ10" s="14">
        <f t="shared" si="6"/>
        <v>3.7001897533206832E-2</v>
      </c>
      <c r="CA10" s="10">
        <v>55</v>
      </c>
      <c r="CB10" s="14">
        <f t="shared" si="6"/>
        <v>2.6091081593927895E-2</v>
      </c>
      <c r="CC10" s="10">
        <v>62</v>
      </c>
      <c r="CD10" s="14">
        <f t="shared" si="6"/>
        <v>2.9411764705882353E-2</v>
      </c>
      <c r="CE10" s="10">
        <v>83</v>
      </c>
      <c r="CF10" s="14">
        <f t="shared" si="6"/>
        <v>3.9373814041745732E-2</v>
      </c>
      <c r="CG10" s="10">
        <v>69</v>
      </c>
      <c r="CH10" s="14">
        <f t="shared" si="6"/>
        <v>3.273244781783681E-2</v>
      </c>
      <c r="CI10" s="10">
        <v>74</v>
      </c>
      <c r="CJ10" s="14">
        <f t="shared" si="6"/>
        <v>3.510436432637571E-2</v>
      </c>
      <c r="CK10" s="10">
        <v>58</v>
      </c>
      <c r="CL10" s="14">
        <f t="shared" si="7"/>
        <v>2.7514231499051234E-2</v>
      </c>
      <c r="CM10" s="10">
        <v>57</v>
      </c>
      <c r="CN10" s="14">
        <f t="shared" si="8"/>
        <v>2.7039848197343452E-2</v>
      </c>
      <c r="CO10" s="10">
        <v>57</v>
      </c>
      <c r="CP10" s="14">
        <f t="shared" si="9"/>
        <v>2.7039848197343452E-2</v>
      </c>
      <c r="CQ10" s="10">
        <v>54</v>
      </c>
      <c r="CR10" s="14">
        <f t="shared" si="9"/>
        <v>2.5616698292220113E-2</v>
      </c>
      <c r="CS10" s="10">
        <v>58</v>
      </c>
      <c r="CT10" s="14">
        <f t="shared" si="9"/>
        <v>2.7514231499051234E-2</v>
      </c>
      <c r="CU10" s="10">
        <v>55</v>
      </c>
      <c r="CV10" s="14">
        <f t="shared" si="9"/>
        <v>2.6091081593927895E-2</v>
      </c>
      <c r="CW10" s="10">
        <v>61</v>
      </c>
      <c r="CX10" s="14">
        <f t="shared" si="10"/>
        <v>2.8937381404174574E-2</v>
      </c>
      <c r="CY10" s="10">
        <v>147</v>
      </c>
      <c r="DA10" s="10">
        <v>79</v>
      </c>
      <c r="DC10" s="10">
        <v>104</v>
      </c>
      <c r="DE10" s="10">
        <v>121</v>
      </c>
      <c r="DG10" s="10">
        <v>150</v>
      </c>
      <c r="DI10" s="10">
        <v>93</v>
      </c>
      <c r="DK10" s="10">
        <v>65</v>
      </c>
      <c r="DL10" s="10" t="s">
        <v>1718</v>
      </c>
    </row>
    <row r="11" spans="1:116" s="10" customFormat="1" ht="16.5" customHeight="1" thickBot="1">
      <c r="A11" s="119">
        <v>11</v>
      </c>
      <c r="B11" s="120" t="s">
        <v>111</v>
      </c>
      <c r="C11" s="38" t="str">
        <f>E11</f>
        <v>{"zust_Gemeinde":"Münchenbuchsee","zust_SozTeam":"Sozialarbeit Bern 1","zust_SozMitarbeiter":"Bern Sozialarbeiterin 1A","zust_SachbTeam":"Sachbearbeitung Bern","zust_SachbMitarbeiter":"Bern Sachbearbeiterin"}</v>
      </c>
      <c r="D11" s="13"/>
      <c r="E11" s="13" t="str">
        <f>F11&amp;G11&amp;H11&amp;I11&amp;J11&amp;K11&amp;L11&amp;M11&amp;N11&amp;O11&amp;P11&amp;Q11&amp;R11&amp;S11&amp;T11&amp;U11&amp;V11&amp;W11&amp;X11</f>
        <v>{"zust_Gemeinde":"Münchenbuchsee","zust_SozTeam":"Sozialarbeit Bern 1","zust_SozMitarbeiter":"Bern Sozialarbeiterin 1A","zust_SachbTeam":"Sachbearbeitung Bern","zust_SachbMitarbeiter":"Bern Sachbearbeiterin"}</v>
      </c>
      <c r="F11" s="611" t="s">
        <v>112</v>
      </c>
      <c r="G11" s="611" t="s">
        <v>113</v>
      </c>
      <c r="H11" s="611" t="s">
        <v>114</v>
      </c>
      <c r="I11" s="611" t="s">
        <v>76</v>
      </c>
      <c r="J11" s="611" t="s">
        <v>115</v>
      </c>
      <c r="K11" s="611" t="s">
        <v>116</v>
      </c>
      <c r="L11" s="611" t="s">
        <v>117</v>
      </c>
      <c r="M11" s="611" t="s">
        <v>118</v>
      </c>
      <c r="N11" s="611" t="s">
        <v>119</v>
      </c>
      <c r="O11" s="611" t="s">
        <v>120</v>
      </c>
      <c r="P11" s="611" t="s">
        <v>37</v>
      </c>
      <c r="Q11" s="611"/>
      <c r="R11" s="611"/>
      <c r="S11" s="611"/>
      <c r="T11" s="611"/>
      <c r="U11" s="611"/>
      <c r="V11" s="611"/>
      <c r="W11" s="611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48">
        <v>565</v>
      </c>
      <c r="AJ11" s="32" t="s">
        <v>121</v>
      </c>
      <c r="AK11" s="32"/>
      <c r="AL11" s="13">
        <v>227</v>
      </c>
      <c r="AM11" s="14">
        <f t="shared" si="2"/>
        <v>0.40176991150442476</v>
      </c>
      <c r="AN11" s="13">
        <v>510</v>
      </c>
      <c r="AO11" s="14">
        <f t="shared" si="2"/>
        <v>0.90265486725663713</v>
      </c>
      <c r="AP11" s="13">
        <v>511</v>
      </c>
      <c r="AQ11" s="14">
        <f t="shared" ref="AQ11:AY11" si="29">AP11/($AI11)</f>
        <v>0.90442477876106198</v>
      </c>
      <c r="AR11" s="13">
        <v>382</v>
      </c>
      <c r="AS11" s="14">
        <f t="shared" si="29"/>
        <v>0.67610619469026545</v>
      </c>
      <c r="AT11" s="13">
        <v>310</v>
      </c>
      <c r="AU11" s="14">
        <f t="shared" si="29"/>
        <v>0.54867256637168138</v>
      </c>
      <c r="AV11" s="13">
        <v>312</v>
      </c>
      <c r="AW11" s="14">
        <f t="shared" si="29"/>
        <v>0.55221238938053097</v>
      </c>
      <c r="AX11" s="13">
        <v>331</v>
      </c>
      <c r="AY11" s="14">
        <f t="shared" si="29"/>
        <v>0.58584070796460175</v>
      </c>
      <c r="AZ11" s="13">
        <v>160</v>
      </c>
      <c r="BA11" s="13"/>
      <c r="BB11" s="2">
        <v>192</v>
      </c>
      <c r="BC11" s="14">
        <f t="shared" si="4"/>
        <v>0.33982300884955752</v>
      </c>
      <c r="BD11" s="2">
        <v>1157</v>
      </c>
      <c r="BE11" s="14">
        <f t="shared" si="4"/>
        <v>2.0477876106194692</v>
      </c>
      <c r="BF11" s="2">
        <v>1275</v>
      </c>
      <c r="BG11" s="14">
        <f t="shared" si="4"/>
        <v>2.2566371681415931</v>
      </c>
      <c r="BH11" s="2">
        <v>1240</v>
      </c>
      <c r="BI11" s="14">
        <f t="shared" si="4"/>
        <v>2.1946902654867255</v>
      </c>
      <c r="BK11" s="10">
        <v>1219</v>
      </c>
      <c r="BL11" s="14">
        <f t="shared" si="5"/>
        <v>2.1575221238938052</v>
      </c>
      <c r="BM11" s="10">
        <v>2010</v>
      </c>
      <c r="BN11" s="14">
        <f t="shared" si="6"/>
        <v>3.5575221238938055</v>
      </c>
      <c r="BO11" s="10">
        <v>1166</v>
      </c>
      <c r="BP11" s="14">
        <f t="shared" si="6"/>
        <v>2.0637168141592919</v>
      </c>
      <c r="BQ11" s="10">
        <v>1218</v>
      </c>
      <c r="BR11" s="14">
        <f t="shared" si="6"/>
        <v>2.1557522123893804</v>
      </c>
      <c r="BS11" s="10">
        <v>1187</v>
      </c>
      <c r="BT11" s="14">
        <f t="shared" si="6"/>
        <v>2.1008849557522122</v>
      </c>
      <c r="BU11" s="10">
        <v>1174</v>
      </c>
      <c r="BV11" s="14">
        <f t="shared" si="6"/>
        <v>2.0778761061946902</v>
      </c>
      <c r="BW11" s="10">
        <v>1217</v>
      </c>
      <c r="BX11" s="14">
        <f t="shared" si="6"/>
        <v>2.1539823008849557</v>
      </c>
      <c r="BY11" s="10">
        <v>1162</v>
      </c>
      <c r="BZ11" s="14">
        <f t="shared" si="6"/>
        <v>2.0566371681415929</v>
      </c>
      <c r="CA11" s="10">
        <v>1386</v>
      </c>
      <c r="CB11" s="14">
        <f t="shared" si="6"/>
        <v>2.4530973451327434</v>
      </c>
      <c r="CC11" s="10">
        <v>1224</v>
      </c>
      <c r="CD11" s="14">
        <f t="shared" si="6"/>
        <v>2.1663716814159293</v>
      </c>
      <c r="CE11" s="10">
        <v>1191</v>
      </c>
      <c r="CF11" s="14">
        <f t="shared" si="6"/>
        <v>2.1079646017699116</v>
      </c>
      <c r="CG11" s="10">
        <v>1186</v>
      </c>
      <c r="CH11" s="14">
        <f t="shared" si="6"/>
        <v>2.0991150442477875</v>
      </c>
      <c r="CI11" s="10">
        <v>1151</v>
      </c>
      <c r="CJ11" s="14">
        <f t="shared" si="6"/>
        <v>2.0371681415929204</v>
      </c>
      <c r="CK11" s="10">
        <v>1152</v>
      </c>
      <c r="CL11" s="14">
        <f t="shared" si="7"/>
        <v>2.0389380530973451</v>
      </c>
      <c r="CM11" s="10">
        <v>1164</v>
      </c>
      <c r="CN11" s="14">
        <f t="shared" si="8"/>
        <v>2.0601769911504424</v>
      </c>
      <c r="CO11" s="10">
        <v>1181</v>
      </c>
      <c r="CP11" s="14">
        <f t="shared" si="9"/>
        <v>2.0902654867256638</v>
      </c>
      <c r="CQ11" s="10">
        <v>1144</v>
      </c>
      <c r="CR11" s="14">
        <f t="shared" si="9"/>
        <v>2.0247787610619468</v>
      </c>
      <c r="CS11" s="10">
        <v>1161</v>
      </c>
      <c r="CT11" s="14">
        <f t="shared" si="9"/>
        <v>2.0548672566371682</v>
      </c>
      <c r="CU11" s="10">
        <v>1162</v>
      </c>
      <c r="CV11" s="14">
        <f t="shared" si="9"/>
        <v>2.0566371681415929</v>
      </c>
      <c r="CW11" s="10">
        <v>1194</v>
      </c>
      <c r="CX11" s="14">
        <f t="shared" si="10"/>
        <v>2.1132743362831858</v>
      </c>
      <c r="CY11" s="10">
        <v>1313</v>
      </c>
      <c r="DA11" s="10">
        <v>1142</v>
      </c>
      <c r="DC11" s="10">
        <v>1185</v>
      </c>
      <c r="DE11" s="10">
        <v>1210</v>
      </c>
      <c r="DG11" s="10">
        <v>1267</v>
      </c>
      <c r="DI11" s="10">
        <v>1491</v>
      </c>
      <c r="DK11" s="10">
        <v>1150</v>
      </c>
      <c r="DL11" s="10" t="s">
        <v>1718</v>
      </c>
    </row>
    <row r="12" spans="1:116" s="10" customFormat="1" ht="16.5" customHeight="1" thickBot="1">
      <c r="A12" s="119">
        <v>12</v>
      </c>
      <c r="B12" s="120" t="s">
        <v>122</v>
      </c>
      <c r="C12" s="38" t="str">
        <f ca="1">E12</f>
        <v>{"dossierBezeichnung":p.DossierName1,"eroeffnetAm":"04.11.2025","dossierSprache":"Deutsch"}</v>
      </c>
      <c r="D12" s="13"/>
      <c r="E12" s="45" t="str">
        <f ca="1">F12&amp;G12&amp;H12&amp;I12&amp;J12&amp;K12&amp;L12&amp;M12&amp;N12&amp;O12&amp;P12&amp;Q12&amp;R12&amp;S12&amp;T12&amp;U12&amp;V12&amp;W12&amp;X12</f>
        <v>{"dossierBezeichnung":p.DossierName1,"eroeffnetAm":"04.11.2025","dossierSprache":"Deutsch"}</v>
      </c>
      <c r="F12" s="611" t="s">
        <v>123</v>
      </c>
      <c r="G12" s="375" t="str">
        <f>G$63</f>
        <v>p.DossierName1</v>
      </c>
      <c r="H12" s="611" t="s">
        <v>124</v>
      </c>
      <c r="I12" s="615" t="str">
        <f ca="1">TEXT(TEXT(TODAY(),"DD")&amp;"."&amp;TEXT(TODAY(),"MM")&amp;"."&amp;TEXT(TODAY(),"YYYY"),"DD.MM.YYYY")</f>
        <v>04.11.2025</v>
      </c>
      <c r="J12" s="611" t="s">
        <v>125</v>
      </c>
      <c r="K12" s="611" t="s">
        <v>85</v>
      </c>
      <c r="L12" s="611" t="s">
        <v>37</v>
      </c>
      <c r="M12" s="611"/>
      <c r="N12" s="611"/>
      <c r="O12" s="611"/>
      <c r="P12" s="611"/>
      <c r="Q12" s="611"/>
      <c r="R12" s="611"/>
      <c r="S12" s="611"/>
      <c r="T12" s="611"/>
      <c r="U12" s="611"/>
      <c r="V12" s="611"/>
      <c r="W12" s="611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48">
        <v>3489</v>
      </c>
      <c r="AJ12" s="71"/>
      <c r="AK12" s="33"/>
      <c r="AL12" s="13">
        <v>3700</v>
      </c>
      <c r="AM12" s="14">
        <f t="shared" si="2"/>
        <v>1.0604757810260819</v>
      </c>
      <c r="AN12" s="13">
        <v>4194</v>
      </c>
      <c r="AO12" s="14">
        <f t="shared" si="2"/>
        <v>1.2020636285468616</v>
      </c>
      <c r="AP12" s="13">
        <v>4214</v>
      </c>
      <c r="AQ12" s="14">
        <f t="shared" ref="AQ12:AY12" si="30">AP12/($AI12)</f>
        <v>1.2077959300659216</v>
      </c>
      <c r="AR12" s="13">
        <v>3773</v>
      </c>
      <c r="AS12" s="14">
        <f t="shared" si="30"/>
        <v>1.0813986815706507</v>
      </c>
      <c r="AT12" s="13">
        <v>3081</v>
      </c>
      <c r="AU12" s="14">
        <f t="shared" si="30"/>
        <v>0.88306104901117799</v>
      </c>
      <c r="AV12" s="13">
        <v>3350</v>
      </c>
      <c r="AW12" s="14">
        <f t="shared" si="30"/>
        <v>0.96016050444253365</v>
      </c>
      <c r="AX12" s="13">
        <v>3683</v>
      </c>
      <c r="AY12" s="14">
        <f t="shared" si="30"/>
        <v>1.0556033247348811</v>
      </c>
      <c r="AZ12" s="13">
        <v>4165</v>
      </c>
      <c r="BA12" s="13"/>
      <c r="BB12" s="2">
        <v>4143</v>
      </c>
      <c r="BC12" s="14">
        <f t="shared" si="4"/>
        <v>1.1874462596732589</v>
      </c>
      <c r="BD12" s="2">
        <v>3974</v>
      </c>
      <c r="BE12" s="14">
        <f t="shared" si="4"/>
        <v>1.1390083118372027</v>
      </c>
      <c r="BF12" s="2">
        <v>4600</v>
      </c>
      <c r="BG12" s="14">
        <f t="shared" si="4"/>
        <v>1.3184293493837775</v>
      </c>
      <c r="BH12" s="2">
        <v>3617</v>
      </c>
      <c r="BI12" s="14">
        <f t="shared" si="4"/>
        <v>1.0366867297219833</v>
      </c>
      <c r="BK12" s="10">
        <v>3983</v>
      </c>
      <c r="BL12" s="14">
        <f t="shared" si="5"/>
        <v>1.1415878475207797</v>
      </c>
      <c r="BM12" s="10">
        <v>3964</v>
      </c>
      <c r="BN12" s="14">
        <f t="shared" si="6"/>
        <v>1.1361421610776727</v>
      </c>
      <c r="BO12" s="10">
        <v>3973</v>
      </c>
      <c r="BP12" s="14">
        <f t="shared" si="6"/>
        <v>1.1387216967612497</v>
      </c>
      <c r="BQ12" s="10">
        <v>4033</v>
      </c>
      <c r="BR12" s="14">
        <f t="shared" si="6"/>
        <v>1.1559186013184293</v>
      </c>
      <c r="BS12" s="10">
        <v>4113</v>
      </c>
      <c r="BT12" s="14">
        <f t="shared" si="6"/>
        <v>1.1788478073946689</v>
      </c>
      <c r="BU12" s="10">
        <v>3934</v>
      </c>
      <c r="BV12" s="14">
        <f t="shared" si="6"/>
        <v>1.1275437087990827</v>
      </c>
      <c r="BW12" s="10">
        <v>3743</v>
      </c>
      <c r="BX12" s="14">
        <f t="shared" si="6"/>
        <v>1.0728002292920609</v>
      </c>
      <c r="BY12" s="10">
        <v>3999</v>
      </c>
      <c r="BZ12" s="14">
        <f t="shared" si="6"/>
        <v>1.1461736887360274</v>
      </c>
      <c r="CA12" s="10">
        <v>3854</v>
      </c>
      <c r="CB12" s="14">
        <f t="shared" si="6"/>
        <v>1.1046145027228431</v>
      </c>
      <c r="CC12" s="10">
        <v>4219</v>
      </c>
      <c r="CD12" s="14">
        <f t="shared" si="6"/>
        <v>1.2092290054456865</v>
      </c>
      <c r="CE12" s="10">
        <v>3977</v>
      </c>
      <c r="CF12" s="14">
        <f t="shared" si="6"/>
        <v>1.1398681570650617</v>
      </c>
      <c r="CG12" s="10">
        <v>4155</v>
      </c>
      <c r="CH12" s="14">
        <f t="shared" si="6"/>
        <v>1.1908856405846948</v>
      </c>
      <c r="CI12" s="10">
        <v>4192</v>
      </c>
      <c r="CJ12" s="14">
        <f t="shared" si="6"/>
        <v>1.2014903983949556</v>
      </c>
      <c r="CK12" s="10">
        <v>4325</v>
      </c>
      <c r="CL12" s="14">
        <f t="shared" si="7"/>
        <v>1.239610203496704</v>
      </c>
      <c r="CM12" s="10">
        <v>4199</v>
      </c>
      <c r="CN12" s="14">
        <f t="shared" si="8"/>
        <v>1.2034967039266264</v>
      </c>
      <c r="CO12" s="10">
        <v>4214</v>
      </c>
      <c r="CP12" s="14">
        <f t="shared" si="9"/>
        <v>1.2077959300659216</v>
      </c>
      <c r="CQ12" s="10">
        <v>3978</v>
      </c>
      <c r="CR12" s="14">
        <f t="shared" si="9"/>
        <v>1.1401547721410146</v>
      </c>
      <c r="CS12" s="10">
        <v>4207</v>
      </c>
      <c r="CT12" s="14">
        <f t="shared" si="9"/>
        <v>1.2057896245342505</v>
      </c>
      <c r="CU12" s="10">
        <v>4243</v>
      </c>
      <c r="CV12" s="14">
        <f t="shared" si="9"/>
        <v>1.2161077672685583</v>
      </c>
      <c r="CW12" s="10">
        <v>4067</v>
      </c>
      <c r="CX12" s="14">
        <f t="shared" si="10"/>
        <v>1.1656635139008311</v>
      </c>
      <c r="CY12" s="10">
        <v>4229</v>
      </c>
      <c r="DA12" s="10">
        <v>4044</v>
      </c>
      <c r="DC12" s="10">
        <v>4085</v>
      </c>
      <c r="DE12" s="10">
        <v>4121</v>
      </c>
      <c r="DG12" s="10">
        <v>4106</v>
      </c>
      <c r="DI12" s="10">
        <v>3852</v>
      </c>
      <c r="DK12" s="10">
        <v>4281</v>
      </c>
      <c r="DL12" s="10" t="s">
        <v>1718</v>
      </c>
    </row>
    <row r="13" spans="1:116" s="10" customFormat="1" ht="16.5" customHeight="1">
      <c r="A13" s="119">
        <v>14</v>
      </c>
      <c r="B13" s="120" t="s">
        <v>127</v>
      </c>
      <c r="C13" s="38" t="str">
        <f>E13</f>
        <v>{"dossierInstitution":p.DossierName1,"klientschaft":`${p.FamilyName1}, ${p.ManFirstName1}`,"buttonBewilligung":"Anfragen","checkStatus":"In Bearbeitung"}</v>
      </c>
      <c r="D13" s="76"/>
      <c r="E13" s="77" t="str">
        <f t="shared" ref="E13:E30" si="31">F13&amp;G13&amp;H13&amp;I13&amp;J13&amp;K13&amp;L13&amp;M13&amp;N13&amp;O13&amp;P13&amp;Q13&amp;R13&amp;S13&amp;T13&amp;U13&amp;V13&amp;W13&amp;X13</f>
        <v>{"dossierInstitution":p.DossierName1,"klientschaft":`${p.FamilyName1}, ${p.ManFirstName1}`,"buttonBewilligung":"Anfragen","checkStatus":"In Bearbeitung"}</v>
      </c>
      <c r="F13" s="611" t="s">
        <v>128</v>
      </c>
      <c r="G13" s="611" t="str">
        <f>G12</f>
        <v>p.DossierName1</v>
      </c>
      <c r="H13" s="611" t="s">
        <v>129</v>
      </c>
      <c r="I13" s="609" t="str">
        <f>I24</f>
        <v>${p.FamilyName1}, ${p.ManFirstName1}</v>
      </c>
      <c r="J13" s="611" t="s">
        <v>130</v>
      </c>
      <c r="K13" s="614" t="s">
        <v>131</v>
      </c>
      <c r="L13" s="611" t="s">
        <v>132</v>
      </c>
      <c r="M13" s="611" t="s">
        <v>133</v>
      </c>
      <c r="N13" s="611" t="s">
        <v>37</v>
      </c>
      <c r="O13" s="611"/>
      <c r="P13" s="611"/>
      <c r="Q13" s="611"/>
      <c r="R13" s="611"/>
      <c r="S13" s="611"/>
      <c r="T13" s="611"/>
      <c r="U13" s="611"/>
      <c r="V13" s="611"/>
      <c r="W13" s="611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48">
        <v>1017</v>
      </c>
      <c r="AJ13" s="81"/>
      <c r="AK13" s="4"/>
      <c r="AL13" s="76">
        <v>1012</v>
      </c>
      <c r="AM13" s="14">
        <f t="shared" si="2"/>
        <v>0.99508357915437562</v>
      </c>
      <c r="AN13" s="76">
        <v>1010</v>
      </c>
      <c r="AO13" s="14">
        <f t="shared" si="2"/>
        <v>0.99311701081612591</v>
      </c>
      <c r="AP13" s="76">
        <v>1013</v>
      </c>
      <c r="AQ13" s="14">
        <f t="shared" ref="AQ13:AY13" si="32">AP13/($AI13)</f>
        <v>0.99606686332350047</v>
      </c>
      <c r="AR13" s="76">
        <v>1021</v>
      </c>
      <c r="AS13" s="14">
        <f t="shared" si="32"/>
        <v>1.0039331366764994</v>
      </c>
      <c r="AT13" s="76">
        <v>1017</v>
      </c>
      <c r="AU13" s="14">
        <f t="shared" si="32"/>
        <v>1</v>
      </c>
      <c r="AV13" s="76">
        <v>1012</v>
      </c>
      <c r="AW13" s="14">
        <f t="shared" si="32"/>
        <v>0.99508357915437562</v>
      </c>
      <c r="AX13" s="76">
        <v>1006</v>
      </c>
      <c r="AY13" s="14">
        <f t="shared" si="32"/>
        <v>0.98918387413962638</v>
      </c>
      <c r="AZ13" s="76">
        <v>1010</v>
      </c>
      <c r="BA13" s="76"/>
      <c r="BB13" s="2">
        <v>1011</v>
      </c>
      <c r="BC13" s="14">
        <f t="shared" si="4"/>
        <v>0.99410029498525077</v>
      </c>
      <c r="BD13" s="2">
        <v>1544</v>
      </c>
      <c r="BE13" s="14">
        <f t="shared" si="4"/>
        <v>1.5181907571288102</v>
      </c>
      <c r="BF13" s="2">
        <v>1115</v>
      </c>
      <c r="BG13" s="14">
        <f t="shared" si="4"/>
        <v>1.0963618485742379</v>
      </c>
      <c r="BH13" s="2">
        <v>1067</v>
      </c>
      <c r="BI13" s="14">
        <f t="shared" si="4"/>
        <v>1.0491642084562438</v>
      </c>
      <c r="BK13" s="10">
        <v>917</v>
      </c>
      <c r="BL13" s="14">
        <f t="shared" si="5"/>
        <v>0.90167158308751227</v>
      </c>
      <c r="BM13" s="10">
        <v>1533</v>
      </c>
      <c r="BN13" s="14">
        <f t="shared" si="6"/>
        <v>1.5073746312684366</v>
      </c>
      <c r="BO13" s="10">
        <v>1538</v>
      </c>
      <c r="BP13" s="14">
        <f t="shared" si="6"/>
        <v>1.5122910521140609</v>
      </c>
      <c r="BQ13" s="10">
        <v>1396</v>
      </c>
      <c r="BR13" s="14">
        <f t="shared" si="6"/>
        <v>1.3726647000983285</v>
      </c>
      <c r="BS13" s="10">
        <v>900</v>
      </c>
      <c r="BT13" s="14">
        <f t="shared" si="6"/>
        <v>0.88495575221238942</v>
      </c>
      <c r="BU13" s="10">
        <v>914</v>
      </c>
      <c r="BV13" s="14">
        <f t="shared" si="6"/>
        <v>0.89872173058013771</v>
      </c>
      <c r="BW13" s="10">
        <v>1098</v>
      </c>
      <c r="BX13" s="14">
        <f t="shared" si="6"/>
        <v>1.0796460176991149</v>
      </c>
      <c r="BY13" s="10">
        <v>941</v>
      </c>
      <c r="BZ13" s="14">
        <f t="shared" si="6"/>
        <v>0.92527040314650932</v>
      </c>
      <c r="CA13" s="10">
        <v>1066</v>
      </c>
      <c r="CB13" s="14">
        <f t="shared" si="6"/>
        <v>1.048180924287119</v>
      </c>
      <c r="CC13" s="10">
        <v>1093</v>
      </c>
      <c r="CD13" s="14">
        <f t="shared" si="6"/>
        <v>1.0747295968534907</v>
      </c>
      <c r="CE13" s="10">
        <v>1629</v>
      </c>
      <c r="CF13" s="14">
        <f t="shared" si="6"/>
        <v>1.6017699115044248</v>
      </c>
      <c r="CG13" s="10">
        <v>952</v>
      </c>
      <c r="CH13" s="14">
        <f t="shared" si="6"/>
        <v>0.93608652900688294</v>
      </c>
      <c r="CI13" s="10">
        <v>1544</v>
      </c>
      <c r="CJ13" s="14">
        <f t="shared" si="6"/>
        <v>1.5181907571288102</v>
      </c>
      <c r="CK13" s="10">
        <v>1495</v>
      </c>
      <c r="CL13" s="14">
        <f t="shared" si="7"/>
        <v>1.4700098328416913</v>
      </c>
      <c r="CM13" s="10">
        <v>1464</v>
      </c>
      <c r="CN13" s="14">
        <f t="shared" si="8"/>
        <v>1.4395280235988202</v>
      </c>
      <c r="CO13" s="10">
        <v>1522</v>
      </c>
      <c r="CP13" s="14">
        <f t="shared" si="9"/>
        <v>1.496558505408063</v>
      </c>
      <c r="CQ13" s="10">
        <v>1520</v>
      </c>
      <c r="CR13" s="14">
        <f t="shared" si="9"/>
        <v>1.4945919370698131</v>
      </c>
      <c r="CS13" s="10">
        <v>1481</v>
      </c>
      <c r="CT13" s="14">
        <f t="shared" si="9"/>
        <v>1.4562438544739429</v>
      </c>
      <c r="CU13" s="10">
        <v>1517</v>
      </c>
      <c r="CV13" s="14">
        <f t="shared" si="9"/>
        <v>1.4916420845624385</v>
      </c>
      <c r="CW13" s="10">
        <v>8953</v>
      </c>
      <c r="CX13" s="14">
        <f t="shared" si="10"/>
        <v>8.8033431661750239</v>
      </c>
      <c r="CY13" s="10">
        <v>5523</v>
      </c>
      <c r="DA13" s="10">
        <v>4299</v>
      </c>
      <c r="DC13" s="10">
        <v>5380</v>
      </c>
      <c r="DE13" s="10">
        <v>7390</v>
      </c>
      <c r="DG13" s="10">
        <v>9091</v>
      </c>
      <c r="DI13" s="10">
        <v>4703</v>
      </c>
      <c r="DK13" s="10">
        <v>7067</v>
      </c>
      <c r="DL13" s="10" t="s">
        <v>1718</v>
      </c>
    </row>
    <row r="14" spans="1:116" s="10" customFormat="1" ht="16.5" customHeight="1">
      <c r="A14" s="119">
        <v>15</v>
      </c>
      <c r="B14" s="120" t="s">
        <v>134</v>
      </c>
      <c r="C14" s="38" t="str">
        <f>E14</f>
        <v>{"username":"Bern.Sachbearbeiterin@diartis.ch","password":"XXxa22?pdTA66-S@"}</v>
      </c>
      <c r="D14" s="82"/>
      <c r="E14" s="83" t="str">
        <f t="shared" si="31"/>
        <v>{"username":"Bern.Sachbearbeiterin@diartis.ch","password":"XXxa22?pdTA66-S@"}</v>
      </c>
      <c r="F14" s="609" t="s">
        <v>29</v>
      </c>
      <c r="G14" s="617" t="s">
        <v>30</v>
      </c>
      <c r="H14" s="609" t="s">
        <v>31</v>
      </c>
      <c r="I14" s="618" t="s">
        <v>32</v>
      </c>
      <c r="J14" s="609" t="s">
        <v>37</v>
      </c>
      <c r="K14" s="614"/>
      <c r="L14" s="609"/>
      <c r="M14" s="611"/>
      <c r="N14" s="609"/>
      <c r="O14" s="611"/>
      <c r="P14" s="609"/>
      <c r="Q14" s="611"/>
      <c r="R14" s="609"/>
      <c r="S14" s="611"/>
      <c r="T14" s="609"/>
      <c r="U14" s="611"/>
      <c r="V14" s="609"/>
      <c r="W14" s="611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48">
        <v>12078</v>
      </c>
      <c r="AJ14" s="74"/>
      <c r="AK14" s="4"/>
      <c r="AL14" s="82">
        <v>12419</v>
      </c>
      <c r="AM14" s="14">
        <f t="shared" si="2"/>
        <v>1.0282331511839709</v>
      </c>
      <c r="AN14" s="82">
        <v>12798</v>
      </c>
      <c r="AO14" s="14">
        <f t="shared" si="2"/>
        <v>1.059612518628912</v>
      </c>
      <c r="AP14" s="82">
        <v>12935</v>
      </c>
      <c r="AQ14" s="14">
        <f t="shared" ref="AQ14:AY14" si="33">AP14/($AI14)</f>
        <v>1.0709554562013579</v>
      </c>
      <c r="AR14" s="82">
        <v>14401</v>
      </c>
      <c r="AS14" s="14">
        <f t="shared" si="33"/>
        <v>1.1923331677430038</v>
      </c>
      <c r="AT14" s="82">
        <v>13760</v>
      </c>
      <c r="AU14" s="14">
        <f t="shared" si="33"/>
        <v>1.1392614671303196</v>
      </c>
      <c r="AV14" s="82">
        <v>14182</v>
      </c>
      <c r="AW14" s="14">
        <f t="shared" si="33"/>
        <v>1.1742010266600431</v>
      </c>
      <c r="AX14" s="82">
        <v>14251</v>
      </c>
      <c r="AY14" s="14">
        <f t="shared" si="33"/>
        <v>1.179913893028647</v>
      </c>
      <c r="AZ14" s="82">
        <v>9685</v>
      </c>
      <c r="BA14" s="82"/>
      <c r="BB14" s="2">
        <v>9964</v>
      </c>
      <c r="BC14" s="14">
        <f t="shared" si="4"/>
        <v>0.82497102169233316</v>
      </c>
      <c r="BD14" s="2">
        <v>4009</v>
      </c>
      <c r="BE14" s="14">
        <f t="shared" si="4"/>
        <v>0.33192581553237294</v>
      </c>
      <c r="BF14" s="2">
        <v>4022</v>
      </c>
      <c r="BG14" s="14">
        <f t="shared" si="4"/>
        <v>0.33300215267428385</v>
      </c>
      <c r="BH14" s="2">
        <v>4012</v>
      </c>
      <c r="BI14" s="14">
        <f t="shared" si="4"/>
        <v>0.33217420102666007</v>
      </c>
      <c r="BK14" s="10">
        <v>4017</v>
      </c>
      <c r="BL14" s="14">
        <f t="shared" si="5"/>
        <v>0.33258817685047193</v>
      </c>
      <c r="BM14" s="10">
        <v>4020</v>
      </c>
      <c r="BN14" s="14">
        <f t="shared" si="6"/>
        <v>0.33283656234475906</v>
      </c>
      <c r="BO14" s="10">
        <v>11484</v>
      </c>
      <c r="BP14" s="14">
        <f t="shared" si="6"/>
        <v>0.95081967213114749</v>
      </c>
      <c r="BQ14" s="10">
        <v>10053</v>
      </c>
      <c r="BR14" s="14">
        <f t="shared" si="6"/>
        <v>0.83233979135618474</v>
      </c>
      <c r="BS14" s="10">
        <v>11588</v>
      </c>
      <c r="BT14" s="14">
        <f t="shared" si="6"/>
        <v>0.95943036926643488</v>
      </c>
      <c r="BU14" s="10">
        <v>11166</v>
      </c>
      <c r="BV14" s="14">
        <f t="shared" si="6"/>
        <v>0.92449080973671138</v>
      </c>
      <c r="BW14" s="10">
        <v>11642</v>
      </c>
      <c r="BX14" s="14">
        <f t="shared" si="6"/>
        <v>0.9639013081636032</v>
      </c>
      <c r="BY14" s="10">
        <v>9693</v>
      </c>
      <c r="BZ14" s="14">
        <f t="shared" si="6"/>
        <v>0.80253353204172873</v>
      </c>
      <c r="CA14" s="10">
        <v>16101</v>
      </c>
      <c r="CB14" s="14">
        <f t="shared" si="6"/>
        <v>1.3330849478390463</v>
      </c>
      <c r="CC14" s="10">
        <v>9509</v>
      </c>
      <c r="CD14" s="14">
        <f t="shared" si="6"/>
        <v>0.78729922172545119</v>
      </c>
      <c r="CE14" s="10">
        <v>6931</v>
      </c>
      <c r="CF14" s="14">
        <f t="shared" si="6"/>
        <v>0.57385328696804105</v>
      </c>
      <c r="CG14" s="10">
        <v>6610</v>
      </c>
      <c r="CH14" s="14">
        <f t="shared" si="6"/>
        <v>0.54727603907931777</v>
      </c>
      <c r="CI14" s="10">
        <v>6177</v>
      </c>
      <c r="CJ14" s="14">
        <f t="shared" si="6"/>
        <v>0.51142573273720815</v>
      </c>
      <c r="CK14" s="10">
        <v>43627</v>
      </c>
      <c r="CL14" s="14">
        <f t="shared" si="7"/>
        <v>3.6121046530882595</v>
      </c>
      <c r="CM14" s="10">
        <v>32197</v>
      </c>
      <c r="CN14" s="14">
        <f t="shared" si="8"/>
        <v>2.6657559198542806</v>
      </c>
      <c r="CO14" s="10">
        <v>32138</v>
      </c>
      <c r="CP14" s="14">
        <f t="shared" si="9"/>
        <v>2.6608710051333002</v>
      </c>
      <c r="CQ14" s="10">
        <v>17430</v>
      </c>
      <c r="CR14" s="14">
        <f t="shared" si="9"/>
        <v>1.4431197218082463</v>
      </c>
      <c r="CS14" s="10">
        <v>27317</v>
      </c>
      <c r="CT14" s="14">
        <f t="shared" si="9"/>
        <v>2.2617155158138766</v>
      </c>
      <c r="CU14" s="10">
        <v>29239</v>
      </c>
      <c r="CV14" s="14">
        <f t="shared" si="9"/>
        <v>2.4208478224871666</v>
      </c>
      <c r="CW14" s="10">
        <v>20759</v>
      </c>
      <c r="CX14" s="14">
        <f t="shared" si="10"/>
        <v>1.7187448253022024</v>
      </c>
      <c r="CY14" s="10">
        <v>8304</v>
      </c>
      <c r="DA14" s="10">
        <v>8337</v>
      </c>
      <c r="DC14" s="10">
        <v>9721</v>
      </c>
      <c r="DE14" s="10">
        <v>11773</v>
      </c>
      <c r="DG14" s="10">
        <v>19902</v>
      </c>
      <c r="DI14" s="10">
        <v>12894</v>
      </c>
      <c r="DK14" s="10">
        <v>36248</v>
      </c>
      <c r="DL14" s="10" t="s">
        <v>1718</v>
      </c>
    </row>
    <row r="15" spans="1:116" s="10" customFormat="1" ht="16.5" customHeight="1">
      <c r="A15" s="119">
        <v>17</v>
      </c>
      <c r="B15" s="120" t="s">
        <v>127</v>
      </c>
      <c r="C15" s="38" t="str">
        <f>E15</f>
        <v>{"dossierInstitution":p.DossierName1,"klientschaft":`${p.FamilyName1}, ${p.ManFirstName1}`,"buttonBewilligung":"Bewilligen","checkStatus":"Bewilligt"}</v>
      </c>
      <c r="D15" s="76"/>
      <c r="E15" s="77" t="str">
        <f t="shared" si="31"/>
        <v>{"dossierInstitution":p.DossierName1,"klientschaft":`${p.FamilyName1}, ${p.ManFirstName1}`,"buttonBewilligung":"Bewilligen","checkStatus":"Bewilligt"}</v>
      </c>
      <c r="F15" s="611" t="s">
        <v>128</v>
      </c>
      <c r="G15" s="611" t="str">
        <f>'001a'!$G$12</f>
        <v>p.DossierName1</v>
      </c>
      <c r="H15" s="611" t="s">
        <v>129</v>
      </c>
      <c r="I15" s="609" t="str">
        <f>I24</f>
        <v>${p.FamilyName1}, ${p.ManFirstName1}</v>
      </c>
      <c r="J15" s="611" t="s">
        <v>130</v>
      </c>
      <c r="K15" s="614" t="s">
        <v>136</v>
      </c>
      <c r="L15" s="611" t="s">
        <v>132</v>
      </c>
      <c r="M15" s="611" t="s">
        <v>137</v>
      </c>
      <c r="N15" s="611" t="s">
        <v>37</v>
      </c>
      <c r="O15" s="611"/>
      <c r="P15" s="611"/>
      <c r="Q15" s="611"/>
      <c r="R15" s="611"/>
      <c r="S15" s="611"/>
      <c r="T15" s="611"/>
      <c r="U15" s="611"/>
      <c r="V15" s="611"/>
      <c r="W15" s="611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48">
        <v>4790</v>
      </c>
      <c r="AJ15" s="74"/>
      <c r="AK15" s="4"/>
      <c r="AL15" s="76">
        <v>5007</v>
      </c>
      <c r="AM15" s="14">
        <f t="shared" si="2"/>
        <v>1.045302713987474</v>
      </c>
      <c r="AN15" s="76">
        <v>5015</v>
      </c>
      <c r="AO15" s="14">
        <f t="shared" si="2"/>
        <v>1.046972860125261</v>
      </c>
      <c r="AP15" s="76">
        <v>5014</v>
      </c>
      <c r="AQ15" s="14">
        <f t="shared" ref="AQ15:AY15" si="34">AP15/($AI15)</f>
        <v>1.0467640918580376</v>
      </c>
      <c r="AR15" s="76">
        <v>5021</v>
      </c>
      <c r="AS15" s="14">
        <f t="shared" si="34"/>
        <v>1.0482254697286013</v>
      </c>
      <c r="AT15" s="76">
        <v>5014</v>
      </c>
      <c r="AU15" s="14">
        <f t="shared" si="34"/>
        <v>1.0467640918580376</v>
      </c>
      <c r="AV15" s="76">
        <v>5009</v>
      </c>
      <c r="AW15" s="14">
        <f t="shared" si="34"/>
        <v>1.0457202505219207</v>
      </c>
      <c r="AX15" s="76">
        <v>5004</v>
      </c>
      <c r="AY15" s="14">
        <f t="shared" si="34"/>
        <v>1.0446764091858038</v>
      </c>
      <c r="AZ15" s="76">
        <v>5018</v>
      </c>
      <c r="BA15" s="76"/>
      <c r="BB15" s="2">
        <v>5021</v>
      </c>
      <c r="BC15" s="14">
        <f t="shared" si="4"/>
        <v>1.0482254697286013</v>
      </c>
      <c r="BD15" s="2">
        <v>8626</v>
      </c>
      <c r="BE15" s="14">
        <f t="shared" si="4"/>
        <v>1.8008350730688936</v>
      </c>
      <c r="BF15" s="2">
        <v>8975</v>
      </c>
      <c r="BG15" s="14">
        <f t="shared" si="4"/>
        <v>1.8736951983298538</v>
      </c>
      <c r="BH15" s="2">
        <v>9664</v>
      </c>
      <c r="BI15" s="14">
        <f t="shared" si="4"/>
        <v>2.017536534446764</v>
      </c>
      <c r="BK15" s="10">
        <v>8654</v>
      </c>
      <c r="BL15" s="14">
        <f t="shared" si="5"/>
        <v>1.8066805845511482</v>
      </c>
      <c r="BM15" s="10">
        <v>8903</v>
      </c>
      <c r="BN15" s="14">
        <f t="shared" si="6"/>
        <v>1.8586638830897704</v>
      </c>
      <c r="BO15" s="10">
        <v>10580</v>
      </c>
      <c r="BP15" s="14">
        <f t="shared" si="6"/>
        <v>2.2087682672233822</v>
      </c>
      <c r="BQ15" s="10">
        <v>9302</v>
      </c>
      <c r="BR15" s="14">
        <f t="shared" si="6"/>
        <v>1.9419624217118998</v>
      </c>
      <c r="BS15" s="10">
        <v>9758</v>
      </c>
      <c r="BT15" s="14">
        <f t="shared" si="6"/>
        <v>2.0371607515657622</v>
      </c>
      <c r="BU15" s="10">
        <v>9814</v>
      </c>
      <c r="BV15" s="14">
        <f t="shared" si="6"/>
        <v>2.0488517745302715</v>
      </c>
      <c r="BW15" s="10">
        <v>10548</v>
      </c>
      <c r="BX15" s="14">
        <f t="shared" si="6"/>
        <v>2.202087682672234</v>
      </c>
      <c r="BY15" s="10">
        <v>8948</v>
      </c>
      <c r="BZ15" s="14">
        <f t="shared" si="6"/>
        <v>1.8680584551148225</v>
      </c>
      <c r="CA15" s="10">
        <v>9461</v>
      </c>
      <c r="CB15" s="14">
        <f t="shared" si="6"/>
        <v>1.9751565762004175</v>
      </c>
      <c r="CC15" s="10">
        <v>9691</v>
      </c>
      <c r="CD15" s="14">
        <f t="shared" si="6"/>
        <v>2.0231732776617952</v>
      </c>
      <c r="CE15" s="10">
        <v>10751</v>
      </c>
      <c r="CF15" s="14">
        <f t="shared" si="6"/>
        <v>2.2444676409185802</v>
      </c>
      <c r="CG15" s="10">
        <v>9774</v>
      </c>
      <c r="CH15" s="14">
        <f t="shared" si="6"/>
        <v>2.0405010438413362</v>
      </c>
      <c r="CI15" s="10">
        <v>10115</v>
      </c>
      <c r="CJ15" s="14">
        <f t="shared" si="6"/>
        <v>2.1116910229645094</v>
      </c>
      <c r="CK15" s="10">
        <v>10077</v>
      </c>
      <c r="CL15" s="14">
        <f t="shared" si="7"/>
        <v>2.1037578288100209</v>
      </c>
      <c r="CM15" s="10">
        <v>9625</v>
      </c>
      <c r="CN15" s="14">
        <f t="shared" si="8"/>
        <v>2.0093945720250521</v>
      </c>
      <c r="CO15" s="10">
        <v>9869</v>
      </c>
      <c r="CP15" s="14">
        <f t="shared" si="9"/>
        <v>2.0603340292275574</v>
      </c>
      <c r="CQ15" s="10">
        <v>8732</v>
      </c>
      <c r="CR15" s="14">
        <f t="shared" si="9"/>
        <v>1.8229645093945721</v>
      </c>
      <c r="CS15" s="10">
        <v>10681</v>
      </c>
      <c r="CT15" s="14">
        <f t="shared" si="9"/>
        <v>2.2298538622129436</v>
      </c>
      <c r="CU15" s="10">
        <v>9851</v>
      </c>
      <c r="CV15" s="14">
        <f t="shared" si="9"/>
        <v>2.0565762004175365</v>
      </c>
      <c r="CW15" s="10">
        <v>9773</v>
      </c>
      <c r="CX15" s="14">
        <f t="shared" si="10"/>
        <v>2.0402922755741129</v>
      </c>
      <c r="CY15" s="10">
        <v>11811</v>
      </c>
      <c r="DA15" s="10">
        <v>12426</v>
      </c>
      <c r="DC15" s="10">
        <v>12341</v>
      </c>
      <c r="DE15" s="10">
        <v>12021</v>
      </c>
      <c r="DG15" s="10">
        <v>10831</v>
      </c>
      <c r="DI15" s="10">
        <v>8934</v>
      </c>
      <c r="DK15" s="10">
        <v>10584</v>
      </c>
      <c r="DL15" s="10" t="s">
        <v>1718</v>
      </c>
    </row>
    <row r="16" spans="1:116" ht="16.5" customHeight="1" thickBot="1">
      <c r="A16" s="119">
        <v>18</v>
      </c>
      <c r="B16" s="120" t="s">
        <v>134</v>
      </c>
      <c r="C16" s="88" t="s">
        <v>138</v>
      </c>
      <c r="E16" s="2" t="str">
        <f t="shared" si="31"/>
        <v>{"username":"Bern.Sachbearbeiterin@diartis.ch","password":"XXxa22?pdTA66-S@"}</v>
      </c>
      <c r="F16" s="609" t="s">
        <v>29</v>
      </c>
      <c r="G16" s="611" t="s">
        <v>30</v>
      </c>
      <c r="H16" s="609" t="s">
        <v>31</v>
      </c>
      <c r="I16" s="611" t="s">
        <v>32</v>
      </c>
      <c r="J16" s="609" t="s">
        <v>37</v>
      </c>
      <c r="AI16" s="48">
        <v>12332</v>
      </c>
      <c r="AJ16" s="81"/>
      <c r="AL16" s="2">
        <v>12730</v>
      </c>
      <c r="AM16" s="14">
        <f t="shared" si="2"/>
        <v>1.0322737593253324</v>
      </c>
      <c r="AN16" s="2">
        <v>12589</v>
      </c>
      <c r="AO16" s="14">
        <f t="shared" si="2"/>
        <v>1.0208400908206292</v>
      </c>
      <c r="AP16" s="2">
        <v>13286</v>
      </c>
      <c r="AQ16" s="14">
        <f t="shared" ref="AQ16:AY16" si="35">AP16/($AI16)</f>
        <v>1.0773597145637366</v>
      </c>
      <c r="AR16" s="2">
        <v>13640</v>
      </c>
      <c r="AS16" s="14">
        <f t="shared" si="35"/>
        <v>1.1060655205968213</v>
      </c>
      <c r="AT16" s="2">
        <v>13635</v>
      </c>
      <c r="AU16" s="14">
        <f t="shared" si="35"/>
        <v>1.1056600713590659</v>
      </c>
      <c r="AV16" s="2">
        <v>13688</v>
      </c>
      <c r="AW16" s="14">
        <f t="shared" si="35"/>
        <v>1.1099578332792734</v>
      </c>
      <c r="AX16" s="2">
        <v>26297</v>
      </c>
      <c r="AY16" s="14">
        <f t="shared" si="35"/>
        <v>2.1324197210509244</v>
      </c>
      <c r="AZ16" s="2">
        <v>10616</v>
      </c>
      <c r="BB16" s="2">
        <v>10362</v>
      </c>
      <c r="BC16" s="14">
        <f t="shared" si="4"/>
        <v>0.84025300032435934</v>
      </c>
      <c r="BD16" s="2">
        <v>410</v>
      </c>
      <c r="BE16" s="14">
        <f t="shared" si="4"/>
        <v>3.3246837495945508E-2</v>
      </c>
      <c r="BF16" s="2">
        <v>416</v>
      </c>
      <c r="BG16" s="14">
        <f t="shared" si="4"/>
        <v>3.3733376581252028E-2</v>
      </c>
      <c r="BH16" s="2">
        <v>401</v>
      </c>
      <c r="BI16" s="14">
        <f t="shared" si="4"/>
        <v>3.2517028867985728E-2</v>
      </c>
      <c r="BK16" s="2">
        <v>418</v>
      </c>
      <c r="BL16" s="14">
        <f t="shared" si="5"/>
        <v>3.3895556276354204E-2</v>
      </c>
      <c r="BM16" s="2">
        <v>404</v>
      </c>
      <c r="BN16" s="14">
        <f t="shared" si="6"/>
        <v>3.2760298410638988E-2</v>
      </c>
      <c r="BO16" s="2">
        <v>10163</v>
      </c>
      <c r="BP16" s="14">
        <f t="shared" si="6"/>
        <v>0.82411612066169315</v>
      </c>
      <c r="BQ16" s="2">
        <v>10128</v>
      </c>
      <c r="BR16" s="14">
        <f t="shared" si="6"/>
        <v>0.82127797599740515</v>
      </c>
      <c r="BS16" s="2">
        <v>10432</v>
      </c>
      <c r="BT16" s="14">
        <f t="shared" si="6"/>
        <v>0.84592928965293546</v>
      </c>
      <c r="BU16" s="2">
        <v>10609</v>
      </c>
      <c r="BV16" s="14">
        <f t="shared" si="6"/>
        <v>0.86028219266947781</v>
      </c>
      <c r="BW16" s="2">
        <v>11196</v>
      </c>
      <c r="BX16" s="14">
        <f t="shared" si="6"/>
        <v>0.90788193318196564</v>
      </c>
      <c r="BY16" s="2">
        <v>10494</v>
      </c>
      <c r="BZ16" s="14">
        <f t="shared" si="6"/>
        <v>0.85095686020110284</v>
      </c>
      <c r="CA16" s="2">
        <v>8885</v>
      </c>
      <c r="CB16" s="14">
        <f t="shared" si="6"/>
        <v>0.72048329549140444</v>
      </c>
      <c r="CC16" s="2">
        <v>9805</v>
      </c>
      <c r="CD16" s="14">
        <f t="shared" si="6"/>
        <v>0.7950859552384042</v>
      </c>
      <c r="CE16" s="2">
        <v>8275</v>
      </c>
      <c r="CF16" s="14">
        <f t="shared" si="6"/>
        <v>0.67101848848524159</v>
      </c>
      <c r="CG16" s="2">
        <v>7229</v>
      </c>
      <c r="CH16" s="14">
        <f t="shared" si="6"/>
        <v>0.58619850794680506</v>
      </c>
      <c r="CI16" s="2">
        <v>5168</v>
      </c>
      <c r="CJ16" s="14">
        <f t="shared" si="6"/>
        <v>0.41907233214401557</v>
      </c>
      <c r="CK16" s="2">
        <v>14471</v>
      </c>
      <c r="CL16" s="14">
        <f t="shared" si="7"/>
        <v>1.1734511839117743</v>
      </c>
      <c r="CM16" s="2">
        <v>9363</v>
      </c>
      <c r="CN16" s="14">
        <f t="shared" si="8"/>
        <v>0.75924424262082391</v>
      </c>
      <c r="CO16" s="2">
        <v>9758</v>
      </c>
      <c r="CP16" s="14">
        <f t="shared" si="9"/>
        <v>0.7912747324035031</v>
      </c>
      <c r="CQ16" s="2">
        <v>8724</v>
      </c>
      <c r="CR16" s="14">
        <f t="shared" si="9"/>
        <v>0.70742783003567955</v>
      </c>
      <c r="CS16" s="2">
        <v>9595</v>
      </c>
      <c r="CT16" s="14">
        <f t="shared" si="9"/>
        <v>0.77805708725267597</v>
      </c>
      <c r="CU16" s="2">
        <v>8421</v>
      </c>
      <c r="CV16" s="14">
        <f t="shared" si="9"/>
        <v>0.68285760622770031</v>
      </c>
      <c r="CW16" s="2">
        <v>13550</v>
      </c>
      <c r="CX16" s="14">
        <f t="shared" si="10"/>
        <v>1.0987674343172236</v>
      </c>
      <c r="CY16" s="2">
        <v>10640</v>
      </c>
      <c r="DA16" s="2">
        <v>7882</v>
      </c>
      <c r="DC16" s="2">
        <v>9028</v>
      </c>
      <c r="DE16" s="2">
        <v>9203</v>
      </c>
      <c r="DG16" s="2">
        <v>8945</v>
      </c>
      <c r="DI16" s="2">
        <v>14973</v>
      </c>
      <c r="DK16" s="2">
        <v>12825</v>
      </c>
      <c r="DL16" s="2" t="s">
        <v>1718</v>
      </c>
    </row>
    <row r="17" spans="1:116" s="10" customFormat="1" ht="16.5" customHeight="1" thickBot="1">
      <c r="A17" s="49">
        <v>20</v>
      </c>
      <c r="B17" s="54" t="s">
        <v>139</v>
      </c>
      <c r="C17" s="89" t="str">
        <f t="shared" ref="C17:C30" si="36">E17</f>
        <v>{"searchDossierOrKlient":p.DossierName1,"resultType":"Dossiers"}</v>
      </c>
      <c r="D17" s="90"/>
      <c r="E17" s="91" t="str">
        <f t="shared" si="31"/>
        <v>{"searchDossierOrKlient":p.DossierName1,"resultType":"Dossiers"}</v>
      </c>
      <c r="F17" s="609" t="s">
        <v>140</v>
      </c>
      <c r="G17" s="611" t="str">
        <f>'001a'!$G$12</f>
        <v>p.DossierName1</v>
      </c>
      <c r="H17" s="609" t="s">
        <v>141</v>
      </c>
      <c r="I17" s="611" t="s">
        <v>142</v>
      </c>
      <c r="J17" s="609" t="s">
        <v>37</v>
      </c>
      <c r="K17" s="611"/>
      <c r="L17" s="609"/>
      <c r="M17" s="611"/>
      <c r="N17" s="609"/>
      <c r="O17" s="611"/>
      <c r="P17" s="609"/>
      <c r="Q17" s="611"/>
      <c r="R17" s="609"/>
      <c r="S17" s="611"/>
      <c r="T17" s="609"/>
      <c r="U17" s="611"/>
      <c r="V17" s="609"/>
      <c r="W17" s="611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48">
        <v>5018</v>
      </c>
      <c r="AJ17" s="2"/>
      <c r="AK17" s="4"/>
      <c r="AL17" s="90">
        <v>5017</v>
      </c>
      <c r="AM17" s="14">
        <f t="shared" si="2"/>
        <v>0.9998007174172977</v>
      </c>
      <c r="AN17" s="90">
        <v>5008</v>
      </c>
      <c r="AO17" s="14">
        <f t="shared" si="2"/>
        <v>0.99800717417297724</v>
      </c>
      <c r="AP17" s="90">
        <v>5007</v>
      </c>
      <c r="AQ17" s="14">
        <f t="shared" ref="AQ17:AY17" si="37">AP17/($AI17)</f>
        <v>0.99780789159027505</v>
      </c>
      <c r="AR17" s="90">
        <v>5010</v>
      </c>
      <c r="AS17" s="14">
        <f t="shared" si="37"/>
        <v>0.99840573933838184</v>
      </c>
      <c r="AT17" s="90">
        <v>5024</v>
      </c>
      <c r="AU17" s="14">
        <f t="shared" si="37"/>
        <v>1.0011956954962136</v>
      </c>
      <c r="AV17" s="90">
        <v>5005</v>
      </c>
      <c r="AW17" s="14">
        <f t="shared" si="37"/>
        <v>0.99740932642487046</v>
      </c>
      <c r="AX17" s="90">
        <v>5011</v>
      </c>
      <c r="AY17" s="14">
        <f t="shared" si="37"/>
        <v>0.99860502192108413</v>
      </c>
      <c r="AZ17" s="90">
        <v>5005</v>
      </c>
      <c r="BA17" s="90"/>
      <c r="BB17" s="2">
        <v>5022</v>
      </c>
      <c r="BC17" s="14">
        <f t="shared" si="4"/>
        <v>1.0007971303308092</v>
      </c>
      <c r="BD17" s="2">
        <v>8677</v>
      </c>
      <c r="BE17" s="14">
        <f t="shared" si="4"/>
        <v>1.7291749701076127</v>
      </c>
      <c r="BF17" s="2">
        <v>10125</v>
      </c>
      <c r="BG17" s="14">
        <f t="shared" si="4"/>
        <v>2.017736149860502</v>
      </c>
      <c r="BH17" s="2">
        <v>9485</v>
      </c>
      <c r="BI17" s="14">
        <f t="shared" si="4"/>
        <v>1.8901952969310483</v>
      </c>
      <c r="BK17" s="10">
        <v>9709</v>
      </c>
      <c r="BL17" s="14">
        <f t="shared" si="5"/>
        <v>1.9348345954563571</v>
      </c>
      <c r="BM17" s="10">
        <v>9970</v>
      </c>
      <c r="BN17" s="14">
        <f t="shared" si="6"/>
        <v>1.9868473495416501</v>
      </c>
      <c r="BO17" s="10">
        <v>9975</v>
      </c>
      <c r="BP17" s="14">
        <f t="shared" si="6"/>
        <v>1.9878437624551615</v>
      </c>
      <c r="BQ17" s="10">
        <v>10619</v>
      </c>
      <c r="BR17" s="14">
        <f t="shared" si="6"/>
        <v>2.1161817457154246</v>
      </c>
      <c r="BS17" s="10">
        <v>9783</v>
      </c>
      <c r="BT17" s="14">
        <f t="shared" si="6"/>
        <v>1.9495815065763251</v>
      </c>
      <c r="BU17" s="10">
        <v>10225</v>
      </c>
      <c r="BV17" s="14">
        <f t="shared" si="6"/>
        <v>2.0376644081307296</v>
      </c>
      <c r="BW17" s="10">
        <v>10001</v>
      </c>
      <c r="BX17" s="14">
        <f t="shared" si="6"/>
        <v>1.9930251096054206</v>
      </c>
      <c r="BY17" s="10">
        <v>9332</v>
      </c>
      <c r="BZ17" s="14">
        <f t="shared" si="6"/>
        <v>1.8597050617776005</v>
      </c>
      <c r="CA17" s="10">
        <v>8820</v>
      </c>
      <c r="CB17" s="14">
        <f t="shared" si="6"/>
        <v>1.7576723794340374</v>
      </c>
      <c r="CC17" s="10">
        <v>10004</v>
      </c>
      <c r="CD17" s="14">
        <f t="shared" si="6"/>
        <v>1.9936229573535273</v>
      </c>
      <c r="CE17" s="10">
        <v>9135</v>
      </c>
      <c r="CF17" s="14">
        <f t="shared" si="6"/>
        <v>1.820446392985253</v>
      </c>
      <c r="CG17" s="10">
        <v>8970</v>
      </c>
      <c r="CH17" s="14">
        <f t="shared" si="6"/>
        <v>1.7875647668393781</v>
      </c>
      <c r="CI17" s="10">
        <v>9488</v>
      </c>
      <c r="CJ17" s="14">
        <f t="shared" ref="CJ17:CJ26" si="38">CI17/($AI17)</f>
        <v>1.890793144679155</v>
      </c>
      <c r="CK17" s="10">
        <v>8800</v>
      </c>
      <c r="CL17" s="14">
        <f t="shared" si="7"/>
        <v>1.7536867277799921</v>
      </c>
      <c r="CM17" s="10">
        <v>10321</v>
      </c>
      <c r="CN17" s="14">
        <f t="shared" si="8"/>
        <v>2.0567955360701475</v>
      </c>
      <c r="CO17" s="10">
        <v>9974</v>
      </c>
      <c r="CP17" s="14">
        <f t="shared" si="9"/>
        <v>1.9876444798724591</v>
      </c>
      <c r="CQ17" s="10">
        <v>9194</v>
      </c>
      <c r="CR17" s="14">
        <f t="shared" si="9"/>
        <v>1.8322040653646872</v>
      </c>
      <c r="CS17" s="10">
        <v>9458</v>
      </c>
      <c r="CT17" s="14">
        <f t="shared" si="9"/>
        <v>1.884814667198087</v>
      </c>
      <c r="CU17" s="10">
        <v>9693</v>
      </c>
      <c r="CV17" s="14">
        <f t="shared" si="9"/>
        <v>1.9316460741331207</v>
      </c>
      <c r="CW17" s="10">
        <v>10242</v>
      </c>
      <c r="CX17" s="14">
        <f t="shared" si="10"/>
        <v>2.0410522120366679</v>
      </c>
      <c r="CY17" s="10">
        <v>21509</v>
      </c>
      <c r="DA17" s="10">
        <v>11750</v>
      </c>
      <c r="DC17" s="10">
        <v>11493</v>
      </c>
      <c r="DE17" s="10">
        <v>13832</v>
      </c>
      <c r="DG17" s="10">
        <v>11881</v>
      </c>
      <c r="DI17" s="10">
        <v>8505</v>
      </c>
      <c r="DK17" s="10">
        <v>9392</v>
      </c>
      <c r="DL17" s="10" t="s">
        <v>1718</v>
      </c>
    </row>
    <row r="18" spans="1:116" s="10" customFormat="1" ht="16.5" customHeight="1" thickBot="1">
      <c r="A18" s="116">
        <v>21</v>
      </c>
      <c r="B18" s="272" t="s">
        <v>143</v>
      </c>
      <c r="C18" s="121" t="str">
        <f t="shared" si="36"/>
        <v>{"vermieter":"Graber Immobilien","wohnungsgrosse":"4 Zimmer","mietkosten":1200,"nebenkosten":100}</v>
      </c>
      <c r="D18" s="13"/>
      <c r="E18" s="45" t="str">
        <f t="shared" si="31"/>
        <v>{"vermieter":"Graber Immobilien","wohnungsgrosse":"4 Zimmer","mietkosten":1200,"nebenkosten":100}</v>
      </c>
      <c r="F18" s="611" t="s">
        <v>144</v>
      </c>
      <c r="G18" s="609" t="s">
        <v>145</v>
      </c>
      <c r="H18" s="611" t="s">
        <v>146</v>
      </c>
      <c r="I18" s="611" t="s">
        <v>147</v>
      </c>
      <c r="J18" s="611" t="s">
        <v>148</v>
      </c>
      <c r="K18" s="611">
        <v>1200</v>
      </c>
      <c r="L18" s="611" t="s">
        <v>149</v>
      </c>
      <c r="M18" s="611">
        <v>100</v>
      </c>
      <c r="N18" s="611" t="s">
        <v>109</v>
      </c>
      <c r="O18" s="611"/>
      <c r="P18" s="611"/>
      <c r="Q18" s="611"/>
      <c r="R18" s="611"/>
      <c r="S18" s="611"/>
      <c r="T18" s="611"/>
      <c r="U18" s="611"/>
      <c r="V18" s="611"/>
      <c r="W18" s="611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48">
        <v>10549</v>
      </c>
      <c r="AJ18" s="13"/>
      <c r="AK18" s="4"/>
      <c r="AL18" s="13">
        <v>10895</v>
      </c>
      <c r="AM18" s="14">
        <f t="shared" si="2"/>
        <v>1.0327993174708503</v>
      </c>
      <c r="AN18" s="13">
        <v>11011</v>
      </c>
      <c r="AO18" s="14">
        <f t="shared" si="2"/>
        <v>1.0437956204379562</v>
      </c>
      <c r="AP18" s="13">
        <v>11381</v>
      </c>
      <c r="AQ18" s="14">
        <f t="shared" ref="AQ18:AY18" si="39">AP18/($AI18)</f>
        <v>1.0788700350744147</v>
      </c>
      <c r="AR18" s="13">
        <v>10897</v>
      </c>
      <c r="AS18" s="14">
        <f t="shared" si="39"/>
        <v>1.0329889089013176</v>
      </c>
      <c r="AT18" s="13">
        <v>11079</v>
      </c>
      <c r="AU18" s="14">
        <f t="shared" si="39"/>
        <v>1.0502417290738459</v>
      </c>
      <c r="AV18" s="13">
        <v>11119</v>
      </c>
      <c r="AW18" s="14">
        <f t="shared" si="39"/>
        <v>1.0540335576831927</v>
      </c>
      <c r="AX18" s="13">
        <v>10646</v>
      </c>
      <c r="AY18" s="14">
        <f t="shared" si="39"/>
        <v>1.0091951843776661</v>
      </c>
      <c r="AZ18" s="13">
        <v>2477</v>
      </c>
      <c r="BA18" s="13"/>
      <c r="BB18" s="2">
        <v>2456</v>
      </c>
      <c r="BC18" s="14">
        <f t="shared" si="4"/>
        <v>0.23281827661389706</v>
      </c>
      <c r="BD18" s="2">
        <v>5594</v>
      </c>
      <c r="BE18" s="14">
        <f t="shared" si="4"/>
        <v>0.53028723101715802</v>
      </c>
      <c r="BF18" s="2">
        <v>6235</v>
      </c>
      <c r="BG18" s="14">
        <f t="shared" si="4"/>
        <v>0.59105128448194144</v>
      </c>
      <c r="BH18" s="2">
        <v>5583</v>
      </c>
      <c r="BI18" s="14">
        <f t="shared" si="4"/>
        <v>0.52924447814958764</v>
      </c>
      <c r="BK18" s="10">
        <v>5890</v>
      </c>
      <c r="BL18" s="14">
        <f t="shared" si="5"/>
        <v>0.55834676272632477</v>
      </c>
      <c r="BM18" s="10">
        <v>6024</v>
      </c>
      <c r="BN18" s="14">
        <f t="shared" si="6"/>
        <v>0.57104938856763676</v>
      </c>
      <c r="BO18" s="10">
        <v>5965</v>
      </c>
      <c r="BP18" s="14">
        <f t="shared" si="6"/>
        <v>0.56545644136885009</v>
      </c>
      <c r="BQ18" s="10">
        <v>5840</v>
      </c>
      <c r="BR18" s="14">
        <f t="shared" si="6"/>
        <v>0.55360697696464123</v>
      </c>
      <c r="BS18" s="10">
        <v>6394</v>
      </c>
      <c r="BT18" s="14">
        <f t="shared" si="6"/>
        <v>0.6061238032040952</v>
      </c>
      <c r="BU18" s="10">
        <v>6114</v>
      </c>
      <c r="BV18" s="14">
        <f t="shared" si="6"/>
        <v>0.57958100293866721</v>
      </c>
      <c r="BW18" s="10">
        <v>6376</v>
      </c>
      <c r="BX18" s="14">
        <f t="shared" si="6"/>
        <v>0.60441748032988907</v>
      </c>
      <c r="BY18" s="10">
        <v>5946</v>
      </c>
      <c r="BZ18" s="14">
        <f t="shared" si="6"/>
        <v>0.56365532277941033</v>
      </c>
      <c r="CA18" s="10">
        <v>5882</v>
      </c>
      <c r="CB18" s="14">
        <f t="shared" si="6"/>
        <v>0.55758839700445539</v>
      </c>
      <c r="CC18" s="10">
        <v>5357</v>
      </c>
      <c r="CD18" s="14">
        <f t="shared" si="6"/>
        <v>0.50782064650677794</v>
      </c>
      <c r="CE18" s="10">
        <v>3013</v>
      </c>
      <c r="CF18" s="14">
        <f t="shared" si="6"/>
        <v>0.28561948999905207</v>
      </c>
      <c r="CG18" s="10">
        <v>3110</v>
      </c>
      <c r="CH18" s="14">
        <f t="shared" si="6"/>
        <v>0.29481467437671816</v>
      </c>
      <c r="CI18" s="10">
        <v>3362</v>
      </c>
      <c r="CJ18" s="14">
        <f t="shared" si="38"/>
        <v>0.31870319461560337</v>
      </c>
      <c r="CK18" s="10">
        <v>115554</v>
      </c>
      <c r="CL18" s="14">
        <f t="shared" si="7"/>
        <v>10.954024078111669</v>
      </c>
      <c r="CM18" s="10">
        <v>5494</v>
      </c>
      <c r="CN18" s="14">
        <f t="shared" si="8"/>
        <v>0.52080765949379093</v>
      </c>
      <c r="CO18" s="10">
        <v>5566</v>
      </c>
      <c r="CP18" s="14">
        <f t="shared" si="9"/>
        <v>0.52763295099061525</v>
      </c>
      <c r="CQ18" s="10">
        <v>5405</v>
      </c>
      <c r="CR18" s="14">
        <f t="shared" si="9"/>
        <v>0.51237084083799411</v>
      </c>
      <c r="CS18" s="10">
        <v>4980</v>
      </c>
      <c r="CT18" s="14">
        <f t="shared" si="9"/>
        <v>0.47208266186368375</v>
      </c>
      <c r="CU18" s="10">
        <v>5271</v>
      </c>
      <c r="CV18" s="14">
        <f t="shared" si="9"/>
        <v>0.49966821499668213</v>
      </c>
      <c r="CW18" s="10">
        <v>6470</v>
      </c>
      <c r="CX18" s="14">
        <f t="shared" si="10"/>
        <v>0.61332827756185415</v>
      </c>
      <c r="CY18" s="10">
        <v>7151</v>
      </c>
      <c r="DA18" s="10">
        <v>5668</v>
      </c>
      <c r="DC18" s="10">
        <v>5046</v>
      </c>
      <c r="DE18" s="10">
        <v>5190</v>
      </c>
      <c r="DG18" s="10">
        <v>4642</v>
      </c>
      <c r="DI18" s="10">
        <v>9902</v>
      </c>
      <c r="DK18" s="10">
        <v>9977</v>
      </c>
      <c r="DL18" s="10" t="s">
        <v>1718</v>
      </c>
    </row>
    <row r="19" spans="1:116" s="10" customFormat="1" ht="16.5" customHeight="1" thickBot="1">
      <c r="A19" s="119">
        <v>22</v>
      </c>
      <c r="B19" s="120" t="s">
        <v>150</v>
      </c>
      <c r="C19" s="121" t="str">
        <f t="shared" ca="1" si="36"/>
        <v>{"name":p.FamilyName1,"vorname":p.WomanFirstName1,"geburtsdatum":p.BirthdayAdult2,"ahvNumber":p.AHVNumber2,"personInhausltVon":"01.11.2025","inHauslt":"Übernehmen","ereignis":"Eheschliessung"}</v>
      </c>
      <c r="D19" s="13"/>
      <c r="E19" s="45" t="str">
        <f t="shared" ca="1" si="31"/>
        <v>{"name":p.FamilyName1,"vorname":p.WomanFirstName1,"geburtsdatum":p.BirthdayAdult2,"ahvNumber":p.AHVNumber2,"personInhausltVon":"01.11.2025","inHauslt":"Übernehmen","ereignis":"Eheschliessung"}</v>
      </c>
      <c r="F19" s="611" t="s">
        <v>78</v>
      </c>
      <c r="G19" s="611" t="str">
        <f>G6</f>
        <v>p.FamilyName1</v>
      </c>
      <c r="H19" s="611" t="s">
        <v>79</v>
      </c>
      <c r="I19" s="609" t="str">
        <f>H64</f>
        <v>p.WomanFirstName1</v>
      </c>
      <c r="J19" s="611" t="s">
        <v>151</v>
      </c>
      <c r="K19" s="614" t="str">
        <f>J64</f>
        <v>p.BirthdayAdult2</v>
      </c>
      <c r="L19" s="611" t="s">
        <v>83</v>
      </c>
      <c r="M19" s="609" t="str">
        <f>I64</f>
        <v>p.AHVNumber2</v>
      </c>
      <c r="N19" s="611" t="s">
        <v>152</v>
      </c>
      <c r="O19" s="615" t="str">
        <f ca="1">"01."&amp;MONTH(TODAY())&amp;"."&amp;YEAR(TODAY())</f>
        <v>01.11.2025</v>
      </c>
      <c r="P19" s="611" t="s">
        <v>153</v>
      </c>
      <c r="Q19" s="611" t="s">
        <v>154</v>
      </c>
      <c r="R19" s="611" t="s">
        <v>155</v>
      </c>
      <c r="S19" s="611" t="s">
        <v>156</v>
      </c>
      <c r="T19" s="611" t="s">
        <v>37</v>
      </c>
      <c r="U19" s="611"/>
      <c r="V19" s="611"/>
      <c r="W19" s="611"/>
      <c r="X19" s="13"/>
      <c r="Y19" s="13"/>
      <c r="Z19" s="66"/>
      <c r="AA19" s="13"/>
      <c r="AB19" s="13"/>
      <c r="AC19" s="13"/>
      <c r="AD19" s="13"/>
      <c r="AE19" s="13"/>
      <c r="AF19" s="13"/>
      <c r="AG19" s="13"/>
      <c r="AH19" s="13"/>
      <c r="AI19" s="48">
        <v>2974</v>
      </c>
      <c r="AJ19" s="13"/>
      <c r="AK19" s="4"/>
      <c r="AL19" s="13">
        <v>3318</v>
      </c>
      <c r="AM19" s="14">
        <f t="shared" si="2"/>
        <v>1.1156691324815065</v>
      </c>
      <c r="AN19" s="13">
        <v>5657</v>
      </c>
      <c r="AO19" s="14">
        <f t="shared" si="2"/>
        <v>1.9021519838601211</v>
      </c>
      <c r="AP19" s="13">
        <v>4597</v>
      </c>
      <c r="AQ19" s="14">
        <f t="shared" ref="AQ19:AY19" si="40">AP19/($AI19)</f>
        <v>1.5457296570275723</v>
      </c>
      <c r="AR19" s="13">
        <v>5547</v>
      </c>
      <c r="AS19" s="14">
        <f t="shared" si="40"/>
        <v>1.8651647612642905</v>
      </c>
      <c r="AT19" s="13">
        <v>5738</v>
      </c>
      <c r="AU19" s="14">
        <f t="shared" si="40"/>
        <v>1.9293880295897781</v>
      </c>
      <c r="AV19" s="13">
        <v>5121</v>
      </c>
      <c r="AW19" s="14">
        <f t="shared" si="40"/>
        <v>1.7219233355749832</v>
      </c>
      <c r="AX19" s="13">
        <v>5462</v>
      </c>
      <c r="AY19" s="14">
        <f t="shared" si="40"/>
        <v>1.8365837256220578</v>
      </c>
      <c r="AZ19" s="13">
        <v>5249</v>
      </c>
      <c r="BA19" s="13"/>
      <c r="BB19" s="2">
        <v>5670</v>
      </c>
      <c r="BC19" s="14">
        <f t="shared" si="4"/>
        <v>1.9065232010759918</v>
      </c>
      <c r="BD19" s="2">
        <v>3690</v>
      </c>
      <c r="BE19" s="14">
        <f t="shared" si="4"/>
        <v>1.2407531943510424</v>
      </c>
      <c r="BF19" s="2">
        <v>3513</v>
      </c>
      <c r="BG19" s="14">
        <f t="shared" si="4"/>
        <v>1.1812373907195697</v>
      </c>
      <c r="BH19" s="2">
        <v>3054</v>
      </c>
      <c r="BI19" s="14">
        <f t="shared" si="4"/>
        <v>1.0268997982515131</v>
      </c>
      <c r="BK19" s="10">
        <v>4065</v>
      </c>
      <c r="BL19" s="14">
        <f t="shared" si="5"/>
        <v>1.3668459986550101</v>
      </c>
      <c r="BM19" s="10">
        <v>4042</v>
      </c>
      <c r="BN19" s="14">
        <f t="shared" si="6"/>
        <v>1.3591123066577</v>
      </c>
      <c r="BO19" s="10">
        <v>4106</v>
      </c>
      <c r="BP19" s="14">
        <f t="shared" si="6"/>
        <v>1.3806321452589105</v>
      </c>
      <c r="BQ19" s="10">
        <v>4024</v>
      </c>
      <c r="BR19" s="14">
        <f t="shared" si="6"/>
        <v>1.3530598520511097</v>
      </c>
      <c r="BS19" s="10">
        <v>3730</v>
      </c>
      <c r="BT19" s="14">
        <f t="shared" si="6"/>
        <v>1.2542030934767989</v>
      </c>
      <c r="BU19" s="10">
        <v>4153</v>
      </c>
      <c r="BV19" s="14">
        <f t="shared" si="6"/>
        <v>1.3964357767316744</v>
      </c>
      <c r="BW19" s="10">
        <v>4360</v>
      </c>
      <c r="BX19" s="14">
        <f t="shared" si="6"/>
        <v>1.4660390047074647</v>
      </c>
      <c r="BY19" s="10">
        <v>3948</v>
      </c>
      <c r="BZ19" s="14">
        <f t="shared" si="6"/>
        <v>1.3275050437121723</v>
      </c>
      <c r="CA19" s="10">
        <v>3595</v>
      </c>
      <c r="CB19" s="14">
        <f t="shared" si="6"/>
        <v>1.2088096839273705</v>
      </c>
      <c r="CC19" s="10">
        <v>3955</v>
      </c>
      <c r="CD19" s="14">
        <f t="shared" si="6"/>
        <v>1.3298587760591796</v>
      </c>
      <c r="CE19" s="10">
        <v>3966</v>
      </c>
      <c r="CF19" s="14">
        <f t="shared" si="6"/>
        <v>1.3335574983187626</v>
      </c>
      <c r="CG19" s="10">
        <v>3555</v>
      </c>
      <c r="CH19" s="14">
        <f t="shared" si="6"/>
        <v>1.195359784801614</v>
      </c>
      <c r="CI19" s="10">
        <v>2862</v>
      </c>
      <c r="CJ19" s="14">
        <f t="shared" si="38"/>
        <v>0.96234028244788161</v>
      </c>
      <c r="CK19" s="10">
        <v>4854</v>
      </c>
      <c r="CL19" s="14">
        <f t="shared" si="7"/>
        <v>1.6321452589105581</v>
      </c>
      <c r="CM19" s="10">
        <v>3422</v>
      </c>
      <c r="CN19" s="14">
        <f t="shared" si="8"/>
        <v>1.1506388702084733</v>
      </c>
      <c r="CO19" s="10">
        <v>3054</v>
      </c>
      <c r="CP19" s="14">
        <f t="shared" si="9"/>
        <v>1.0268997982515131</v>
      </c>
      <c r="CQ19" s="10">
        <v>3169</v>
      </c>
      <c r="CR19" s="14">
        <f t="shared" si="9"/>
        <v>1.0655682582380632</v>
      </c>
      <c r="CS19" s="10">
        <v>3240</v>
      </c>
      <c r="CT19" s="14">
        <f t="shared" si="9"/>
        <v>1.0894418291862811</v>
      </c>
      <c r="CU19" s="10">
        <v>7870</v>
      </c>
      <c r="CV19" s="14">
        <f t="shared" si="9"/>
        <v>2.6462676529926026</v>
      </c>
      <c r="CW19" s="10">
        <v>4264</v>
      </c>
      <c r="CX19" s="14">
        <f t="shared" si="10"/>
        <v>1.433759246805649</v>
      </c>
      <c r="CY19" s="10">
        <v>4418</v>
      </c>
      <c r="DA19" s="10">
        <v>3437</v>
      </c>
      <c r="DC19" s="10">
        <v>3821</v>
      </c>
      <c r="DE19" s="10">
        <v>4217</v>
      </c>
      <c r="DG19" s="10">
        <v>3452</v>
      </c>
      <c r="DI19" s="10">
        <v>4300</v>
      </c>
      <c r="DK19" s="10">
        <v>2392</v>
      </c>
      <c r="DL19" s="10" t="s">
        <v>1718</v>
      </c>
    </row>
    <row r="20" spans="1:116" s="10" customFormat="1" ht="16.5" customHeight="1" thickBot="1">
      <c r="A20" s="119">
        <v>23</v>
      </c>
      <c r="B20" s="120" t="s">
        <v>150</v>
      </c>
      <c r="C20" s="121" t="str">
        <f t="shared" ca="1" si="36"/>
        <v>{"name":p.FamilyName1,"vorname":p.GirlFirstName1,"geburtsdatum":p.BirthdayKid1,"ahvNumber":p.AHVNumber3,"personInhausltVon":"01.11.2025","inHauslt":"Übernehmen","ereignis":"Geburt"}</v>
      </c>
      <c r="D20" s="13"/>
      <c r="E20" s="45" t="str">
        <f t="shared" ca="1" si="31"/>
        <v>{"name":p.FamilyName1,"vorname":p.GirlFirstName1,"geburtsdatum":p.BirthdayKid1,"ahvNumber":p.AHVNumber3,"personInhausltVon":"01.11.2025","inHauslt":"Übernehmen","ereignis":"Geburt"}</v>
      </c>
      <c r="F20" s="611" t="s">
        <v>78</v>
      </c>
      <c r="G20" s="611" t="str">
        <f>G19</f>
        <v>p.FamilyName1</v>
      </c>
      <c r="H20" s="611" t="s">
        <v>79</v>
      </c>
      <c r="I20" s="609" t="str">
        <f>H65</f>
        <v>p.GirlFirstName1</v>
      </c>
      <c r="J20" s="611" t="s">
        <v>151</v>
      </c>
      <c r="K20" s="614" t="str">
        <f>J65</f>
        <v>p.BirthdayKid1</v>
      </c>
      <c r="L20" s="611" t="s">
        <v>83</v>
      </c>
      <c r="M20" s="609" t="str">
        <f>I65</f>
        <v>p.AHVNumber3</v>
      </c>
      <c r="N20" s="611" t="s">
        <v>152</v>
      </c>
      <c r="O20" s="615" t="str">
        <f t="shared" ref="O20:O21" ca="1" si="41">"01."&amp;MONTH(TODAY())&amp;"."&amp;YEAR(TODAY())</f>
        <v>01.11.2025</v>
      </c>
      <c r="P20" s="611" t="s">
        <v>153</v>
      </c>
      <c r="Q20" s="611" t="s">
        <v>154</v>
      </c>
      <c r="R20" s="611" t="s">
        <v>155</v>
      </c>
      <c r="S20" s="611" t="s">
        <v>157</v>
      </c>
      <c r="T20" s="611" t="s">
        <v>37</v>
      </c>
      <c r="U20" s="611"/>
      <c r="V20" s="611"/>
      <c r="W20" s="611"/>
      <c r="X20" s="13"/>
      <c r="Y20" s="13"/>
      <c r="Z20" s="66"/>
      <c r="AA20" s="13"/>
      <c r="AB20" s="13"/>
      <c r="AC20" s="13"/>
      <c r="AD20" s="13"/>
      <c r="AE20" s="13"/>
      <c r="AF20" s="13"/>
      <c r="AG20" s="13"/>
      <c r="AH20" s="13"/>
      <c r="AI20" s="48">
        <v>2228</v>
      </c>
      <c r="AJ20" s="56"/>
      <c r="AK20" s="4"/>
      <c r="AL20" s="13">
        <v>2472</v>
      </c>
      <c r="AM20" s="14">
        <f t="shared" si="2"/>
        <v>1.1095152603231597</v>
      </c>
      <c r="AN20" s="13">
        <v>3858</v>
      </c>
      <c r="AO20" s="14">
        <f t="shared" si="2"/>
        <v>1.7315978456014363</v>
      </c>
      <c r="AP20" s="13">
        <v>4051</v>
      </c>
      <c r="AQ20" s="14">
        <f t="shared" ref="AQ20:AY20" si="42">AP20/($AI20)</f>
        <v>1.8182226211849193</v>
      </c>
      <c r="AR20" s="13">
        <v>5422</v>
      </c>
      <c r="AS20" s="14">
        <f t="shared" si="42"/>
        <v>2.4335727109515259</v>
      </c>
      <c r="AT20" s="13">
        <v>5458</v>
      </c>
      <c r="AU20" s="14">
        <f t="shared" si="42"/>
        <v>2.4497307001795332</v>
      </c>
      <c r="AV20" s="13">
        <v>5188</v>
      </c>
      <c r="AW20" s="14">
        <f t="shared" si="42"/>
        <v>2.3285457809694794</v>
      </c>
      <c r="AX20" s="13">
        <v>5482</v>
      </c>
      <c r="AY20" s="14">
        <f t="shared" si="42"/>
        <v>2.4605026929982046</v>
      </c>
      <c r="AZ20" s="13">
        <v>4093</v>
      </c>
      <c r="BA20" s="13"/>
      <c r="BB20" s="2">
        <v>4059</v>
      </c>
      <c r="BC20" s="14">
        <f t="shared" si="4"/>
        <v>1.8218132854578097</v>
      </c>
      <c r="BD20" s="2">
        <v>2309</v>
      </c>
      <c r="BE20" s="14">
        <f t="shared" si="4"/>
        <v>1.0363554757630162</v>
      </c>
      <c r="BF20" s="2">
        <v>2476</v>
      </c>
      <c r="BG20" s="14">
        <f t="shared" si="4"/>
        <v>1.111310592459605</v>
      </c>
      <c r="BH20" s="2">
        <v>2375</v>
      </c>
      <c r="BI20" s="14">
        <f t="shared" si="4"/>
        <v>1.0659784560143626</v>
      </c>
      <c r="BK20" s="10">
        <v>2955</v>
      </c>
      <c r="BL20" s="14">
        <f t="shared" si="5"/>
        <v>1.3263016157989227</v>
      </c>
      <c r="BM20" s="10">
        <v>2440</v>
      </c>
      <c r="BN20" s="14">
        <f t="shared" si="6"/>
        <v>1.0951526032315979</v>
      </c>
      <c r="BO20" s="10">
        <v>2465</v>
      </c>
      <c r="BP20" s="14">
        <f t="shared" si="6"/>
        <v>1.1063734290843805</v>
      </c>
      <c r="BQ20" s="10">
        <v>2924</v>
      </c>
      <c r="BR20" s="14">
        <f t="shared" si="6"/>
        <v>1.3123877917414721</v>
      </c>
      <c r="BS20" s="10">
        <v>2760</v>
      </c>
      <c r="BT20" s="14">
        <f t="shared" si="6"/>
        <v>1.2387791741472172</v>
      </c>
      <c r="BU20" s="10">
        <v>2703</v>
      </c>
      <c r="BV20" s="14">
        <f t="shared" si="6"/>
        <v>1.2131956912028725</v>
      </c>
      <c r="BW20" s="10">
        <v>2427</v>
      </c>
      <c r="BX20" s="14">
        <f t="shared" si="6"/>
        <v>1.0893177737881508</v>
      </c>
      <c r="BY20" s="10">
        <v>2623</v>
      </c>
      <c r="BZ20" s="14">
        <f t="shared" si="6"/>
        <v>1.1772890484739678</v>
      </c>
      <c r="CA20" s="10">
        <v>2444</v>
      </c>
      <c r="CB20" s="14">
        <f t="shared" si="6"/>
        <v>1.0969479353680431</v>
      </c>
      <c r="CC20" s="10">
        <v>2660</v>
      </c>
      <c r="CD20" s="14">
        <f t="shared" si="6"/>
        <v>1.1938958707360863</v>
      </c>
      <c r="CE20" s="10">
        <v>2471</v>
      </c>
      <c r="CF20" s="14">
        <f t="shared" si="6"/>
        <v>1.1090664272890485</v>
      </c>
      <c r="CG20" s="10">
        <v>2297</v>
      </c>
      <c r="CH20" s="14">
        <f t="shared" si="6"/>
        <v>1.0309694793536803</v>
      </c>
      <c r="CI20" s="10">
        <v>2186</v>
      </c>
      <c r="CJ20" s="14">
        <f t="shared" si="38"/>
        <v>0.98114901256732501</v>
      </c>
      <c r="CK20" s="10">
        <v>2336</v>
      </c>
      <c r="CL20" s="14">
        <f t="shared" si="7"/>
        <v>1.0484739676840216</v>
      </c>
      <c r="CM20" s="10">
        <v>2354</v>
      </c>
      <c r="CN20" s="14">
        <f t="shared" si="8"/>
        <v>1.0565529622980252</v>
      </c>
      <c r="CO20" s="10">
        <v>2351</v>
      </c>
      <c r="CP20" s="14">
        <f t="shared" si="9"/>
        <v>1.0552064631956912</v>
      </c>
      <c r="CQ20" s="10">
        <v>2188</v>
      </c>
      <c r="CR20" s="14">
        <f t="shared" si="9"/>
        <v>0.98204667863554762</v>
      </c>
      <c r="CS20" s="10">
        <v>3215</v>
      </c>
      <c r="CT20" s="14">
        <f t="shared" si="9"/>
        <v>1.4429982046678635</v>
      </c>
      <c r="CU20" s="10">
        <v>2269</v>
      </c>
      <c r="CV20" s="14">
        <f t="shared" si="9"/>
        <v>1.0184021543985637</v>
      </c>
      <c r="CW20" s="10">
        <v>1834</v>
      </c>
      <c r="CX20" s="14">
        <f t="shared" si="10"/>
        <v>0.8231597845601436</v>
      </c>
      <c r="CY20" s="10">
        <v>2491</v>
      </c>
      <c r="DA20" s="10">
        <v>3260</v>
      </c>
      <c r="DC20" s="10">
        <v>3227</v>
      </c>
      <c r="DE20" s="10">
        <v>3846</v>
      </c>
      <c r="DG20" s="10">
        <v>2698</v>
      </c>
      <c r="DI20" s="10">
        <v>3416</v>
      </c>
      <c r="DK20" s="10">
        <v>3639</v>
      </c>
      <c r="DL20" s="10" t="s">
        <v>1718</v>
      </c>
    </row>
    <row r="21" spans="1:116" s="10" customFormat="1" ht="16.5" customHeight="1" thickBot="1">
      <c r="A21" s="119">
        <v>24</v>
      </c>
      <c r="B21" s="120" t="s">
        <v>150</v>
      </c>
      <c r="C21" s="121" t="str">
        <f t="shared" ca="1" si="36"/>
        <v>{"name":p.FamilyName1,"vorname":p.ManFirstName2,"geburtsdatum":p.BirthdayKid2,"ahvNumber":p.AHVNumber4,"personInhausltVon":"01.11.2025","inHauslt":"Übernehmen","ereignis":"Geburt"}</v>
      </c>
      <c r="D21" s="13"/>
      <c r="E21" s="45" t="str">
        <f t="shared" ca="1" si="31"/>
        <v>{"name":p.FamilyName1,"vorname":p.ManFirstName2,"geburtsdatum":p.BirthdayKid2,"ahvNumber":p.AHVNumber4,"personInhausltVon":"01.11.2025","inHauslt":"Übernehmen","ereignis":"Geburt"}</v>
      </c>
      <c r="F21" s="611" t="s">
        <v>78</v>
      </c>
      <c r="G21" s="611" t="str">
        <f>G20</f>
        <v>p.FamilyName1</v>
      </c>
      <c r="H21" s="611" t="s">
        <v>79</v>
      </c>
      <c r="I21" s="609" t="str">
        <f>H66</f>
        <v>p.ManFirstName2</v>
      </c>
      <c r="J21" s="611" t="s">
        <v>151</v>
      </c>
      <c r="K21" s="614" t="str">
        <f>J66</f>
        <v>p.BirthdayKid2</v>
      </c>
      <c r="L21" s="611" t="s">
        <v>83</v>
      </c>
      <c r="M21" s="609" t="str">
        <f>I66</f>
        <v>p.AHVNumber4</v>
      </c>
      <c r="N21" s="611" t="s">
        <v>152</v>
      </c>
      <c r="O21" s="615" t="str">
        <f t="shared" ca="1" si="41"/>
        <v>01.11.2025</v>
      </c>
      <c r="P21" s="611" t="s">
        <v>153</v>
      </c>
      <c r="Q21" s="611" t="s">
        <v>154</v>
      </c>
      <c r="R21" s="611" t="s">
        <v>155</v>
      </c>
      <c r="S21" s="611" t="s">
        <v>157</v>
      </c>
      <c r="T21" s="611" t="s">
        <v>37</v>
      </c>
      <c r="U21" s="611"/>
      <c r="V21" s="611"/>
      <c r="W21" s="611"/>
      <c r="X21" s="13"/>
      <c r="Y21" s="13"/>
      <c r="Z21" s="66"/>
      <c r="AA21" s="13"/>
      <c r="AB21" s="13"/>
      <c r="AC21" s="13"/>
      <c r="AD21" s="13"/>
      <c r="AE21" s="13"/>
      <c r="AF21" s="13"/>
      <c r="AG21" s="13"/>
      <c r="AH21" s="13"/>
      <c r="AI21" s="48">
        <v>3768</v>
      </c>
      <c r="AJ21" s="74"/>
      <c r="AK21" s="4"/>
      <c r="AL21" s="13">
        <v>3446</v>
      </c>
      <c r="AM21" s="14">
        <f t="shared" si="2"/>
        <v>0.91454352441613584</v>
      </c>
      <c r="AN21" s="13">
        <v>4686</v>
      </c>
      <c r="AO21" s="14">
        <f t="shared" si="2"/>
        <v>1.2436305732484076</v>
      </c>
      <c r="AP21" s="13">
        <v>4805</v>
      </c>
      <c r="AQ21" s="14">
        <f t="shared" ref="AQ21:AY22" si="43">AP21/($AI21)</f>
        <v>1.2752123142250531</v>
      </c>
      <c r="AR21" s="13">
        <v>5276</v>
      </c>
      <c r="AS21" s="14">
        <f t="shared" si="43"/>
        <v>1.4002123142250531</v>
      </c>
      <c r="AT21" s="13">
        <v>5353</v>
      </c>
      <c r="AU21" s="14">
        <f t="shared" si="43"/>
        <v>1.420647558386412</v>
      </c>
      <c r="AV21" s="13">
        <v>5078</v>
      </c>
      <c r="AW21" s="14">
        <f t="shared" si="43"/>
        <v>1.3476645435244161</v>
      </c>
      <c r="AX21" s="13">
        <v>5490</v>
      </c>
      <c r="AY21" s="14">
        <f t="shared" si="43"/>
        <v>1.4570063694267517</v>
      </c>
      <c r="AZ21" s="13">
        <v>4861</v>
      </c>
      <c r="BA21" s="13"/>
      <c r="BB21" s="2">
        <v>4786</v>
      </c>
      <c r="BC21" s="14">
        <f t="shared" si="4"/>
        <v>1.2701698513800426</v>
      </c>
      <c r="BD21" s="2">
        <v>3176</v>
      </c>
      <c r="BE21" s="14">
        <f t="shared" si="4"/>
        <v>0.8428874734607219</v>
      </c>
      <c r="BF21" s="2">
        <v>2698</v>
      </c>
      <c r="BG21" s="14">
        <f t="shared" si="4"/>
        <v>0.71602972399150744</v>
      </c>
      <c r="BH21" s="2">
        <v>3130</v>
      </c>
      <c r="BI21" s="14">
        <f t="shared" si="4"/>
        <v>0.83067940552016983</v>
      </c>
      <c r="BK21" s="10">
        <v>3416</v>
      </c>
      <c r="BL21" s="14">
        <f t="shared" si="5"/>
        <v>0.90658174097664546</v>
      </c>
      <c r="BM21" s="10">
        <v>3782</v>
      </c>
      <c r="BN21" s="14">
        <f t="shared" si="6"/>
        <v>1.0037154989384289</v>
      </c>
      <c r="BO21" s="10">
        <v>3406</v>
      </c>
      <c r="BP21" s="14">
        <f t="shared" si="6"/>
        <v>0.90392781316348192</v>
      </c>
      <c r="BQ21" s="10">
        <v>3395</v>
      </c>
      <c r="BR21" s="14">
        <f t="shared" si="6"/>
        <v>0.90100849256900217</v>
      </c>
      <c r="BS21" s="10">
        <v>3792</v>
      </c>
      <c r="BT21" s="14">
        <f t="shared" si="6"/>
        <v>1.0063694267515924</v>
      </c>
      <c r="BU21" s="10">
        <v>3454</v>
      </c>
      <c r="BV21" s="14">
        <f t="shared" si="6"/>
        <v>0.91666666666666663</v>
      </c>
      <c r="BW21" s="10">
        <v>2956</v>
      </c>
      <c r="BX21" s="14">
        <f t="shared" si="6"/>
        <v>0.78450106157112531</v>
      </c>
      <c r="BY21" s="10">
        <v>3073</v>
      </c>
      <c r="BZ21" s="14">
        <f t="shared" si="6"/>
        <v>0.81555201698513802</v>
      </c>
      <c r="CA21" s="10">
        <v>3289</v>
      </c>
      <c r="CB21" s="14">
        <f t="shared" si="6"/>
        <v>0.87287685774946921</v>
      </c>
      <c r="CC21" s="10">
        <v>2978</v>
      </c>
      <c r="CD21" s="14">
        <f t="shared" si="6"/>
        <v>0.79033970276008492</v>
      </c>
      <c r="CE21" s="10">
        <v>3031</v>
      </c>
      <c r="CF21" s="14">
        <f t="shared" si="6"/>
        <v>0.80440552016985134</v>
      </c>
      <c r="CG21" s="10">
        <v>3312</v>
      </c>
      <c r="CH21" s="14">
        <f t="shared" si="6"/>
        <v>0.87898089171974525</v>
      </c>
      <c r="CI21" s="10">
        <v>3241</v>
      </c>
      <c r="CJ21" s="14">
        <f t="shared" si="38"/>
        <v>0.8601380042462845</v>
      </c>
      <c r="CK21" s="10">
        <v>6528</v>
      </c>
      <c r="CL21" s="14">
        <f t="shared" si="7"/>
        <v>1.7324840764331211</v>
      </c>
      <c r="CM21" s="10">
        <v>3389</v>
      </c>
      <c r="CN21" s="14">
        <f t="shared" si="8"/>
        <v>0.89941613588110403</v>
      </c>
      <c r="CO21" s="10">
        <v>3310</v>
      </c>
      <c r="CP21" s="14">
        <f t="shared" si="9"/>
        <v>0.8784501061571125</v>
      </c>
      <c r="CQ21" s="10">
        <v>3745</v>
      </c>
      <c r="CR21" s="14">
        <f t="shared" si="9"/>
        <v>0.99389596602972397</v>
      </c>
      <c r="CS21" s="10">
        <v>8095</v>
      </c>
      <c r="CT21" s="14">
        <f t="shared" si="9"/>
        <v>2.1483545647558389</v>
      </c>
      <c r="CU21" s="10">
        <v>3351</v>
      </c>
      <c r="CV21" s="14">
        <f t="shared" si="9"/>
        <v>0.88933121019108285</v>
      </c>
      <c r="CW21" s="10">
        <v>3878</v>
      </c>
      <c r="CX21" s="14">
        <f t="shared" si="10"/>
        <v>1.0291932059447984</v>
      </c>
      <c r="CY21" s="10">
        <v>3723</v>
      </c>
      <c r="DA21" s="10">
        <v>3462</v>
      </c>
      <c r="DC21" s="10">
        <v>3841</v>
      </c>
      <c r="DE21" s="10">
        <v>3482</v>
      </c>
      <c r="DG21" s="10">
        <v>2962</v>
      </c>
      <c r="DI21" s="10">
        <v>3061</v>
      </c>
      <c r="DK21" s="10">
        <v>2656</v>
      </c>
      <c r="DL21" s="10" t="s">
        <v>1718</v>
      </c>
    </row>
    <row r="22" spans="1:116" s="10" customFormat="1" ht="16.5" customHeight="1" thickBot="1">
      <c r="A22" s="119">
        <v>20</v>
      </c>
      <c r="B22" s="591" t="s">
        <v>139</v>
      </c>
      <c r="C22" s="595" t="str">
        <f t="shared" ref="C22" si="44">E22</f>
        <v>{"searchDossierOrKlient":p.DossierName1,"resultType":"Dossiers"}</v>
      </c>
      <c r="D22" s="90"/>
      <c r="E22" s="91" t="str">
        <f t="shared" ref="E22" si="45">F22&amp;G22&amp;H22&amp;I22&amp;J22&amp;K22&amp;L22&amp;M22&amp;N22&amp;O22&amp;P22&amp;Q22&amp;R22&amp;S22&amp;T22&amp;U22&amp;V22&amp;W22&amp;X22</f>
        <v>{"searchDossierOrKlient":p.DossierName1,"resultType":"Dossiers"}</v>
      </c>
      <c r="F22" s="609" t="s">
        <v>140</v>
      </c>
      <c r="G22" s="611" t="str">
        <f>'001a'!$G$12</f>
        <v>p.DossierName1</v>
      </c>
      <c r="H22" s="609" t="s">
        <v>141</v>
      </c>
      <c r="I22" s="611" t="s">
        <v>142</v>
      </c>
      <c r="J22" s="609" t="s">
        <v>37</v>
      </c>
      <c r="K22" s="611"/>
      <c r="L22" s="609"/>
      <c r="M22" s="611"/>
      <c r="N22" s="609"/>
      <c r="O22" s="611"/>
      <c r="P22" s="609"/>
      <c r="Q22" s="611"/>
      <c r="R22" s="609"/>
      <c r="S22" s="611"/>
      <c r="T22" s="609"/>
      <c r="U22" s="611"/>
      <c r="V22" s="609"/>
      <c r="W22" s="611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48">
        <v>5018</v>
      </c>
      <c r="AJ22" s="2"/>
      <c r="AK22" s="4"/>
      <c r="AL22" s="90">
        <v>5017</v>
      </c>
      <c r="AM22" s="14">
        <f t="shared" si="2"/>
        <v>0.9998007174172977</v>
      </c>
      <c r="AN22" s="90">
        <v>5008</v>
      </c>
      <c r="AO22" s="14">
        <f t="shared" si="2"/>
        <v>0.99800717417297724</v>
      </c>
      <c r="AP22" s="90">
        <v>5007</v>
      </c>
      <c r="AQ22" s="14">
        <f t="shared" si="43"/>
        <v>0.99780789159027505</v>
      </c>
      <c r="AR22" s="90">
        <v>5223</v>
      </c>
      <c r="AS22" s="14">
        <f t="shared" si="43"/>
        <v>1.0408529294539657</v>
      </c>
      <c r="AT22" s="90">
        <v>5240</v>
      </c>
      <c r="AU22" s="14">
        <f t="shared" si="43"/>
        <v>1.0442407333599044</v>
      </c>
      <c r="AV22" s="90">
        <v>5055</v>
      </c>
      <c r="AW22" s="14">
        <f t="shared" si="43"/>
        <v>1.007373455559984</v>
      </c>
      <c r="AX22" s="90">
        <v>5244</v>
      </c>
      <c r="AY22" s="14">
        <f t="shared" si="43"/>
        <v>1.0450378636907134</v>
      </c>
      <c r="AZ22" s="90">
        <v>4446</v>
      </c>
      <c r="BA22" s="90"/>
      <c r="BB22" s="2">
        <v>4534</v>
      </c>
      <c r="BC22" s="14">
        <f t="shared" si="4"/>
        <v>0.90354722997210046</v>
      </c>
      <c r="BD22" s="2">
        <v>2459</v>
      </c>
      <c r="BE22" s="14">
        <f t="shared" si="4"/>
        <v>0.49003587086488642</v>
      </c>
      <c r="BF22" s="2">
        <v>2627</v>
      </c>
      <c r="BG22" s="14">
        <f t="shared" si="4"/>
        <v>0.52351534475886807</v>
      </c>
      <c r="BH22" s="2">
        <v>2748</v>
      </c>
      <c r="BI22" s="14">
        <f t="shared" si="4"/>
        <v>0.54762853726584293</v>
      </c>
      <c r="BK22" s="10">
        <v>2980</v>
      </c>
      <c r="BL22" s="14">
        <f t="shared" si="5"/>
        <v>0.59386209645276999</v>
      </c>
      <c r="BM22" s="10">
        <v>8189</v>
      </c>
      <c r="BN22" s="14">
        <f t="shared" si="6"/>
        <v>1.6319250697489041</v>
      </c>
      <c r="BO22" s="10">
        <v>2925</v>
      </c>
      <c r="BP22" s="14">
        <f t="shared" si="6"/>
        <v>0.58290155440414504</v>
      </c>
      <c r="BQ22" s="10">
        <v>2789</v>
      </c>
      <c r="BR22" s="14">
        <f t="shared" si="6"/>
        <v>0.55579912315663615</v>
      </c>
      <c r="BS22" s="10">
        <v>2861</v>
      </c>
      <c r="BT22" s="14">
        <f t="shared" si="6"/>
        <v>0.57014746911119973</v>
      </c>
      <c r="BU22" s="10">
        <v>2881</v>
      </c>
      <c r="BV22" s="14">
        <f t="shared" si="6"/>
        <v>0.57413312076524514</v>
      </c>
      <c r="BW22" s="10">
        <v>2922</v>
      </c>
      <c r="BX22" s="14">
        <f t="shared" si="6"/>
        <v>0.58230370665603826</v>
      </c>
      <c r="BY22" s="10">
        <v>2740</v>
      </c>
      <c r="BZ22" s="14">
        <f t="shared" si="6"/>
        <v>0.54603427660422477</v>
      </c>
      <c r="CA22" s="10">
        <v>3240</v>
      </c>
      <c r="CB22" s="14">
        <f t="shared" si="6"/>
        <v>0.64567556795536074</v>
      </c>
      <c r="CC22" s="10">
        <v>2640</v>
      </c>
      <c r="CD22" s="14">
        <f t="shared" si="6"/>
        <v>0.52610601833399762</v>
      </c>
      <c r="CE22" s="10">
        <v>3066</v>
      </c>
      <c r="CF22" s="14">
        <f t="shared" si="6"/>
        <v>0.61100039856516541</v>
      </c>
      <c r="CG22" s="10">
        <v>2531</v>
      </c>
      <c r="CH22" s="14">
        <f t="shared" si="6"/>
        <v>0.50438421681945</v>
      </c>
      <c r="CI22" s="10">
        <v>2500</v>
      </c>
      <c r="CJ22" s="14">
        <f t="shared" si="38"/>
        <v>0.49820645675567954</v>
      </c>
      <c r="CK22" s="10">
        <v>3370</v>
      </c>
      <c r="CL22" s="14">
        <f t="shared" si="7"/>
        <v>0.67158230370665606</v>
      </c>
      <c r="CM22" s="10">
        <v>3339</v>
      </c>
      <c r="CN22" s="14">
        <f t="shared" si="8"/>
        <v>0.66540454364288559</v>
      </c>
      <c r="CO22" s="10">
        <v>3747</v>
      </c>
      <c r="CP22" s="14">
        <f t="shared" si="9"/>
        <v>0.74671183738541247</v>
      </c>
      <c r="CQ22" s="10">
        <v>4278</v>
      </c>
      <c r="CR22" s="14">
        <f t="shared" si="9"/>
        <v>0.8525308888003188</v>
      </c>
      <c r="CS22" s="10">
        <v>3727</v>
      </c>
      <c r="CT22" s="14">
        <f t="shared" si="9"/>
        <v>0.74272618573136706</v>
      </c>
      <c r="CU22" s="10">
        <v>3740</v>
      </c>
      <c r="CV22" s="14">
        <f t="shared" si="9"/>
        <v>0.7453168593064966</v>
      </c>
      <c r="CW22" s="10">
        <v>3853</v>
      </c>
      <c r="CX22" s="14">
        <f t="shared" si="10"/>
        <v>0.7678357911518533</v>
      </c>
      <c r="CY22" s="10">
        <v>3583</v>
      </c>
      <c r="DA22" s="10">
        <v>2761</v>
      </c>
      <c r="DC22" s="10">
        <v>2974</v>
      </c>
      <c r="DE22" s="10">
        <v>2892</v>
      </c>
      <c r="DG22" s="10">
        <v>2781</v>
      </c>
      <c r="DI22" s="10">
        <v>2831</v>
      </c>
      <c r="DK22" s="10">
        <v>2527</v>
      </c>
      <c r="DL22" s="10" t="s">
        <v>1718</v>
      </c>
    </row>
    <row r="23" spans="1:116" s="10" customFormat="1" ht="16.5" customHeight="1" thickBot="1">
      <c r="A23" s="116"/>
      <c r="B23" s="272" t="s">
        <v>143</v>
      </c>
      <c r="C23" s="121" t="str">
        <f t="shared" si="36"/>
        <v>{"vermieter":"Graber Immobilien","wohnungsgrosse":"4 Zimmer","mietkosten":3000,"nebenkosten":300}</v>
      </c>
      <c r="D23" s="13"/>
      <c r="E23" s="45" t="str">
        <f t="shared" si="31"/>
        <v>{"vermieter":"Graber Immobilien","wohnungsgrosse":"4 Zimmer","mietkosten":3000,"nebenkosten":300}</v>
      </c>
      <c r="F23" s="611" t="s">
        <v>144</v>
      </c>
      <c r="G23" s="609" t="s">
        <v>145</v>
      </c>
      <c r="H23" s="611" t="s">
        <v>146</v>
      </c>
      <c r="I23" s="611" t="s">
        <v>147</v>
      </c>
      <c r="J23" s="611" t="s">
        <v>148</v>
      </c>
      <c r="K23" s="611">
        <v>3000</v>
      </c>
      <c r="L23" s="611" t="s">
        <v>149</v>
      </c>
      <c r="M23" s="611">
        <v>300</v>
      </c>
      <c r="N23" s="611" t="s">
        <v>109</v>
      </c>
      <c r="O23" s="611"/>
      <c r="P23" s="611"/>
      <c r="Q23" s="611"/>
      <c r="R23" s="611"/>
      <c r="S23" s="611"/>
      <c r="T23" s="611"/>
      <c r="U23" s="611"/>
      <c r="V23" s="611"/>
      <c r="W23" s="611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48">
        <v>2656</v>
      </c>
      <c r="AJ23" s="96"/>
      <c r="AK23" s="4"/>
      <c r="AL23" s="13">
        <v>2912</v>
      </c>
      <c r="AM23" s="14">
        <f t="shared" si="2"/>
        <v>1.0963855421686748</v>
      </c>
      <c r="AN23" s="13">
        <v>4161</v>
      </c>
      <c r="AO23" s="14">
        <f t="shared" si="2"/>
        <v>1.5666415662650603</v>
      </c>
      <c r="AP23" s="13">
        <v>4394</v>
      </c>
      <c r="AQ23" s="14">
        <f t="shared" ref="AQ23:AY23" si="46">AP23/($AI23)</f>
        <v>1.6543674698795181</v>
      </c>
      <c r="AR23" s="13">
        <v>11040</v>
      </c>
      <c r="AS23" s="14">
        <f t="shared" si="46"/>
        <v>4.1566265060240966</v>
      </c>
      <c r="AT23" s="13">
        <v>11254</v>
      </c>
      <c r="AU23" s="14">
        <f t="shared" si="46"/>
        <v>4.2371987951807233</v>
      </c>
      <c r="AV23" s="13">
        <v>11193</v>
      </c>
      <c r="AW23" s="14">
        <f t="shared" si="46"/>
        <v>4.2142319277108431</v>
      </c>
      <c r="AX23" s="13">
        <v>10765</v>
      </c>
      <c r="AY23" s="14">
        <f t="shared" si="46"/>
        <v>4.0530873493975905</v>
      </c>
      <c r="AZ23" s="13">
        <v>3743</v>
      </c>
      <c r="BA23" s="13"/>
      <c r="BB23" s="2">
        <v>3727</v>
      </c>
      <c r="BC23" s="14">
        <f t="shared" si="4"/>
        <v>1.4032379518072289</v>
      </c>
      <c r="BD23" s="2">
        <v>5066</v>
      </c>
      <c r="BE23" s="14">
        <f t="shared" si="4"/>
        <v>1.9073795180722892</v>
      </c>
      <c r="BF23" s="2">
        <v>5061</v>
      </c>
      <c r="BG23" s="14">
        <f t="shared" si="4"/>
        <v>1.9054969879518073</v>
      </c>
      <c r="BH23" s="2">
        <v>4955</v>
      </c>
      <c r="BI23" s="14">
        <f t="shared" si="4"/>
        <v>1.8655873493975903</v>
      </c>
      <c r="BK23" s="10">
        <v>5193</v>
      </c>
      <c r="BL23" s="14">
        <f t="shared" si="5"/>
        <v>1.9551957831325302</v>
      </c>
      <c r="BM23" s="10">
        <v>6491</v>
      </c>
      <c r="BN23" s="14">
        <f t="shared" si="6"/>
        <v>2.4439006024096384</v>
      </c>
      <c r="BO23" s="10">
        <v>5502</v>
      </c>
      <c r="BP23" s="14">
        <f t="shared" si="6"/>
        <v>2.0715361445783134</v>
      </c>
      <c r="BQ23" s="10">
        <v>5250</v>
      </c>
      <c r="BR23" s="14">
        <f t="shared" si="6"/>
        <v>1.9766566265060241</v>
      </c>
      <c r="BS23" s="10">
        <v>5454</v>
      </c>
      <c r="BT23" s="14">
        <f t="shared" si="6"/>
        <v>2.0534638554216866</v>
      </c>
      <c r="BU23" s="10">
        <v>5295</v>
      </c>
      <c r="BV23" s="14">
        <f t="shared" si="6"/>
        <v>1.9935993975903614</v>
      </c>
      <c r="BW23" s="10">
        <v>5422</v>
      </c>
      <c r="BX23" s="14">
        <f t="shared" si="6"/>
        <v>2.0414156626506026</v>
      </c>
      <c r="BY23" s="10">
        <v>5319</v>
      </c>
      <c r="BZ23" s="14">
        <f t="shared" si="6"/>
        <v>2.0026355421686746</v>
      </c>
      <c r="CA23" s="10">
        <v>5434</v>
      </c>
      <c r="CB23" s="14">
        <f t="shared" si="6"/>
        <v>2.0459337349397591</v>
      </c>
      <c r="CC23" s="10">
        <v>4937</v>
      </c>
      <c r="CD23" s="14">
        <f t="shared" si="6"/>
        <v>1.8588102409638554</v>
      </c>
      <c r="CE23" s="10">
        <v>2683</v>
      </c>
      <c r="CF23" s="14">
        <f t="shared" si="6"/>
        <v>1.0101656626506024</v>
      </c>
      <c r="CG23" s="10">
        <v>2278</v>
      </c>
      <c r="CH23" s="14">
        <f t="shared" si="6"/>
        <v>0.85768072289156627</v>
      </c>
      <c r="CI23" s="10">
        <v>2737</v>
      </c>
      <c r="CJ23" s="14">
        <f t="shared" si="38"/>
        <v>1.0304969879518073</v>
      </c>
      <c r="CK23" s="10">
        <v>5151</v>
      </c>
      <c r="CL23" s="14">
        <f t="shared" si="7"/>
        <v>1.9393825301204819</v>
      </c>
      <c r="CM23" s="10">
        <v>5060</v>
      </c>
      <c r="CN23" s="14">
        <f t="shared" si="8"/>
        <v>1.9051204819277108</v>
      </c>
      <c r="CO23" s="10">
        <v>5018</v>
      </c>
      <c r="CP23" s="14">
        <f t="shared" si="9"/>
        <v>1.8893072289156627</v>
      </c>
      <c r="CQ23" s="10">
        <v>5676</v>
      </c>
      <c r="CR23" s="14">
        <f t="shared" si="9"/>
        <v>2.1370481927710845</v>
      </c>
      <c r="CS23" s="10">
        <v>5499</v>
      </c>
      <c r="CT23" s="14">
        <f t="shared" si="9"/>
        <v>2.0704066265060241</v>
      </c>
      <c r="CU23" s="10">
        <v>5544</v>
      </c>
      <c r="CV23" s="14">
        <f t="shared" si="9"/>
        <v>2.0873493975903616</v>
      </c>
      <c r="CW23" s="10">
        <v>5403</v>
      </c>
      <c r="CX23" s="14">
        <f t="shared" si="10"/>
        <v>2.0342620481927711</v>
      </c>
      <c r="CY23" s="10">
        <v>5391</v>
      </c>
    </row>
    <row r="24" spans="1:116" s="10" customFormat="1" ht="16.5" customHeight="1" thickBot="1">
      <c r="A24" s="119">
        <v>27</v>
      </c>
      <c r="B24" s="596" t="s">
        <v>158</v>
      </c>
      <c r="C24" s="121" t="str">
        <f t="shared" si="36"/>
        <v>{"dossier":p.DossierName1,"klientschaft":`${p.FamilyName1}, ${p.ManFirstName1}`}</v>
      </c>
      <c r="D24" s="13"/>
      <c r="E24" s="45" t="str">
        <f t="shared" si="31"/>
        <v>{"dossier":p.DossierName1,"klientschaft":`${p.FamilyName1}, ${p.ManFirstName1}`}</v>
      </c>
      <c r="F24" s="609" t="s">
        <v>159</v>
      </c>
      <c r="G24" s="611" t="str">
        <f>G12</f>
        <v>p.DossierName1</v>
      </c>
      <c r="H24" s="611" t="s">
        <v>129</v>
      </c>
      <c r="I24" s="609" t="str">
        <f>"${"&amp;$G$5&amp;"}, ${"&amp;$I$5&amp;"}"</f>
        <v>${p.FamilyName1}, ${p.ManFirstName1}</v>
      </c>
      <c r="J24" s="611" t="s">
        <v>160</v>
      </c>
      <c r="K24" s="611"/>
      <c r="L24" s="611"/>
      <c r="M24" s="611"/>
      <c r="N24" s="611"/>
      <c r="O24" s="611"/>
      <c r="P24" s="611"/>
      <c r="Q24" s="611"/>
      <c r="R24" s="611"/>
      <c r="S24" s="611"/>
      <c r="T24" s="611"/>
      <c r="U24" s="611"/>
      <c r="V24" s="611"/>
      <c r="W24" s="611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48">
        <v>9006</v>
      </c>
      <c r="AJ24" s="96"/>
      <c r="AK24" s="4"/>
      <c r="AL24" s="13">
        <v>9017</v>
      </c>
      <c r="AM24" s="14">
        <f t="shared" si="2"/>
        <v>1.0012214079502555</v>
      </c>
      <c r="AN24" s="13">
        <v>9018</v>
      </c>
      <c r="AO24" s="14">
        <f t="shared" si="2"/>
        <v>1.0013324450366423</v>
      </c>
      <c r="AP24" s="13">
        <v>9010</v>
      </c>
      <c r="AQ24" s="14">
        <f t="shared" ref="AQ24:AY25" si="47">AP24/($AI24)</f>
        <v>1.0004441483455475</v>
      </c>
      <c r="AR24" s="13">
        <v>5023</v>
      </c>
      <c r="AS24" s="14">
        <f t="shared" si="47"/>
        <v>0.55773928492116365</v>
      </c>
      <c r="AT24" s="13">
        <v>5019</v>
      </c>
      <c r="AU24" s="14">
        <f t="shared" si="47"/>
        <v>0.55729513657561625</v>
      </c>
      <c r="AV24" s="13">
        <v>5007</v>
      </c>
      <c r="AW24" s="14">
        <f t="shared" si="47"/>
        <v>0.55596269153897404</v>
      </c>
      <c r="AX24" s="13">
        <v>5020</v>
      </c>
      <c r="AY24" s="14">
        <f t="shared" si="47"/>
        <v>0.55740617366200307</v>
      </c>
      <c r="AZ24" s="13">
        <v>5005</v>
      </c>
      <c r="BA24" s="13"/>
      <c r="BB24" s="2">
        <v>5019</v>
      </c>
      <c r="BC24" s="14">
        <f t="shared" si="4"/>
        <v>0.55729513657561625</v>
      </c>
      <c r="BD24" s="2">
        <v>2737</v>
      </c>
      <c r="BE24" s="14">
        <f t="shared" si="4"/>
        <v>0.30390850544081721</v>
      </c>
      <c r="BF24" s="2">
        <v>2842</v>
      </c>
      <c r="BG24" s="14">
        <f t="shared" si="4"/>
        <v>0.31556739951143681</v>
      </c>
      <c r="BH24" s="2">
        <v>2719</v>
      </c>
      <c r="BI24" s="14">
        <f t="shared" si="4"/>
        <v>0.30190983788585385</v>
      </c>
      <c r="BK24" s="10">
        <v>2814</v>
      </c>
      <c r="BL24" s="14">
        <f t="shared" si="5"/>
        <v>0.31245836109260494</v>
      </c>
      <c r="BM24" s="10">
        <v>3135</v>
      </c>
      <c r="BN24" s="14">
        <f t="shared" si="6"/>
        <v>0.34810126582278483</v>
      </c>
      <c r="BO24" s="10">
        <v>2783</v>
      </c>
      <c r="BP24" s="14">
        <f t="shared" si="6"/>
        <v>0.3090162114146125</v>
      </c>
      <c r="BQ24" s="10">
        <v>2661</v>
      </c>
      <c r="BR24" s="14">
        <f t="shared" si="6"/>
        <v>0.29546968687541642</v>
      </c>
      <c r="BS24" s="10">
        <v>2900</v>
      </c>
      <c r="BT24" s="14">
        <f t="shared" si="6"/>
        <v>0.3220075505218743</v>
      </c>
      <c r="BU24" s="10">
        <v>2926</v>
      </c>
      <c r="BV24" s="14">
        <f t="shared" si="6"/>
        <v>0.32489451476793246</v>
      </c>
      <c r="BW24" s="10">
        <v>2996</v>
      </c>
      <c r="BX24" s="14">
        <f t="shared" si="6"/>
        <v>0.33266711081501221</v>
      </c>
      <c r="BY24" s="10">
        <v>2749</v>
      </c>
      <c r="BZ24" s="14">
        <f t="shared" si="6"/>
        <v>0.30524095047745947</v>
      </c>
      <c r="CA24" s="10">
        <v>2685</v>
      </c>
      <c r="CB24" s="14">
        <f t="shared" si="6"/>
        <v>0.29813457694870088</v>
      </c>
      <c r="CC24" s="10">
        <v>2806</v>
      </c>
      <c r="CD24" s="14">
        <f t="shared" si="6"/>
        <v>0.31157006440151008</v>
      </c>
      <c r="CE24" s="10">
        <v>2927</v>
      </c>
      <c r="CF24" s="14">
        <f t="shared" si="6"/>
        <v>0.32500555185431934</v>
      </c>
      <c r="CG24" s="10">
        <v>2561</v>
      </c>
      <c r="CH24" s="14">
        <f t="shared" si="6"/>
        <v>0.28436597823673104</v>
      </c>
      <c r="CI24" s="10">
        <v>2736</v>
      </c>
      <c r="CJ24" s="14">
        <f t="shared" si="38"/>
        <v>0.30379746835443039</v>
      </c>
      <c r="CK24" s="10">
        <v>2636</v>
      </c>
      <c r="CL24" s="14">
        <f t="shared" si="7"/>
        <v>0.29269375971574507</v>
      </c>
      <c r="CM24" s="10">
        <v>3184</v>
      </c>
      <c r="CN24" s="14">
        <f t="shared" si="8"/>
        <v>0.35354208305574064</v>
      </c>
      <c r="CO24" s="10">
        <v>2566</v>
      </c>
      <c r="CP24" s="14">
        <f t="shared" si="9"/>
        <v>0.28492116366866532</v>
      </c>
      <c r="CQ24" s="10">
        <v>2392</v>
      </c>
      <c r="CR24" s="14">
        <f t="shared" si="9"/>
        <v>0.26560071063735285</v>
      </c>
      <c r="CS24" s="10">
        <v>3157</v>
      </c>
      <c r="CT24" s="14">
        <f t="shared" si="9"/>
        <v>0.3505440817232956</v>
      </c>
      <c r="CU24" s="10">
        <v>3228</v>
      </c>
      <c r="CV24" s="14">
        <f t="shared" si="9"/>
        <v>0.35842771485676217</v>
      </c>
      <c r="CW24" s="10">
        <v>2712</v>
      </c>
      <c r="CX24" s="14">
        <f t="shared" si="10"/>
        <v>0.30113257828114592</v>
      </c>
      <c r="CY24" s="10">
        <v>2847</v>
      </c>
      <c r="DA24" s="10">
        <v>5812</v>
      </c>
      <c r="DC24" s="10">
        <v>5510</v>
      </c>
      <c r="DE24" s="10">
        <v>4776</v>
      </c>
      <c r="DG24" s="10">
        <v>4469</v>
      </c>
      <c r="DI24" s="10">
        <v>5090</v>
      </c>
      <c r="DK24" s="10">
        <v>4738</v>
      </c>
      <c r="DL24" s="10" t="s">
        <v>1718</v>
      </c>
    </row>
    <row r="25" spans="1:116" s="2722" customFormat="1" ht="16.5" customHeight="1" thickBot="1">
      <c r="A25" s="2721"/>
      <c r="B25" s="2722" t="s">
        <v>22</v>
      </c>
      <c r="C25" s="2723" t="s">
        <v>280</v>
      </c>
      <c r="D25" s="2724"/>
      <c r="E25" s="2725"/>
      <c r="F25" s="2726"/>
      <c r="G25" s="2727"/>
      <c r="H25" s="2727"/>
      <c r="I25" s="2727"/>
      <c r="J25" s="2727"/>
      <c r="K25" s="2727"/>
      <c r="L25" s="2727"/>
      <c r="M25" s="2727"/>
      <c r="N25" s="2727"/>
      <c r="O25" s="2727"/>
      <c r="P25" s="2727"/>
      <c r="Q25" s="2727"/>
      <c r="R25" s="2727"/>
      <c r="S25" s="2727"/>
      <c r="T25" s="2727"/>
      <c r="U25" s="2727"/>
      <c r="V25" s="2727"/>
      <c r="W25" s="2727"/>
      <c r="X25" s="2724"/>
      <c r="Y25" s="2724"/>
      <c r="Z25" s="2724"/>
      <c r="AA25" s="2724"/>
      <c r="AB25" s="2724"/>
      <c r="AC25" s="2724"/>
      <c r="AD25" s="2724"/>
      <c r="AE25" s="2724"/>
      <c r="AF25" s="2724"/>
      <c r="AG25" s="2724"/>
      <c r="AH25" s="2724"/>
      <c r="AI25" s="2724">
        <v>2011</v>
      </c>
      <c r="AJ25" s="2728"/>
      <c r="AK25" s="2729"/>
      <c r="AL25" s="2724">
        <v>2008</v>
      </c>
      <c r="AM25" s="2730">
        <f t="shared" si="2"/>
        <v>0.99850820487319747</v>
      </c>
      <c r="AN25" s="2724">
        <v>2011</v>
      </c>
      <c r="AO25" s="2730">
        <f t="shared" si="2"/>
        <v>1</v>
      </c>
      <c r="AP25" s="2724"/>
      <c r="AQ25" s="2730">
        <f t="shared" si="47"/>
        <v>0</v>
      </c>
      <c r="AR25" s="2724">
        <v>2013</v>
      </c>
      <c r="AS25" s="2730">
        <f t="shared" si="47"/>
        <v>1.0009945300845351</v>
      </c>
      <c r="AT25" s="2724">
        <v>2020</v>
      </c>
      <c r="AU25" s="2730">
        <f t="shared" si="47"/>
        <v>1.0044753853804078</v>
      </c>
      <c r="AV25" s="2724">
        <v>2017</v>
      </c>
      <c r="AW25" s="2730">
        <f t="shared" si="47"/>
        <v>1.0029835902536051</v>
      </c>
      <c r="AX25" s="2724">
        <v>2019</v>
      </c>
      <c r="AY25" s="2730">
        <f t="shared" si="47"/>
        <v>1.0039781203381402</v>
      </c>
      <c r="AZ25" s="2724">
        <v>2013</v>
      </c>
      <c r="BA25" s="2724"/>
      <c r="BB25" s="2724">
        <v>341</v>
      </c>
      <c r="BC25" s="2730">
        <f t="shared" si="4"/>
        <v>0.16956737941322725</v>
      </c>
      <c r="BD25" s="2724">
        <v>2007</v>
      </c>
      <c r="BE25" s="2730">
        <f t="shared" si="4"/>
        <v>0.99801093983092992</v>
      </c>
      <c r="BF25" s="2724">
        <v>2003</v>
      </c>
      <c r="BG25" s="2730">
        <f t="shared" si="4"/>
        <v>0.99602187966185973</v>
      </c>
      <c r="BH25" s="2724">
        <v>2009</v>
      </c>
      <c r="BI25" s="2730">
        <f t="shared" si="4"/>
        <v>0.99900546991546491</v>
      </c>
      <c r="BK25" s="2722">
        <v>2019</v>
      </c>
      <c r="BL25" s="2730">
        <f t="shared" si="5"/>
        <v>1.0039781203381402</v>
      </c>
      <c r="BM25" s="2722">
        <v>2008</v>
      </c>
      <c r="BN25" s="2730">
        <f t="shared" ref="BN25" si="48">BM25/($AI25)</f>
        <v>0.99850820487319747</v>
      </c>
      <c r="BO25" s="2722">
        <v>2005</v>
      </c>
      <c r="BP25" s="2730">
        <f t="shared" ref="BP25" si="49">BO25/($AI25)</f>
        <v>0.99701640974639483</v>
      </c>
      <c r="BQ25" s="2722">
        <v>2012</v>
      </c>
      <c r="BR25" s="2730">
        <f t="shared" ref="BR25" si="50">BQ25/($AI25)</f>
        <v>1.0004972650422674</v>
      </c>
      <c r="BS25" s="2722">
        <v>2004</v>
      </c>
      <c r="BT25" s="2730">
        <f t="shared" ref="BT25" si="51">BS25/($AI25)</f>
        <v>0.99651914470412728</v>
      </c>
      <c r="BU25" s="2722">
        <v>2005</v>
      </c>
      <c r="BV25" s="2730">
        <f t="shared" ref="BV25" si="52">BU25/($AI25)</f>
        <v>0.99701640974639483</v>
      </c>
      <c r="BW25" s="2722">
        <v>2013</v>
      </c>
      <c r="BX25" s="2730">
        <f t="shared" ref="BX25" si="53">BW25/($AI25)</f>
        <v>1.0009945300845351</v>
      </c>
      <c r="BY25" s="2722">
        <v>2013</v>
      </c>
      <c r="BZ25" s="2730">
        <f t="shared" ref="BZ25" si="54">BY25/($AI25)</f>
        <v>1.0009945300845351</v>
      </c>
      <c r="CA25" s="2722">
        <v>2006</v>
      </c>
      <c r="CB25" s="2730">
        <f t="shared" ref="CB25" si="55">CA25/($AI25)</f>
        <v>0.99751367478866237</v>
      </c>
      <c r="CC25" s="2722">
        <v>2006</v>
      </c>
      <c r="CD25" s="2730">
        <f t="shared" ref="CD25" si="56">CC25/($AI25)</f>
        <v>0.99751367478866237</v>
      </c>
      <c r="CE25" s="2722">
        <v>2015</v>
      </c>
      <c r="CF25" s="2730">
        <f t="shared" ref="CF25" si="57">CE25/($AI25)</f>
        <v>1.0019890601690702</v>
      </c>
      <c r="CG25" s="2722">
        <v>2010</v>
      </c>
      <c r="CH25" s="2730">
        <f t="shared" ref="CH25" si="58">CG25/($AI25)</f>
        <v>0.99950273495773245</v>
      </c>
      <c r="CI25" s="2722">
        <v>2012</v>
      </c>
      <c r="CJ25" s="2730">
        <f t="shared" si="38"/>
        <v>1.0004972650422674</v>
      </c>
      <c r="CK25" s="2722">
        <v>2005</v>
      </c>
      <c r="CL25" s="2730">
        <f t="shared" si="7"/>
        <v>0.99701640974639483</v>
      </c>
      <c r="CN25" s="2730">
        <f t="shared" si="8"/>
        <v>0</v>
      </c>
      <c r="CO25" s="2722">
        <v>4190</v>
      </c>
      <c r="CP25" s="2730">
        <f t="shared" si="9"/>
        <v>2.0835405271009448</v>
      </c>
      <c r="CQ25" s="2722">
        <v>4228</v>
      </c>
      <c r="CR25" s="2730">
        <f t="shared" si="9"/>
        <v>2.102436598707111</v>
      </c>
      <c r="CS25" s="2722">
        <v>4085</v>
      </c>
      <c r="CT25" s="2730">
        <f t="shared" si="9"/>
        <v>2.0313276976628543</v>
      </c>
      <c r="CU25" s="2722">
        <v>4191</v>
      </c>
      <c r="CV25" s="2730">
        <f t="shared" si="9"/>
        <v>2.0840377921432123</v>
      </c>
      <c r="CW25" s="2722">
        <v>4489</v>
      </c>
      <c r="CX25" s="2730">
        <f t="shared" si="10"/>
        <v>2.2322227747389358</v>
      </c>
      <c r="CY25" s="2722">
        <v>5077</v>
      </c>
    </row>
    <row r="26" spans="1:116" s="10" customFormat="1" ht="16.5" customHeight="1" thickBot="1">
      <c r="A26" s="159">
        <v>24</v>
      </c>
      <c r="B26" s="3654" t="s">
        <v>161</v>
      </c>
      <c r="C26" s="121" t="str">
        <f t="shared" ca="1" si="36"/>
        <v>{"zahlbarDurch":"BKW Energie AG","pensumm":"100","betrag":"1000","gueltigVon":"01.01.2025","gueltigBis":"31.12.2025","checkbox":"x"}</v>
      </c>
      <c r="D26" s="13"/>
      <c r="E26" s="45" t="str">
        <f t="shared" ca="1" si="31"/>
        <v>{"zahlbarDurch":"BKW Energie AG","pensumm":"100","betrag":"1000","gueltigVon":"01.01.2025","gueltigBis":"31.12.2025","checkbox":"x"}</v>
      </c>
      <c r="F26" s="619" t="s">
        <v>162</v>
      </c>
      <c r="G26" s="611"/>
      <c r="H26" s="611" t="s">
        <v>163</v>
      </c>
      <c r="I26" s="611" t="s">
        <v>164</v>
      </c>
      <c r="J26" s="611" t="s">
        <v>165</v>
      </c>
      <c r="K26" s="611">
        <v>100</v>
      </c>
      <c r="L26" s="611" t="s">
        <v>166</v>
      </c>
      <c r="M26" s="611">
        <v>1000</v>
      </c>
      <c r="N26" s="611" t="s">
        <v>167</v>
      </c>
      <c r="O26" s="615" t="str">
        <f ca="1">"01.01."&amp;YEAR(TODAY())</f>
        <v>01.01.2025</v>
      </c>
      <c r="P26" s="611" t="s">
        <v>168</v>
      </c>
      <c r="Q26" s="615" t="str">
        <f ca="1">"31.12."&amp;YEAR(TODAY())</f>
        <v>31.12.2025</v>
      </c>
      <c r="R26" s="611" t="s">
        <v>169</v>
      </c>
      <c r="S26" s="611" t="s">
        <v>170</v>
      </c>
      <c r="T26" s="611" t="s">
        <v>37</v>
      </c>
      <c r="U26" s="611"/>
      <c r="V26" s="611"/>
      <c r="W26" s="611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48">
        <v>10643</v>
      </c>
      <c r="AJ26" s="96"/>
      <c r="AK26" s="4"/>
      <c r="AL26" s="13">
        <v>11047</v>
      </c>
      <c r="AM26" s="14">
        <f t="shared" si="2"/>
        <v>1.0379592220238654</v>
      </c>
      <c r="AN26" s="13">
        <v>11734</v>
      </c>
      <c r="AO26" s="14">
        <f t="shared" si="2"/>
        <v>1.102508691158508</v>
      </c>
      <c r="AP26" s="13">
        <v>12167</v>
      </c>
      <c r="AQ26" s="14">
        <f t="shared" ref="AQ26:AY26" si="59">AP26/($AI26)</f>
        <v>1.1431927088227003</v>
      </c>
      <c r="AR26" s="13">
        <v>11254</v>
      </c>
      <c r="AS26" s="14">
        <f t="shared" si="59"/>
        <v>1.0574086253875787</v>
      </c>
      <c r="AT26" s="13">
        <v>11496</v>
      </c>
      <c r="AU26" s="14">
        <f t="shared" si="59"/>
        <v>1.0801465752137556</v>
      </c>
      <c r="AV26" s="13">
        <v>11443</v>
      </c>
      <c r="AW26" s="14">
        <f t="shared" si="59"/>
        <v>1.075166776284882</v>
      </c>
      <c r="AX26" s="13">
        <v>11104</v>
      </c>
      <c r="AY26" s="14">
        <f t="shared" si="59"/>
        <v>1.0433148548341633</v>
      </c>
      <c r="AZ26" s="13">
        <v>4691</v>
      </c>
      <c r="BA26" s="13"/>
      <c r="BB26" s="2">
        <v>4695</v>
      </c>
      <c r="BC26" s="14">
        <f t="shared" si="4"/>
        <v>0.44113501832190172</v>
      </c>
      <c r="BD26" s="2">
        <v>4689</v>
      </c>
      <c r="BE26" s="14">
        <f t="shared" si="4"/>
        <v>0.44057126749976511</v>
      </c>
      <c r="BF26" s="2">
        <v>4733</v>
      </c>
      <c r="BG26" s="14">
        <f t="shared" si="4"/>
        <v>0.44470544019543362</v>
      </c>
      <c r="BH26" s="2">
        <v>4865</v>
      </c>
      <c r="BI26" s="14">
        <f t="shared" si="4"/>
        <v>0.45710795828243916</v>
      </c>
      <c r="BK26" s="10">
        <v>4977</v>
      </c>
      <c r="BL26" s="14">
        <f t="shared" si="5"/>
        <v>0.46763130696232263</v>
      </c>
      <c r="BM26" s="10">
        <v>5121</v>
      </c>
      <c r="BN26" s="14">
        <f t="shared" si="6"/>
        <v>0.48116132669360145</v>
      </c>
      <c r="BO26" s="10">
        <v>5076</v>
      </c>
      <c r="BP26" s="14">
        <f t="shared" si="6"/>
        <v>0.47693319552757679</v>
      </c>
      <c r="BQ26" s="10">
        <v>4962</v>
      </c>
      <c r="BR26" s="14">
        <f t="shared" si="6"/>
        <v>0.46622192990698114</v>
      </c>
      <c r="BS26" s="10">
        <v>5164</v>
      </c>
      <c r="BT26" s="14">
        <f t="shared" si="6"/>
        <v>0.48520154091891382</v>
      </c>
      <c r="BU26" s="10">
        <v>5050</v>
      </c>
      <c r="BV26" s="14">
        <f t="shared" si="6"/>
        <v>0.47449027529831816</v>
      </c>
      <c r="BW26" s="10">
        <v>5029</v>
      </c>
      <c r="BX26" s="14">
        <f t="shared" si="6"/>
        <v>0.47251714742084</v>
      </c>
      <c r="BY26" s="10">
        <v>5045</v>
      </c>
      <c r="BZ26" s="14">
        <f t="shared" si="6"/>
        <v>0.47402048294653765</v>
      </c>
      <c r="CA26" s="10">
        <v>5105</v>
      </c>
      <c r="CB26" s="14">
        <f t="shared" si="6"/>
        <v>0.47965799116790381</v>
      </c>
      <c r="CC26" s="10">
        <v>4650</v>
      </c>
      <c r="CD26" s="14">
        <f t="shared" si="6"/>
        <v>0.43690688715587711</v>
      </c>
      <c r="CE26" s="10">
        <v>2082</v>
      </c>
      <c r="CF26" s="14">
        <f t="shared" si="6"/>
        <v>0.19562153528140561</v>
      </c>
      <c r="CG26" s="10">
        <v>1950</v>
      </c>
      <c r="CH26" s="14">
        <f t="shared" si="6"/>
        <v>0.18321901719440006</v>
      </c>
      <c r="CI26" s="10">
        <v>1980</v>
      </c>
      <c r="CJ26" s="14">
        <f t="shared" si="38"/>
        <v>0.18603777130508314</v>
      </c>
      <c r="CK26" s="10">
        <v>5065</v>
      </c>
      <c r="CL26" s="14">
        <f t="shared" si="7"/>
        <v>0.47589965235365966</v>
      </c>
      <c r="CM26" s="10">
        <v>7022</v>
      </c>
      <c r="CN26" s="14">
        <f t="shared" si="8"/>
        <v>0.65977637884055251</v>
      </c>
      <c r="CO26" s="10">
        <v>5085</v>
      </c>
      <c r="CP26" s="14">
        <f t="shared" si="9"/>
        <v>0.47777882176078174</v>
      </c>
      <c r="CQ26" s="10">
        <v>5042</v>
      </c>
      <c r="CR26" s="14">
        <f t="shared" si="9"/>
        <v>0.47373860753546931</v>
      </c>
      <c r="CS26" s="10">
        <v>7032</v>
      </c>
      <c r="CT26" s="14">
        <f t="shared" si="9"/>
        <v>0.66071596354411355</v>
      </c>
      <c r="CU26" s="10">
        <v>4971</v>
      </c>
      <c r="CV26" s="14">
        <f t="shared" si="9"/>
        <v>0.46706755614018602</v>
      </c>
      <c r="CW26" s="10">
        <v>4855</v>
      </c>
      <c r="CX26" s="14">
        <f t="shared" si="10"/>
        <v>0.45616837357887813</v>
      </c>
      <c r="CY26" s="10">
        <v>5595</v>
      </c>
      <c r="DI26" s="10">
        <v>5560</v>
      </c>
      <c r="DK26" s="10">
        <v>5051</v>
      </c>
      <c r="DL26" s="10" t="s">
        <v>1718</v>
      </c>
    </row>
    <row r="27" spans="1:116" s="102" customFormat="1" ht="16.5" customHeight="1" thickBot="1">
      <c r="A27" s="598"/>
      <c r="B27" s="599" t="s">
        <v>171</v>
      </c>
      <c r="C27" s="600" t="str">
        <f t="shared" ca="1" si="36"/>
        <v>{"dossier":p.DossierName1,"klientschaft":`${p.FamilyName1}, ${p.ManFirstName1}`,"topMenu":"Erwerbseinkommen","subMenu":"Unselbständiges Erwerbseinkommen","zahlbarDurch":"Berner Schuldenberatung","pensumm":"30","13Ja":"x","betrag":"1500","gueltigVon":"01.01.2025","gueltigBis":"31.12.2025","schweregrad":""}</v>
      </c>
      <c r="E27" s="103" t="str">
        <f t="shared" ref="E27" ca="1" si="60">F27&amp;G27&amp;H27&amp;I27&amp;J27&amp;K27&amp;L27&amp;M27&amp;N27&amp;O27&amp;P27&amp;Q27&amp;R27&amp;S27&amp;T27&amp;U27&amp;V27&amp;W27&amp;X27&amp;Y27&amp;Z27&amp;AA27&amp;AB27&amp;AC27</f>
        <v>{"dossier":p.DossierName1,"klientschaft":`${p.FamilyName1}, ${p.ManFirstName1}`,"topMenu":"Erwerbseinkommen","subMenu":"Unselbständiges Erwerbseinkommen","zahlbarDurch":"Berner Schuldenberatung","pensumm":"30","13Ja":"x","betrag":"1500","gueltigVon":"01.01.2025","gueltigBis":"31.12.2025","schweregrad":""}</v>
      </c>
      <c r="F27" s="105" t="s">
        <v>159</v>
      </c>
      <c r="G27" s="105" t="str">
        <f>G24</f>
        <v>p.DossierName1</v>
      </c>
      <c r="H27" s="105" t="s">
        <v>129</v>
      </c>
      <c r="I27" s="105" t="str">
        <f>I24</f>
        <v>${p.FamilyName1}, ${p.ManFirstName1}</v>
      </c>
      <c r="J27" s="620" t="s">
        <v>172</v>
      </c>
      <c r="K27" s="620" t="s">
        <v>173</v>
      </c>
      <c r="L27" s="105" t="s">
        <v>174</v>
      </c>
      <c r="M27" s="621" t="s">
        <v>175</v>
      </c>
      <c r="N27" s="105" t="s">
        <v>176</v>
      </c>
      <c r="O27" s="105" t="s">
        <v>177</v>
      </c>
      <c r="P27" s="105" t="s">
        <v>165</v>
      </c>
      <c r="Q27" s="622">
        <v>30</v>
      </c>
      <c r="R27" s="105" t="s">
        <v>178</v>
      </c>
      <c r="S27" s="105" t="s">
        <v>170</v>
      </c>
      <c r="T27" s="105" t="s">
        <v>166</v>
      </c>
      <c r="U27" s="105">
        <v>1500</v>
      </c>
      <c r="V27" s="105" t="s">
        <v>167</v>
      </c>
      <c r="W27" s="623" t="str">
        <f ca="1">O26</f>
        <v>01.01.2025</v>
      </c>
      <c r="X27" s="104" t="s">
        <v>168</v>
      </c>
      <c r="Y27" s="106" t="str">
        <f t="shared" ref="Y27" ca="1" si="61">"31.12."&amp;YEAR(TODAY())</f>
        <v>31.12.2025</v>
      </c>
      <c r="Z27" s="107" t="s">
        <v>179</v>
      </c>
      <c r="AA27" s="107"/>
      <c r="AB27" s="102" t="s">
        <v>37</v>
      </c>
    </row>
    <row r="28" spans="1:116" s="10" customFormat="1" ht="16.5" customHeight="1" thickBot="1">
      <c r="A28" s="119">
        <v>30</v>
      </c>
      <c r="B28" s="596" t="s">
        <v>139</v>
      </c>
      <c r="C28" s="121" t="str">
        <f t="shared" si="36"/>
        <v>{"searchDossierOrKlient":p.DossierName1,"resultType":"Dossiers"}</v>
      </c>
      <c r="D28" s="56"/>
      <c r="E28" s="109" t="str">
        <f t="shared" si="31"/>
        <v>{"searchDossierOrKlient":p.DossierName1,"resultType":"Dossiers"}</v>
      </c>
      <c r="F28" s="609" t="s">
        <v>140</v>
      </c>
      <c r="G28" s="614" t="str">
        <f>'001a'!$G$12</f>
        <v>p.DossierName1</v>
      </c>
      <c r="H28" s="609" t="s">
        <v>141</v>
      </c>
      <c r="I28" s="611" t="s">
        <v>142</v>
      </c>
      <c r="J28" s="609" t="s">
        <v>37</v>
      </c>
      <c r="K28" s="611"/>
      <c r="L28" s="609"/>
      <c r="M28" s="611"/>
      <c r="N28" s="609"/>
      <c r="O28" s="611"/>
      <c r="P28" s="609"/>
      <c r="Q28" s="611"/>
      <c r="R28" s="609"/>
      <c r="S28" s="611"/>
      <c r="T28" s="609"/>
      <c r="U28" s="611"/>
      <c r="V28" s="609"/>
      <c r="W28" s="611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48">
        <v>9010</v>
      </c>
      <c r="AJ28" s="2"/>
      <c r="AK28" s="4"/>
      <c r="AL28" s="56">
        <v>9011</v>
      </c>
      <c r="AM28" s="14">
        <f t="shared" si="2"/>
        <v>1.000110987791343</v>
      </c>
      <c r="AN28" s="56">
        <v>9018</v>
      </c>
      <c r="AO28" s="14">
        <f t="shared" si="2"/>
        <v>1.0008879023307435</v>
      </c>
      <c r="AP28" s="56">
        <v>9018</v>
      </c>
      <c r="AQ28" s="14">
        <f t="shared" ref="AQ28:AY29" si="62">AP28/($AI28)</f>
        <v>1.0008879023307435</v>
      </c>
      <c r="AR28" s="56">
        <v>5022</v>
      </c>
      <c r="AS28" s="14">
        <f t="shared" si="62"/>
        <v>0.5573806881243063</v>
      </c>
      <c r="AT28" s="56">
        <v>5012</v>
      </c>
      <c r="AU28" s="14">
        <f t="shared" si="62"/>
        <v>0.55627081021087676</v>
      </c>
      <c r="AV28" s="56">
        <v>5031</v>
      </c>
      <c r="AW28" s="14">
        <f t="shared" si="62"/>
        <v>0.55837957824639295</v>
      </c>
      <c r="AX28" s="56">
        <v>5018</v>
      </c>
      <c r="AY28" s="14">
        <f t="shared" si="62"/>
        <v>0.55693673695893453</v>
      </c>
      <c r="AZ28" s="56">
        <v>5020</v>
      </c>
      <c r="BA28" s="56"/>
      <c r="BB28" s="2">
        <v>5041</v>
      </c>
      <c r="BC28" s="14">
        <f t="shared" ref="BC28:BI30" si="63">BB28/($AI28)</f>
        <v>0.55948945615982237</v>
      </c>
      <c r="BD28" s="2">
        <v>3302</v>
      </c>
      <c r="BE28" s="14">
        <f t="shared" si="63"/>
        <v>0.3664816870144284</v>
      </c>
      <c r="BF28" s="2">
        <v>3479</v>
      </c>
      <c r="BG28" s="14">
        <f t="shared" si="63"/>
        <v>0.38612652608213094</v>
      </c>
      <c r="BH28" s="2">
        <v>3266</v>
      </c>
      <c r="BI28" s="14">
        <f t="shared" si="63"/>
        <v>0.36248612652608214</v>
      </c>
      <c r="BK28" s="10">
        <v>4147</v>
      </c>
      <c r="BL28" s="14">
        <f t="shared" ref="BL28:BL30" si="64">BK28/($AI28)</f>
        <v>0.4602663706992231</v>
      </c>
      <c r="BM28" s="10">
        <v>4209</v>
      </c>
      <c r="BN28" s="14">
        <f t="shared" ref="BN28:CV30" si="65">BM28/($AI28)</f>
        <v>0.46714761376248615</v>
      </c>
      <c r="BO28" s="10">
        <v>3541</v>
      </c>
      <c r="BP28" s="14">
        <f t="shared" si="65"/>
        <v>0.39300776914539398</v>
      </c>
      <c r="BQ28" s="10">
        <v>3635</v>
      </c>
      <c r="BR28" s="14">
        <f t="shared" si="65"/>
        <v>0.40344062153163152</v>
      </c>
      <c r="BS28" s="10">
        <v>3543</v>
      </c>
      <c r="BT28" s="14">
        <f t="shared" si="65"/>
        <v>0.39322974472807992</v>
      </c>
      <c r="BU28" s="10">
        <v>3571</v>
      </c>
      <c r="BV28" s="14">
        <f t="shared" si="65"/>
        <v>0.39633740288568259</v>
      </c>
      <c r="BW28" s="10">
        <v>3634</v>
      </c>
      <c r="BX28" s="14">
        <f t="shared" si="65"/>
        <v>0.40332963374028857</v>
      </c>
      <c r="BY28" s="10">
        <v>3696</v>
      </c>
      <c r="BZ28" s="14">
        <f t="shared" si="65"/>
        <v>0.41021087680355162</v>
      </c>
      <c r="CA28" s="10">
        <v>5331</v>
      </c>
      <c r="CB28" s="14">
        <f t="shared" si="65"/>
        <v>0.59167591564927857</v>
      </c>
      <c r="CC28" s="10">
        <v>4098</v>
      </c>
      <c r="CD28" s="14">
        <f t="shared" si="65"/>
        <v>0.45482796892341842</v>
      </c>
      <c r="CE28" s="10">
        <v>3367</v>
      </c>
      <c r="CF28" s="14">
        <f t="shared" si="65"/>
        <v>0.37369589345172033</v>
      </c>
      <c r="CG28" s="10">
        <v>3179</v>
      </c>
      <c r="CH28" s="14">
        <f t="shared" si="65"/>
        <v>0.35283018867924526</v>
      </c>
      <c r="CI28" s="10">
        <v>3291</v>
      </c>
      <c r="CJ28" s="14">
        <f t="shared" si="65"/>
        <v>0.36526082130965593</v>
      </c>
      <c r="CK28" s="10">
        <v>4436</v>
      </c>
      <c r="CL28" s="14">
        <f t="shared" si="65"/>
        <v>0.4923418423973363</v>
      </c>
      <c r="CM28" s="10">
        <v>5052</v>
      </c>
      <c r="CN28" s="14">
        <f t="shared" si="65"/>
        <v>0.56071032186459491</v>
      </c>
      <c r="CO28" s="10">
        <v>7170</v>
      </c>
      <c r="CP28" s="14">
        <f t="shared" si="65"/>
        <v>0.79578246392896779</v>
      </c>
      <c r="CQ28" s="10">
        <v>6100</v>
      </c>
      <c r="CR28" s="14">
        <f t="shared" si="65"/>
        <v>0.67702552719200892</v>
      </c>
      <c r="CS28" s="10">
        <v>4629</v>
      </c>
      <c r="CT28" s="14">
        <f t="shared" si="65"/>
        <v>0.51376248612652609</v>
      </c>
      <c r="CU28" s="10">
        <v>3720</v>
      </c>
      <c r="CV28" s="14">
        <f t="shared" si="65"/>
        <v>0.41287458379578246</v>
      </c>
      <c r="CW28" s="10">
        <v>4812</v>
      </c>
      <c r="CX28" s="14">
        <f t="shared" ref="CX28:CX31" si="66">CW28/($AI28)</f>
        <v>0.53407325194228639</v>
      </c>
      <c r="CY28" s="10">
        <v>6623</v>
      </c>
      <c r="DA28" s="10">
        <v>6895</v>
      </c>
      <c r="DC28" s="10">
        <v>6145</v>
      </c>
      <c r="DE28" s="10">
        <v>4781</v>
      </c>
      <c r="DG28" s="10">
        <v>4976</v>
      </c>
      <c r="DI28" s="10">
        <v>4257</v>
      </c>
      <c r="DK28" s="10">
        <v>3881</v>
      </c>
      <c r="DL28" s="10" t="s">
        <v>1718</v>
      </c>
    </row>
    <row r="29" spans="1:116" s="2722" customFormat="1" ht="16.5" customHeight="1" thickBot="1">
      <c r="A29" s="2721">
        <v>50</v>
      </c>
      <c r="B29" s="2722" t="s">
        <v>22</v>
      </c>
      <c r="C29" s="2723" t="s">
        <v>280</v>
      </c>
      <c r="D29" s="2724"/>
      <c r="E29" s="2725"/>
      <c r="F29" s="2726"/>
      <c r="G29" s="2727"/>
      <c r="H29" s="2727"/>
      <c r="I29" s="2727"/>
      <c r="J29" s="2727"/>
      <c r="K29" s="2727"/>
      <c r="L29" s="2727"/>
      <c r="M29" s="2727"/>
      <c r="N29" s="2727"/>
      <c r="O29" s="2727"/>
      <c r="P29" s="2727"/>
      <c r="Q29" s="2727"/>
      <c r="R29" s="2727"/>
      <c r="S29" s="2727"/>
      <c r="T29" s="2727"/>
      <c r="U29" s="2727"/>
      <c r="V29" s="2727"/>
      <c r="W29" s="2727"/>
      <c r="X29" s="2724"/>
      <c r="Y29" s="2724"/>
      <c r="Z29" s="2724"/>
      <c r="AA29" s="2724"/>
      <c r="AB29" s="2724"/>
      <c r="AC29" s="2724"/>
      <c r="AD29" s="2724"/>
      <c r="AE29" s="2724"/>
      <c r="AF29" s="2724"/>
      <c r="AG29" s="2724"/>
      <c r="AH29" s="2724"/>
      <c r="AI29" s="2724">
        <v>2011</v>
      </c>
      <c r="AJ29" s="2728"/>
      <c r="AK29" s="2729"/>
      <c r="AL29" s="2724">
        <v>2008</v>
      </c>
      <c r="AM29" s="2730">
        <f t="shared" ref="AM29" si="67">AL29/($AI29)</f>
        <v>0.99850820487319747</v>
      </c>
      <c r="AN29" s="2724">
        <v>2011</v>
      </c>
      <c r="AO29" s="2730">
        <f t="shared" ref="AO29" si="68">AN29/($AI29)</f>
        <v>1</v>
      </c>
      <c r="AP29" s="2724"/>
      <c r="AQ29" s="2730">
        <f t="shared" si="62"/>
        <v>0</v>
      </c>
      <c r="AR29" s="2724">
        <v>2013</v>
      </c>
      <c r="AS29" s="2730">
        <f t="shared" si="62"/>
        <v>1.0009945300845351</v>
      </c>
      <c r="AT29" s="2724">
        <v>2020</v>
      </c>
      <c r="AU29" s="2730">
        <f t="shared" si="62"/>
        <v>1.0044753853804078</v>
      </c>
      <c r="AV29" s="2724">
        <v>2017</v>
      </c>
      <c r="AW29" s="2730">
        <f t="shared" si="62"/>
        <v>1.0029835902536051</v>
      </c>
      <c r="AX29" s="2724">
        <v>2019</v>
      </c>
      <c r="AY29" s="2730">
        <f t="shared" si="62"/>
        <v>1.0039781203381402</v>
      </c>
      <c r="AZ29" s="2724">
        <v>2013</v>
      </c>
      <c r="BA29" s="2724"/>
      <c r="BB29" s="2724">
        <v>341</v>
      </c>
      <c r="BC29" s="2730">
        <f t="shared" si="63"/>
        <v>0.16956737941322725</v>
      </c>
      <c r="BD29" s="2724">
        <v>2007</v>
      </c>
      <c r="BE29" s="2730">
        <f t="shared" si="63"/>
        <v>0.99801093983092992</v>
      </c>
      <c r="BF29" s="2724">
        <v>2003</v>
      </c>
      <c r="BG29" s="2730">
        <f t="shared" si="63"/>
        <v>0.99602187966185973</v>
      </c>
      <c r="BH29" s="2724">
        <v>2009</v>
      </c>
      <c r="BI29" s="2730">
        <f t="shared" si="63"/>
        <v>0.99900546991546491</v>
      </c>
      <c r="BK29" s="2722">
        <v>2019</v>
      </c>
      <c r="BL29" s="2730">
        <f t="shared" si="64"/>
        <v>1.0039781203381402</v>
      </c>
      <c r="BM29" s="2722">
        <v>2008</v>
      </c>
      <c r="BN29" s="2730">
        <f t="shared" si="65"/>
        <v>0.99850820487319747</v>
      </c>
      <c r="BO29" s="2722">
        <v>2005</v>
      </c>
      <c r="BP29" s="2730">
        <f t="shared" si="65"/>
        <v>0.99701640974639483</v>
      </c>
      <c r="BQ29" s="2722">
        <v>2012</v>
      </c>
      <c r="BR29" s="2730">
        <f t="shared" si="65"/>
        <v>1.0004972650422674</v>
      </c>
      <c r="BS29" s="2722">
        <v>2004</v>
      </c>
      <c r="BT29" s="2730">
        <f t="shared" si="65"/>
        <v>0.99651914470412728</v>
      </c>
      <c r="BU29" s="2722">
        <v>2005</v>
      </c>
      <c r="BV29" s="2730">
        <f t="shared" si="65"/>
        <v>0.99701640974639483</v>
      </c>
      <c r="BW29" s="2722">
        <v>2013</v>
      </c>
      <c r="BX29" s="2730">
        <f t="shared" si="65"/>
        <v>1.0009945300845351</v>
      </c>
      <c r="BY29" s="2722">
        <v>2013</v>
      </c>
      <c r="BZ29" s="2730">
        <f t="shared" si="65"/>
        <v>1.0009945300845351</v>
      </c>
      <c r="CA29" s="2722">
        <v>2006</v>
      </c>
      <c r="CB29" s="2730">
        <f t="shared" si="65"/>
        <v>0.99751367478866237</v>
      </c>
      <c r="CC29" s="2722">
        <v>2006</v>
      </c>
      <c r="CD29" s="2730">
        <f t="shared" si="65"/>
        <v>0.99751367478866237</v>
      </c>
      <c r="CE29" s="2722">
        <v>2015</v>
      </c>
      <c r="CF29" s="2730">
        <f t="shared" si="65"/>
        <v>1.0019890601690702</v>
      </c>
      <c r="CG29" s="2722">
        <v>2010</v>
      </c>
      <c r="CH29" s="2730">
        <f t="shared" si="65"/>
        <v>0.99950273495773245</v>
      </c>
      <c r="CI29" s="2722">
        <v>2012</v>
      </c>
      <c r="CJ29" s="2730">
        <f t="shared" si="65"/>
        <v>1.0004972650422674</v>
      </c>
      <c r="CK29" s="2722">
        <v>2005</v>
      </c>
      <c r="CL29" s="2730">
        <f t="shared" si="65"/>
        <v>0.99701640974639483</v>
      </c>
      <c r="CN29" s="2730">
        <f t="shared" si="65"/>
        <v>0</v>
      </c>
      <c r="CO29" s="2722">
        <v>4190</v>
      </c>
      <c r="CP29" s="2730">
        <f t="shared" si="65"/>
        <v>2.0835405271009448</v>
      </c>
      <c r="CQ29" s="2722">
        <v>4228</v>
      </c>
      <c r="CR29" s="2730">
        <f t="shared" si="65"/>
        <v>2.102436598707111</v>
      </c>
      <c r="CS29" s="2722">
        <v>4085</v>
      </c>
      <c r="CT29" s="2730">
        <f t="shared" si="65"/>
        <v>2.0313276976628543</v>
      </c>
      <c r="CU29" s="2722">
        <v>4191</v>
      </c>
      <c r="CV29" s="2730">
        <f t="shared" si="65"/>
        <v>2.0840377921432123</v>
      </c>
      <c r="CW29" s="2722">
        <v>4489</v>
      </c>
      <c r="CX29" s="2730">
        <f t="shared" si="66"/>
        <v>2.2322227747389358</v>
      </c>
      <c r="CY29" s="2722">
        <v>5077</v>
      </c>
      <c r="DA29" s="2722">
        <v>5624</v>
      </c>
      <c r="DC29" s="2722">
        <v>5469</v>
      </c>
      <c r="DE29" s="2722">
        <v>4557</v>
      </c>
      <c r="DG29" s="2722">
        <v>4480</v>
      </c>
      <c r="DI29" s="2722">
        <v>4870</v>
      </c>
      <c r="DK29" s="2722">
        <v>4929</v>
      </c>
      <c r="DL29" s="2722" t="s">
        <v>1718</v>
      </c>
    </row>
    <row r="30" spans="1:116" s="10" customFormat="1" ht="16.5" customHeight="1" thickBot="1">
      <c r="A30" s="119">
        <v>31</v>
      </c>
      <c r="B30" s="120" t="s">
        <v>180</v>
      </c>
      <c r="C30" s="121" t="str">
        <f t="shared" ca="1" si="36"/>
        <v>{"entscheidVom":"04.11.2025","begrundung":"Gar keine Begründung","unterstutzungab":"01.11.2025"}</v>
      </c>
      <c r="D30" s="56"/>
      <c r="E30" s="109" t="str">
        <f t="shared" ca="1" si="31"/>
        <v>{"entscheidVom":"04.11.2025","begrundung":"Gar keine Begründung","unterstutzungab":"01.11.2025"}</v>
      </c>
      <c r="F30" s="609" t="s">
        <v>181</v>
      </c>
      <c r="G30" s="615" t="str">
        <f ca="1">TEXT(TEXT(TODAY(),"DD")&amp;"."&amp;TEXT(TODAY(),"MM")&amp;"."&amp;TEXT(TODAY(),"YYYY"),"DD.MM.YYYY")</f>
        <v>04.11.2025</v>
      </c>
      <c r="H30" s="609" t="s">
        <v>182</v>
      </c>
      <c r="I30" s="611" t="s">
        <v>183</v>
      </c>
      <c r="J30" s="609" t="s">
        <v>184</v>
      </c>
      <c r="K30" s="615" t="str">
        <f ca="1">"01."&amp;TEXT(TODAY(),"MM")&amp;"."&amp;TEXT(TODAY(),"YYYY")</f>
        <v>01.11.2025</v>
      </c>
      <c r="L30" s="609" t="s">
        <v>37</v>
      </c>
      <c r="M30" s="611"/>
      <c r="N30" s="609"/>
      <c r="O30" s="611"/>
      <c r="P30" s="609"/>
      <c r="Q30" s="611"/>
      <c r="R30" s="609"/>
      <c r="S30" s="611"/>
      <c r="T30" s="609"/>
      <c r="U30" s="611"/>
      <c r="V30" s="609"/>
      <c r="W30" s="611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48">
        <v>10495</v>
      </c>
      <c r="AJ30" s="96"/>
      <c r="AK30" s="4"/>
      <c r="AL30" s="56">
        <v>10709</v>
      </c>
      <c r="AM30" s="14">
        <f t="shared" si="2"/>
        <v>1.0203906622201049</v>
      </c>
      <c r="AN30" s="56">
        <v>10873</v>
      </c>
      <c r="AO30" s="14">
        <f t="shared" si="2"/>
        <v>1.0360171510242973</v>
      </c>
      <c r="AP30" s="56">
        <v>11340</v>
      </c>
      <c r="AQ30" s="14">
        <f t="shared" ref="AQ30:AY31" si="69">AP30/($AI30)</f>
        <v>1.0805145307289186</v>
      </c>
      <c r="AR30" s="56">
        <v>10826</v>
      </c>
      <c r="AS30" s="14">
        <f t="shared" si="69"/>
        <v>1.0315388280133397</v>
      </c>
      <c r="AT30" s="56">
        <v>11092</v>
      </c>
      <c r="AU30" s="14">
        <f t="shared" si="69"/>
        <v>1.0568842305859933</v>
      </c>
      <c r="AV30" s="56">
        <v>11079</v>
      </c>
      <c r="AW30" s="14">
        <f t="shared" si="69"/>
        <v>1.0556455454978562</v>
      </c>
      <c r="AX30" s="56">
        <v>10608</v>
      </c>
      <c r="AY30" s="14">
        <f t="shared" si="69"/>
        <v>1.010767031919962</v>
      </c>
      <c r="AZ30" s="56">
        <v>2528</v>
      </c>
      <c r="BA30" s="56"/>
      <c r="BB30" s="2">
        <v>2494</v>
      </c>
      <c r="BC30" s="14">
        <f t="shared" si="63"/>
        <v>0.23763696998570749</v>
      </c>
      <c r="BD30" s="2">
        <v>4818</v>
      </c>
      <c r="BE30" s="14">
        <f t="shared" si="63"/>
        <v>0.45907575035731302</v>
      </c>
      <c r="BF30" s="2">
        <v>4986</v>
      </c>
      <c r="BG30" s="14">
        <f t="shared" si="63"/>
        <v>0.47508337303477849</v>
      </c>
      <c r="BH30" s="2">
        <v>4682</v>
      </c>
      <c r="BI30" s="14">
        <f t="shared" si="63"/>
        <v>0.44611719866603144</v>
      </c>
      <c r="BK30" s="10">
        <v>5051</v>
      </c>
      <c r="BL30" s="14">
        <f t="shared" si="64"/>
        <v>0.48127679847546451</v>
      </c>
      <c r="BM30" s="10">
        <v>5031</v>
      </c>
      <c r="BN30" s="14">
        <f t="shared" si="65"/>
        <v>0.47937112910909957</v>
      </c>
      <c r="BO30" s="10">
        <v>5232</v>
      </c>
      <c r="BP30" s="14">
        <f t="shared" si="65"/>
        <v>0.49852310624106716</v>
      </c>
      <c r="BQ30" s="10">
        <v>4963</v>
      </c>
      <c r="BR30" s="14">
        <f t="shared" si="65"/>
        <v>0.47289185326345878</v>
      </c>
      <c r="BS30" s="10">
        <v>5160</v>
      </c>
      <c r="BT30" s="14">
        <f t="shared" si="65"/>
        <v>0.49166269652215339</v>
      </c>
      <c r="BU30" s="10">
        <v>5138</v>
      </c>
      <c r="BV30" s="14">
        <f t="shared" si="65"/>
        <v>0.48956646021915196</v>
      </c>
      <c r="BW30" s="10">
        <v>5040</v>
      </c>
      <c r="BX30" s="14">
        <f t="shared" si="65"/>
        <v>0.48022868032396382</v>
      </c>
      <c r="BY30" s="10">
        <v>5220</v>
      </c>
      <c r="BZ30" s="14">
        <f t="shared" si="65"/>
        <v>0.4973797046212482</v>
      </c>
      <c r="CA30" s="10">
        <v>5673</v>
      </c>
      <c r="CB30" s="14">
        <f t="shared" si="65"/>
        <v>0.54054311576941405</v>
      </c>
      <c r="CC30" s="10">
        <v>4745</v>
      </c>
      <c r="CD30" s="14">
        <f t="shared" si="65"/>
        <v>0.45212005717008097</v>
      </c>
      <c r="CE30" s="10">
        <v>2293</v>
      </c>
      <c r="CF30" s="14">
        <f t="shared" si="65"/>
        <v>0.21848499285373987</v>
      </c>
      <c r="CG30" s="10">
        <v>2166</v>
      </c>
      <c r="CH30" s="14">
        <f t="shared" si="65"/>
        <v>0.20638399237732252</v>
      </c>
      <c r="CI30" s="10">
        <v>2801</v>
      </c>
      <c r="CJ30" s="14">
        <f t="shared" si="65"/>
        <v>0.26688899475940925</v>
      </c>
      <c r="CK30" s="10">
        <v>4114</v>
      </c>
      <c r="CL30" s="14">
        <f t="shared" si="65"/>
        <v>0.39199618866126729</v>
      </c>
      <c r="CM30" s="10">
        <v>4135</v>
      </c>
      <c r="CN30" s="14">
        <f t="shared" si="65"/>
        <v>0.39399714149595044</v>
      </c>
      <c r="CO30" s="10">
        <v>14738</v>
      </c>
      <c r="CP30" s="14">
        <f t="shared" si="65"/>
        <v>1.4042877560743212</v>
      </c>
      <c r="CQ30" s="10">
        <v>6010</v>
      </c>
      <c r="CR30" s="14">
        <f t="shared" si="65"/>
        <v>0.57265364459266321</v>
      </c>
      <c r="CS30" s="10">
        <v>6012</v>
      </c>
      <c r="CT30" s="14">
        <f t="shared" si="65"/>
        <v>0.57284421152929965</v>
      </c>
      <c r="CU30" s="10">
        <v>6009</v>
      </c>
      <c r="CV30" s="14">
        <f t="shared" si="65"/>
        <v>0.57255836112434488</v>
      </c>
      <c r="CW30" s="10">
        <v>6010</v>
      </c>
      <c r="CX30" s="14">
        <f t="shared" si="66"/>
        <v>0.57265364459266321</v>
      </c>
      <c r="CY30" s="10">
        <v>6006</v>
      </c>
      <c r="DA30" s="10">
        <v>6013</v>
      </c>
      <c r="DC30" s="10">
        <v>6017</v>
      </c>
      <c r="DE30" s="10">
        <v>6006</v>
      </c>
      <c r="DG30" s="10">
        <v>6014</v>
      </c>
      <c r="DI30" s="10">
        <v>6004</v>
      </c>
      <c r="DK30" s="10">
        <v>6009</v>
      </c>
      <c r="DL30" s="10" t="s">
        <v>1718</v>
      </c>
    </row>
    <row r="31" spans="1:116" s="2722" customFormat="1" ht="16.5" customHeight="1" thickBot="1">
      <c r="A31" s="2721">
        <v>50</v>
      </c>
      <c r="B31" s="2722" t="s">
        <v>22</v>
      </c>
      <c r="C31" s="2723" t="s">
        <v>280</v>
      </c>
      <c r="D31" s="2724"/>
      <c r="E31" s="2725"/>
      <c r="F31" s="2726"/>
      <c r="G31" s="2727"/>
      <c r="H31" s="2727"/>
      <c r="I31" s="2727"/>
      <c r="J31" s="2727"/>
      <c r="K31" s="2727"/>
      <c r="L31" s="2727"/>
      <c r="M31" s="2727"/>
      <c r="N31" s="2727"/>
      <c r="O31" s="2727"/>
      <c r="P31" s="2727"/>
      <c r="Q31" s="2727"/>
      <c r="R31" s="2727"/>
      <c r="S31" s="2727"/>
      <c r="T31" s="2727"/>
      <c r="U31" s="2727"/>
      <c r="V31" s="2727"/>
      <c r="W31" s="2727"/>
      <c r="X31" s="2724"/>
      <c r="Y31" s="2724"/>
      <c r="Z31" s="2724"/>
      <c r="AA31" s="2724"/>
      <c r="AB31" s="2724"/>
      <c r="AC31" s="2724"/>
      <c r="AD31" s="2724"/>
      <c r="AE31" s="2724"/>
      <c r="AF31" s="2724"/>
      <c r="AG31" s="2724"/>
      <c r="AH31" s="2724"/>
      <c r="AI31" s="2724">
        <v>2011</v>
      </c>
      <c r="AJ31" s="2728"/>
      <c r="AK31" s="2729"/>
      <c r="AL31" s="2724">
        <v>2008</v>
      </c>
      <c r="AM31" s="2730">
        <f t="shared" si="2"/>
        <v>0.99850820487319747</v>
      </c>
      <c r="AN31" s="2724">
        <v>2011</v>
      </c>
      <c r="AO31" s="2730">
        <f t="shared" si="2"/>
        <v>1</v>
      </c>
      <c r="AP31" s="2724"/>
      <c r="AQ31" s="2730">
        <f t="shared" si="69"/>
        <v>0</v>
      </c>
      <c r="AR31" s="2724">
        <v>2013</v>
      </c>
      <c r="AS31" s="2730">
        <f t="shared" si="69"/>
        <v>1.0009945300845351</v>
      </c>
      <c r="AT31" s="2724">
        <v>2020</v>
      </c>
      <c r="AU31" s="2730">
        <f t="shared" si="69"/>
        <v>1.0044753853804078</v>
      </c>
      <c r="AV31" s="2724">
        <v>2017</v>
      </c>
      <c r="AW31" s="2730">
        <f t="shared" si="69"/>
        <v>1.0029835902536051</v>
      </c>
      <c r="AX31" s="2724">
        <v>2019</v>
      </c>
      <c r="AY31" s="2730">
        <f t="shared" si="69"/>
        <v>1.0039781203381402</v>
      </c>
      <c r="AZ31" s="2724">
        <v>2013</v>
      </c>
      <c r="BA31" s="2724"/>
      <c r="BB31" s="2724">
        <v>341</v>
      </c>
      <c r="BC31" s="2730">
        <f t="shared" ref="BC31" si="70">BB31/($AI31)</f>
        <v>0.16956737941322725</v>
      </c>
      <c r="BD31" s="2724">
        <v>2007</v>
      </c>
      <c r="BE31" s="2730">
        <f t="shared" ref="BE31" si="71">BD31/($AI31)</f>
        <v>0.99801093983092992</v>
      </c>
      <c r="BF31" s="2724">
        <v>2003</v>
      </c>
      <c r="BG31" s="2730">
        <f t="shared" ref="BG31" si="72">BF31/($AI31)</f>
        <v>0.99602187966185973</v>
      </c>
      <c r="BH31" s="2724">
        <v>2009</v>
      </c>
      <c r="BI31" s="2730">
        <f t="shared" ref="BI31" si="73">BH31/($AI31)</f>
        <v>0.99900546991546491</v>
      </c>
      <c r="BK31" s="2722">
        <v>2019</v>
      </c>
      <c r="BL31" s="2730">
        <f t="shared" ref="BL31" si="74">BK31/($AI31)</f>
        <v>1.0039781203381402</v>
      </c>
      <c r="BM31" s="2722">
        <v>2008</v>
      </c>
      <c r="BN31" s="2730">
        <f t="shared" ref="BN31" si="75">BM31/($AI31)</f>
        <v>0.99850820487319747</v>
      </c>
      <c r="BO31" s="2722">
        <v>2005</v>
      </c>
      <c r="BP31" s="2730">
        <f t="shared" ref="BP31" si="76">BO31/($AI31)</f>
        <v>0.99701640974639483</v>
      </c>
      <c r="BQ31" s="2722">
        <v>2012</v>
      </c>
      <c r="BR31" s="2730">
        <f t="shared" ref="BR31" si="77">BQ31/($AI31)</f>
        <v>1.0004972650422674</v>
      </c>
      <c r="BS31" s="2722">
        <v>2004</v>
      </c>
      <c r="BT31" s="2730">
        <f t="shared" ref="BT31" si="78">BS31/($AI31)</f>
        <v>0.99651914470412728</v>
      </c>
      <c r="BU31" s="2722">
        <v>2005</v>
      </c>
      <c r="BV31" s="2730">
        <f t="shared" ref="BV31" si="79">BU31/($AI31)</f>
        <v>0.99701640974639483</v>
      </c>
      <c r="BW31" s="2722">
        <v>2013</v>
      </c>
      <c r="BX31" s="2730">
        <f t="shared" ref="BX31" si="80">BW31/($AI31)</f>
        <v>1.0009945300845351</v>
      </c>
      <c r="BY31" s="2722">
        <v>2013</v>
      </c>
      <c r="BZ31" s="2730">
        <f t="shared" ref="BZ31" si="81">BY31/($AI31)</f>
        <v>1.0009945300845351</v>
      </c>
      <c r="CA31" s="2722">
        <v>2006</v>
      </c>
      <c r="CB31" s="2730">
        <f t="shared" ref="CB31" si="82">CA31/($AI31)</f>
        <v>0.99751367478866237</v>
      </c>
      <c r="CC31" s="2722">
        <v>2006</v>
      </c>
      <c r="CD31" s="2730">
        <f t="shared" ref="CD31" si="83">CC31/($AI31)</f>
        <v>0.99751367478866237</v>
      </c>
      <c r="CE31" s="2722">
        <v>2015</v>
      </c>
      <c r="CF31" s="2730">
        <f t="shared" ref="CF31:CV31" si="84">CE31/($AI31)</f>
        <v>1.0019890601690702</v>
      </c>
      <c r="CG31" s="2722">
        <v>2010</v>
      </c>
      <c r="CH31" s="2730">
        <f t="shared" si="84"/>
        <v>0.99950273495773245</v>
      </c>
      <c r="CI31" s="2722">
        <v>2012</v>
      </c>
      <c r="CJ31" s="2730">
        <f t="shared" si="84"/>
        <v>1.0004972650422674</v>
      </c>
      <c r="CK31" s="2722">
        <v>2005</v>
      </c>
      <c r="CL31" s="2730">
        <f t="shared" si="84"/>
        <v>0.99701640974639483</v>
      </c>
      <c r="CN31" s="2730">
        <f t="shared" si="84"/>
        <v>0</v>
      </c>
      <c r="CO31" s="2722">
        <v>3307</v>
      </c>
      <c r="CP31" s="2730">
        <f t="shared" si="84"/>
        <v>1.6444554947787171</v>
      </c>
      <c r="CQ31" s="2722">
        <v>12881</v>
      </c>
      <c r="CR31" s="2730">
        <f t="shared" si="84"/>
        <v>6.4052710094480361</v>
      </c>
      <c r="CS31" s="2722">
        <v>16955</v>
      </c>
      <c r="CT31" s="2730">
        <f t="shared" si="84"/>
        <v>8.4311287916459481</v>
      </c>
      <c r="CU31" s="2722">
        <v>17778</v>
      </c>
      <c r="CV31" s="2730">
        <f t="shared" si="84"/>
        <v>8.8403779214321236</v>
      </c>
      <c r="CW31" s="2722">
        <v>21192</v>
      </c>
      <c r="CX31" s="2730">
        <f t="shared" si="66"/>
        <v>10.538040775733466</v>
      </c>
      <c r="CY31" s="2722">
        <v>21674</v>
      </c>
      <c r="DA31" s="2722">
        <v>13839</v>
      </c>
      <c r="DC31" s="2722">
        <v>12390</v>
      </c>
      <c r="DE31" s="2722">
        <v>15752</v>
      </c>
      <c r="DG31" s="3452">
        <v>0</v>
      </c>
      <c r="DH31" s="3453" t="s">
        <v>1520</v>
      </c>
      <c r="DI31" s="2722">
        <v>19532</v>
      </c>
      <c r="DK31" s="2722">
        <v>13228</v>
      </c>
      <c r="DL31" s="2722" t="s">
        <v>1718</v>
      </c>
    </row>
    <row r="32" spans="1:116" s="10" customFormat="1" ht="16.5" customHeight="1" thickBot="1">
      <c r="A32" s="116"/>
      <c r="B32" s="11" t="s">
        <v>185</v>
      </c>
      <c r="C32" s="121" t="str">
        <f ca="1">E32</f>
        <v>{"ubernahmeWohnkostenCFH":"100","uebernahmeWohnkostenVon":"01.11.2025","uebernahmeWohnkostenBis":"27.01.2026","uebernahemBegruendung":"Die Wohnungen sind teuer hier"}</v>
      </c>
      <c r="D32" s="56"/>
      <c r="E32" s="109" t="str">
        <f ca="1">F32&amp;G32&amp;H32&amp;I32&amp;J32&amp;K32&amp;L32&amp;M32&amp;N32&amp;O32&amp;P32&amp;Q32&amp;R32&amp;S32&amp;T32&amp;U32&amp;V32&amp;W32&amp;X32</f>
        <v>{"ubernahmeWohnkostenCFH":"100","uebernahmeWohnkostenVon":"01.11.2025","uebernahmeWohnkostenBis":"27.01.2026","uebernahemBegruendung":"Die Wohnungen sind teuer hier"}</v>
      </c>
      <c r="F32" s="609" t="s">
        <v>186</v>
      </c>
      <c r="G32" s="611">
        <v>100</v>
      </c>
      <c r="H32" s="611" t="s">
        <v>187</v>
      </c>
      <c r="I32" s="615" t="str">
        <f ca="1">"01."&amp;TEXT(TODAY(),"MM")&amp;"."&amp;TEXT(TODAY(),"YYYY")</f>
        <v>01.11.2025</v>
      </c>
      <c r="J32" s="611" t="s">
        <v>188</v>
      </c>
      <c r="K32" s="615" t="str">
        <f ca="1">"27."&amp;TEXT(MONTH(TODAY()+180),"MM")&amp;"."&amp;YEAR(TODAY()+180)</f>
        <v>27.01.2026</v>
      </c>
      <c r="L32" s="609" t="s">
        <v>189</v>
      </c>
      <c r="M32" s="611" t="s">
        <v>190</v>
      </c>
      <c r="N32" s="609" t="s">
        <v>37</v>
      </c>
      <c r="O32" s="611"/>
      <c r="P32" s="611"/>
      <c r="Q32" s="611"/>
      <c r="R32" s="611"/>
      <c r="S32" s="611"/>
      <c r="T32" s="611"/>
      <c r="U32" s="611"/>
      <c r="V32" s="611"/>
      <c r="W32" s="611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48">
        <v>4020</v>
      </c>
      <c r="AJ32" s="96"/>
      <c r="AK32" s="4"/>
      <c r="AL32" s="56">
        <v>11003</v>
      </c>
      <c r="AM32" s="14">
        <f>AL32/($AI32)</f>
        <v>2.7370646766169155</v>
      </c>
      <c r="AN32" s="56">
        <v>11012</v>
      </c>
      <c r="AO32" s="14">
        <f t="shared" si="2"/>
        <v>2.7393034825870646</v>
      </c>
      <c r="AP32" s="56">
        <v>11006</v>
      </c>
      <c r="AQ32" s="14">
        <f>AP32/($AI32)</f>
        <v>2.7378109452736319</v>
      </c>
      <c r="AR32" s="56">
        <v>5009</v>
      </c>
      <c r="AS32" s="14">
        <f>AR32/($AI32)</f>
        <v>1.2460199004975125</v>
      </c>
      <c r="AT32" s="56">
        <v>5011</v>
      </c>
      <c r="AU32" s="14">
        <f>AT32/($AI32)</f>
        <v>1.2465174129353234</v>
      </c>
      <c r="AV32" s="56">
        <v>5008</v>
      </c>
      <c r="AW32" s="14">
        <f>AV32/($AI32)</f>
        <v>1.245771144278607</v>
      </c>
      <c r="AX32" s="56">
        <v>5012</v>
      </c>
      <c r="AY32" s="14">
        <f>AX32/($AI32)</f>
        <v>1.2467661691542289</v>
      </c>
      <c r="AZ32" s="56">
        <v>5024</v>
      </c>
      <c r="BA32" s="56"/>
      <c r="BB32" s="2">
        <v>5015</v>
      </c>
      <c r="BC32" s="14">
        <f>BB32/($AI32)</f>
        <v>1.2475124378109452</v>
      </c>
      <c r="BD32" s="2">
        <v>10299</v>
      </c>
      <c r="BE32" s="14">
        <f>BD32/($AI32)</f>
        <v>2.5619402985074626</v>
      </c>
      <c r="BF32" s="2">
        <v>10599</v>
      </c>
      <c r="BG32" s="14">
        <f>BF32/($AI32)</f>
        <v>2.6365671641791044</v>
      </c>
      <c r="BH32" s="2">
        <v>10000</v>
      </c>
      <c r="BI32" s="14">
        <f>BH32/($AI32)</f>
        <v>2.4875621890547261</v>
      </c>
      <c r="BK32" s="10">
        <v>11394</v>
      </c>
      <c r="BL32" s="14">
        <f>BK32/($AI32)</f>
        <v>2.8343283582089551</v>
      </c>
      <c r="BM32" s="10">
        <v>11719</v>
      </c>
      <c r="BN32" s="14">
        <f>BM32/($AI32)</f>
        <v>2.9151741293532338</v>
      </c>
      <c r="BO32" s="10">
        <v>11299</v>
      </c>
      <c r="BP32" s="14">
        <f>BO32/($AI32)</f>
        <v>2.8106965174129352</v>
      </c>
      <c r="BQ32" s="10">
        <v>12154</v>
      </c>
      <c r="BR32" s="14">
        <f>BQ32/($AI32)</f>
        <v>3.0233830845771146</v>
      </c>
      <c r="BS32" s="10">
        <v>11838</v>
      </c>
      <c r="BT32" s="14">
        <f>BS32/($AI32)</f>
        <v>2.9447761194029849</v>
      </c>
      <c r="BU32" s="10">
        <v>12116</v>
      </c>
      <c r="BV32" s="14">
        <f>BU32/($AI32)</f>
        <v>3.0139303482587065</v>
      </c>
      <c r="BW32" s="10">
        <v>11604</v>
      </c>
      <c r="BX32" s="14">
        <f>BW32/($AI32)</f>
        <v>2.8865671641791044</v>
      </c>
      <c r="BY32" s="10">
        <v>11074</v>
      </c>
      <c r="BZ32" s="14">
        <f>BY32/($AI32)</f>
        <v>2.7547263681592038</v>
      </c>
      <c r="CA32" s="10">
        <v>11733</v>
      </c>
      <c r="CB32" s="14">
        <f>CA32/($AI32)</f>
        <v>2.9186567164179102</v>
      </c>
      <c r="CC32" s="10">
        <v>11719</v>
      </c>
      <c r="CD32" s="14">
        <f>CC32/($AI32)</f>
        <v>2.9151741293532338</v>
      </c>
      <c r="CE32" s="10">
        <v>10325</v>
      </c>
      <c r="CF32" s="14">
        <f>CE32/($AI32)</f>
        <v>2.5684079601990049</v>
      </c>
      <c r="CG32" s="10">
        <v>9157</v>
      </c>
      <c r="CH32" s="14">
        <f>CG32/($AI32)</f>
        <v>2.2778606965174131</v>
      </c>
      <c r="CI32" s="10">
        <v>9700</v>
      </c>
      <c r="CJ32" s="14">
        <f>CI32/($AI32)</f>
        <v>2.4129353233830844</v>
      </c>
      <c r="CK32" s="10">
        <v>18332</v>
      </c>
      <c r="CL32" s="14">
        <f>CK32/($AI32)</f>
        <v>4.5601990049751242</v>
      </c>
      <c r="CM32" s="10">
        <v>11574</v>
      </c>
      <c r="CN32" s="14">
        <f>CM32/($AI32)</f>
        <v>2.8791044776119401</v>
      </c>
      <c r="CO32" s="1986">
        <v>0</v>
      </c>
      <c r="CP32" s="14">
        <f>CO32/($AI32)</f>
        <v>0</v>
      </c>
      <c r="CQ32" s="10">
        <v>6015</v>
      </c>
      <c r="CR32" s="14">
        <f>CQ32/($AI32)</f>
        <v>1.4962686567164178</v>
      </c>
      <c r="CS32" s="10">
        <v>6006</v>
      </c>
      <c r="CT32" s="14">
        <f>CS32/($AI32)</f>
        <v>1.4940298507462686</v>
      </c>
      <c r="CU32" s="10">
        <v>6015</v>
      </c>
      <c r="CV32" s="14">
        <f>CU32/($AI32)</f>
        <v>1.4962686567164178</v>
      </c>
      <c r="CW32" s="10">
        <v>6003</v>
      </c>
      <c r="CX32" s="14">
        <f>CW32/($AI32)</f>
        <v>1.4932835820895523</v>
      </c>
      <c r="CY32" s="10">
        <v>6010</v>
      </c>
    </row>
    <row r="33" spans="1:116" s="2722" customFormat="1" ht="16.5" customHeight="1" thickBot="1">
      <c r="A33" s="2721">
        <v>50</v>
      </c>
      <c r="B33" s="2722" t="s">
        <v>22</v>
      </c>
      <c r="C33" s="2723" t="s">
        <v>280</v>
      </c>
      <c r="D33" s="2724"/>
      <c r="E33" s="2725"/>
      <c r="F33" s="2726"/>
      <c r="G33" s="2727"/>
      <c r="H33" s="2727"/>
      <c r="I33" s="2727"/>
      <c r="J33" s="2727"/>
      <c r="K33" s="2727"/>
      <c r="L33" s="2727"/>
      <c r="M33" s="2727"/>
      <c r="N33" s="2727"/>
      <c r="O33" s="2727"/>
      <c r="P33" s="2727"/>
      <c r="Q33" s="2727"/>
      <c r="R33" s="2727"/>
      <c r="S33" s="2727"/>
      <c r="T33" s="2727"/>
      <c r="U33" s="2727"/>
      <c r="V33" s="2727"/>
      <c r="W33" s="2727"/>
      <c r="X33" s="2724"/>
      <c r="Y33" s="2724"/>
      <c r="Z33" s="2724"/>
      <c r="AA33" s="2724"/>
      <c r="AB33" s="2724"/>
      <c r="AC33" s="2724"/>
      <c r="AD33" s="2724"/>
      <c r="AE33" s="2724"/>
      <c r="AF33" s="2724"/>
      <c r="AG33" s="2724"/>
      <c r="AH33" s="2724"/>
      <c r="AI33" s="2724">
        <v>2011</v>
      </c>
      <c r="AJ33" s="2728"/>
      <c r="AK33" s="2729"/>
      <c r="AL33" s="2724">
        <v>2008</v>
      </c>
      <c r="AM33" s="2730">
        <f t="shared" ref="AM33" si="85">AL33/($AI33)</f>
        <v>0.99850820487319747</v>
      </c>
      <c r="AN33" s="2724">
        <v>2011</v>
      </c>
      <c r="AO33" s="2730">
        <f t="shared" ref="AO33" si="86">AN33/($AI33)</f>
        <v>1</v>
      </c>
      <c r="AP33" s="2724"/>
      <c r="AQ33" s="2730">
        <f t="shared" ref="AQ33" si="87">AP33/($AI33)</f>
        <v>0</v>
      </c>
      <c r="AR33" s="2724">
        <v>2013</v>
      </c>
      <c r="AS33" s="2730">
        <f t="shared" ref="AS33" si="88">AR33/($AI33)</f>
        <v>1.0009945300845351</v>
      </c>
      <c r="AT33" s="2724">
        <v>2020</v>
      </c>
      <c r="AU33" s="2730">
        <f t="shared" ref="AU33" si="89">AT33/($AI33)</f>
        <v>1.0044753853804078</v>
      </c>
      <c r="AV33" s="2724">
        <v>2017</v>
      </c>
      <c r="AW33" s="2730">
        <f t="shared" ref="AW33" si="90">AV33/($AI33)</f>
        <v>1.0029835902536051</v>
      </c>
      <c r="AX33" s="2724">
        <v>2019</v>
      </c>
      <c r="AY33" s="2730">
        <f t="shared" ref="AY33" si="91">AX33/($AI33)</f>
        <v>1.0039781203381402</v>
      </c>
      <c r="AZ33" s="2724">
        <v>2013</v>
      </c>
      <c r="BA33" s="2724"/>
      <c r="BB33" s="2724">
        <v>341</v>
      </c>
      <c r="BC33" s="2730">
        <f t="shared" ref="BC33" si="92">BB33/($AI33)</f>
        <v>0.16956737941322725</v>
      </c>
      <c r="BD33" s="2724">
        <v>2007</v>
      </c>
      <c r="BE33" s="2730">
        <f t="shared" ref="BE33" si="93">BD33/($AI33)</f>
        <v>0.99801093983092992</v>
      </c>
      <c r="BF33" s="2724">
        <v>2003</v>
      </c>
      <c r="BG33" s="2730">
        <f t="shared" ref="BG33" si="94">BF33/($AI33)</f>
        <v>0.99602187966185973</v>
      </c>
      <c r="BH33" s="2724">
        <v>2009</v>
      </c>
      <c r="BI33" s="2730">
        <f t="shared" ref="BI33" si="95">BH33/($AI33)</f>
        <v>0.99900546991546491</v>
      </c>
      <c r="BK33" s="2722">
        <v>2019</v>
      </c>
      <c r="BL33" s="2730">
        <f t="shared" ref="BL33" si="96">BK33/($AI33)</f>
        <v>1.0039781203381402</v>
      </c>
      <c r="BM33" s="2722">
        <v>2008</v>
      </c>
      <c r="BN33" s="2730">
        <f t="shared" ref="BN33" si="97">BM33/($AI33)</f>
        <v>0.99850820487319747</v>
      </c>
      <c r="BO33" s="2722">
        <v>2005</v>
      </c>
      <c r="BP33" s="2730">
        <f t="shared" ref="BP33" si="98">BO33/($AI33)</f>
        <v>0.99701640974639483</v>
      </c>
      <c r="BQ33" s="2722">
        <v>2012</v>
      </c>
      <c r="BR33" s="2730">
        <f t="shared" ref="BR33" si="99">BQ33/($AI33)</f>
        <v>1.0004972650422674</v>
      </c>
      <c r="BS33" s="2722">
        <v>2004</v>
      </c>
      <c r="BT33" s="2730">
        <f t="shared" ref="BT33" si="100">BS33/($AI33)</f>
        <v>0.99651914470412728</v>
      </c>
      <c r="BU33" s="2722">
        <v>2005</v>
      </c>
      <c r="BV33" s="2730">
        <f t="shared" ref="BV33" si="101">BU33/($AI33)</f>
        <v>0.99701640974639483</v>
      </c>
      <c r="BW33" s="2722">
        <v>2013</v>
      </c>
      <c r="BX33" s="2730">
        <f t="shared" ref="BX33" si="102">BW33/($AI33)</f>
        <v>1.0009945300845351</v>
      </c>
      <c r="BY33" s="2722">
        <v>2013</v>
      </c>
      <c r="BZ33" s="2730">
        <f t="shared" ref="BZ33" si="103">BY33/($AI33)</f>
        <v>1.0009945300845351</v>
      </c>
      <c r="CA33" s="2722">
        <v>2006</v>
      </c>
      <c r="CB33" s="2730">
        <f t="shared" ref="CB33" si="104">CA33/($AI33)</f>
        <v>0.99751367478866237</v>
      </c>
      <c r="CC33" s="2722">
        <v>2006</v>
      </c>
      <c r="CD33" s="2730">
        <f t="shared" ref="CD33" si="105">CC33/($AI33)</f>
        <v>0.99751367478866237</v>
      </c>
      <c r="CE33" s="2722">
        <v>2015</v>
      </c>
      <c r="CF33" s="2730">
        <f t="shared" ref="CF33" si="106">CE33/($AI33)</f>
        <v>1.0019890601690702</v>
      </c>
      <c r="CG33" s="2722">
        <v>2010</v>
      </c>
      <c r="CH33" s="2730">
        <f t="shared" ref="CH33" si="107">CG33/($AI33)</f>
        <v>0.99950273495773245</v>
      </c>
      <c r="CI33" s="2722">
        <v>2012</v>
      </c>
      <c r="CJ33" s="2730">
        <f t="shared" ref="CJ33" si="108">CI33/($AI33)</f>
        <v>1.0004972650422674</v>
      </c>
      <c r="CK33" s="2722">
        <v>2005</v>
      </c>
      <c r="CL33" s="2730">
        <f t="shared" ref="CL33" si="109">CK33/($AI33)</f>
        <v>0.99701640974639483</v>
      </c>
      <c r="CN33" s="2730">
        <f t="shared" ref="CN33" si="110">CM33/($AI33)</f>
        <v>0</v>
      </c>
      <c r="CO33" s="2722">
        <v>3307</v>
      </c>
      <c r="CP33" s="2730">
        <f t="shared" ref="CP33" si="111">CO33/($AI33)</f>
        <v>1.6444554947787171</v>
      </c>
      <c r="CQ33" s="2722">
        <v>12881</v>
      </c>
      <c r="CR33" s="2730">
        <f t="shared" ref="CR33" si="112">CQ33/($AI33)</f>
        <v>6.4052710094480361</v>
      </c>
      <c r="CS33" s="2722">
        <v>16955</v>
      </c>
      <c r="CT33" s="2730">
        <f t="shared" ref="CT33" si="113">CS33/($AI33)</f>
        <v>8.4311287916459481</v>
      </c>
      <c r="CU33" s="2722">
        <v>17778</v>
      </c>
      <c r="CV33" s="2730">
        <f t="shared" ref="CV33" si="114">CU33/($AI33)</f>
        <v>8.8403779214321236</v>
      </c>
      <c r="CW33" s="2722">
        <v>3806</v>
      </c>
      <c r="CX33" s="2730">
        <f t="shared" ref="CX33:CX49" si="115">CW33/($AI33)</f>
        <v>1.8925907508702138</v>
      </c>
      <c r="CY33" s="2722">
        <v>1914</v>
      </c>
      <c r="DA33" s="2722">
        <v>6014</v>
      </c>
      <c r="DC33" s="2722">
        <v>6014</v>
      </c>
      <c r="DE33" s="2722">
        <v>6033</v>
      </c>
      <c r="DG33" s="2722">
        <v>609</v>
      </c>
      <c r="DI33" s="2722">
        <v>6005</v>
      </c>
      <c r="DK33" s="2722">
        <v>6011</v>
      </c>
      <c r="DL33" s="2722" t="s">
        <v>1718</v>
      </c>
    </row>
    <row r="34" spans="1:116" s="10" customFormat="1" ht="16.5" customHeight="1" thickBot="1">
      <c r="A34" s="119">
        <v>35</v>
      </c>
      <c r="B34" s="120" t="s">
        <v>191</v>
      </c>
      <c r="C34" s="121" t="str">
        <f ca="1">E34</f>
        <v>{"lEvonDate":"01.11.2025","lEbisDate":"03.05.2026","checkStatus":"In Bearbeitung"}</v>
      </c>
      <c r="D34" s="82"/>
      <c r="E34" s="83" t="str">
        <f ca="1">F34&amp;G34&amp;H34&amp;I34&amp;J34&amp;K34&amp;L34&amp;M34&amp;N34&amp;O34&amp;P34&amp;Q34&amp;R34&amp;S34&amp;T34&amp;U34&amp;V34&amp;W34&amp;X34</f>
        <v>{"lEvonDate":"01.11.2025","lEbisDate":"03.05.2026","checkStatus":"In Bearbeitung"}</v>
      </c>
      <c r="F34" s="609" t="s">
        <v>192</v>
      </c>
      <c r="G34" s="615" t="str">
        <f ca="1">K30</f>
        <v>01.11.2025</v>
      </c>
      <c r="H34" s="609" t="s">
        <v>193</v>
      </c>
      <c r="I34" s="615" t="str">
        <f ca="1">TEXT(TEXT(TODAY()+180,"DD")&amp;"."&amp;TEXT(TODAY()+180,"MM")&amp;"."&amp;TEXT(TODAY()+180,"YYYY"),"DD.MM.YYYY")</f>
        <v>03.05.2026</v>
      </c>
      <c r="J34" s="609" t="s">
        <v>132</v>
      </c>
      <c r="K34" s="611" t="s">
        <v>133</v>
      </c>
      <c r="L34" s="609" t="s">
        <v>37</v>
      </c>
      <c r="M34" s="611"/>
      <c r="N34" s="609"/>
      <c r="O34" s="611"/>
      <c r="P34" s="609"/>
      <c r="Q34" s="611"/>
      <c r="R34" s="609"/>
      <c r="S34" s="611"/>
      <c r="T34" s="609"/>
      <c r="U34" s="611"/>
      <c r="V34" s="609"/>
      <c r="W34" s="611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48">
        <v>1017</v>
      </c>
      <c r="AJ34" s="96"/>
      <c r="AK34" s="4"/>
      <c r="AL34" s="82">
        <v>1014</v>
      </c>
      <c r="AM34" s="14">
        <f t="shared" si="2"/>
        <v>0.99705014749262533</v>
      </c>
      <c r="AN34" s="82">
        <v>1009</v>
      </c>
      <c r="AO34" s="14">
        <f t="shared" si="2"/>
        <v>0.99213372664700095</v>
      </c>
      <c r="AP34" s="82">
        <v>1008</v>
      </c>
      <c r="AQ34" s="14">
        <f t="shared" ref="AQ34:AY34" si="116">AP34/($AI34)</f>
        <v>0.99115044247787609</v>
      </c>
      <c r="AR34" s="82">
        <v>1017</v>
      </c>
      <c r="AS34" s="14">
        <f t="shared" si="116"/>
        <v>1</v>
      </c>
      <c r="AT34" s="82">
        <v>1017</v>
      </c>
      <c r="AU34" s="14">
        <f t="shared" si="116"/>
        <v>1</v>
      </c>
      <c r="AV34" s="82">
        <v>1026</v>
      </c>
      <c r="AW34" s="14">
        <f t="shared" si="116"/>
        <v>1.0088495575221239</v>
      </c>
      <c r="AX34" s="82">
        <v>1017</v>
      </c>
      <c r="AY34" s="14">
        <f t="shared" si="116"/>
        <v>1</v>
      </c>
      <c r="AZ34" s="82">
        <v>1008</v>
      </c>
      <c r="BA34" s="82"/>
      <c r="BB34" s="2">
        <v>1010</v>
      </c>
      <c r="BC34" s="14">
        <f t="shared" ref="BC34:BI49" si="117">BB34/($AI34)</f>
        <v>0.99311701081612591</v>
      </c>
      <c r="BD34" s="2">
        <v>1944</v>
      </c>
      <c r="BE34" s="14">
        <f t="shared" si="117"/>
        <v>1.9115044247787611</v>
      </c>
      <c r="BF34" s="2">
        <v>1688</v>
      </c>
      <c r="BG34" s="14">
        <f t="shared" si="117"/>
        <v>1.6597836774827925</v>
      </c>
      <c r="BH34" s="2">
        <v>1920</v>
      </c>
      <c r="BI34" s="14">
        <f t="shared" si="117"/>
        <v>1.887905604719764</v>
      </c>
      <c r="BK34" s="10">
        <v>2307</v>
      </c>
      <c r="BL34" s="14">
        <f t="shared" ref="BL34:BL49" si="118">BK34/($AI34)</f>
        <v>2.2684365781710913</v>
      </c>
      <c r="BM34" s="10">
        <v>14554</v>
      </c>
      <c r="BN34" s="14">
        <f t="shared" ref="BN34:CR49" si="119">BM34/($AI34)</f>
        <v>14.310717797443461</v>
      </c>
      <c r="BO34" s="10">
        <v>3635</v>
      </c>
      <c r="BP34" s="14">
        <f t="shared" si="119"/>
        <v>3.574237954768928</v>
      </c>
      <c r="BQ34" s="10">
        <v>2244</v>
      </c>
      <c r="BR34" s="14">
        <f t="shared" si="119"/>
        <v>2.2064896755162242</v>
      </c>
      <c r="BS34" s="10">
        <v>2073</v>
      </c>
      <c r="BT34" s="14">
        <f t="shared" si="119"/>
        <v>2.0383480825958702</v>
      </c>
      <c r="BU34" s="10">
        <v>2891</v>
      </c>
      <c r="BV34" s="14">
        <f t="shared" si="119"/>
        <v>2.8426745329400198</v>
      </c>
      <c r="BW34" s="10">
        <v>2123</v>
      </c>
      <c r="BX34" s="14">
        <f t="shared" si="119"/>
        <v>2.0875122910521142</v>
      </c>
      <c r="BY34" s="10">
        <v>1907</v>
      </c>
      <c r="BZ34" s="14">
        <f t="shared" si="119"/>
        <v>1.8751229105211407</v>
      </c>
      <c r="CA34" s="10">
        <v>2856</v>
      </c>
      <c r="CB34" s="14">
        <f t="shared" si="119"/>
        <v>2.808259587020649</v>
      </c>
      <c r="CC34" s="10">
        <v>1540</v>
      </c>
      <c r="CD34" s="14">
        <f t="shared" si="119"/>
        <v>1.5142576204523108</v>
      </c>
      <c r="CE34" s="10">
        <v>2090</v>
      </c>
      <c r="CF34" s="14">
        <f t="shared" si="119"/>
        <v>2.0550639134709932</v>
      </c>
      <c r="CG34" s="10">
        <v>1762</v>
      </c>
      <c r="CH34" s="14">
        <f t="shared" si="119"/>
        <v>1.7325467059980335</v>
      </c>
      <c r="CI34" s="10">
        <v>3116</v>
      </c>
      <c r="CJ34" s="14">
        <f t="shared" si="119"/>
        <v>3.0639134709931168</v>
      </c>
      <c r="CK34" s="10">
        <v>8023</v>
      </c>
      <c r="CL34" s="14">
        <f t="shared" si="119"/>
        <v>7.8888888888888893</v>
      </c>
      <c r="CM34" s="10">
        <v>3465</v>
      </c>
      <c r="CN34" s="14">
        <f t="shared" si="119"/>
        <v>3.4070796460176993</v>
      </c>
      <c r="CO34" s="10">
        <v>196</v>
      </c>
      <c r="CP34" s="14">
        <f t="shared" si="119"/>
        <v>0.1927236971484759</v>
      </c>
      <c r="CQ34" s="10">
        <v>1972</v>
      </c>
      <c r="CR34" s="14">
        <f t="shared" si="119"/>
        <v>1.9390363815142577</v>
      </c>
      <c r="CS34" s="10">
        <v>3836</v>
      </c>
      <c r="CT34" s="14">
        <f t="shared" ref="CT34:CT49" si="120">CS34/($AI34)</f>
        <v>3.7718780727630286</v>
      </c>
      <c r="CU34" s="10">
        <v>6759</v>
      </c>
      <c r="CV34" s="14">
        <f t="shared" ref="CV34:CV49" si="121">CU34/($AI34)</f>
        <v>6.6460176991150446</v>
      </c>
      <c r="CW34" s="10">
        <v>6021</v>
      </c>
      <c r="CX34" s="14">
        <f t="shared" si="115"/>
        <v>5.9203539823008846</v>
      </c>
      <c r="CY34" s="10">
        <v>6015</v>
      </c>
      <c r="DA34" s="10">
        <v>6018</v>
      </c>
      <c r="DC34" s="10">
        <v>6010</v>
      </c>
      <c r="DE34" s="10">
        <v>6016</v>
      </c>
      <c r="DI34" s="10">
        <v>6017</v>
      </c>
      <c r="DK34" s="10">
        <v>6008</v>
      </c>
      <c r="DL34" s="10" t="s">
        <v>1718</v>
      </c>
    </row>
    <row r="35" spans="1:116" s="10" customFormat="1" ht="16.5" customHeight="1">
      <c r="A35" s="119"/>
      <c r="B35" s="120" t="s">
        <v>134</v>
      </c>
      <c r="C35" s="121" t="str">
        <f t="shared" ref="C35" si="122">E35</f>
        <v>{"username":"aventis-gemeinde-ma@diartis.ch","password":"#xFymiADPk7wJG/FWMz"}</v>
      </c>
      <c r="D35" s="82"/>
      <c r="E35" s="83" t="str">
        <f t="shared" ref="E35" si="123">F35&amp;G35&amp;H35&amp;I35&amp;J35&amp;K35&amp;L35&amp;M35&amp;N35&amp;O35&amp;P35&amp;Q35&amp;R35&amp;S35&amp;T35&amp;U35&amp;V35&amp;W35&amp;X35</f>
        <v>{"username":"aventis-gemeinde-ma@diartis.ch","password":"#xFymiADPk7wJG/FWMz"}</v>
      </c>
      <c r="F35" s="609" t="s">
        <v>29</v>
      </c>
      <c r="G35" s="617" t="s">
        <v>195</v>
      </c>
      <c r="H35" s="609" t="s">
        <v>31</v>
      </c>
      <c r="I35" s="618" t="s">
        <v>196</v>
      </c>
      <c r="J35" s="609" t="s">
        <v>37</v>
      </c>
      <c r="K35" s="614"/>
      <c r="L35" s="609"/>
      <c r="M35" s="611"/>
      <c r="N35" s="609"/>
      <c r="O35" s="611"/>
      <c r="P35" s="609"/>
      <c r="Q35" s="611"/>
      <c r="R35" s="609"/>
      <c r="S35" s="611"/>
      <c r="T35" s="609"/>
      <c r="U35" s="611"/>
      <c r="V35" s="609"/>
      <c r="W35" s="611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48">
        <v>6252</v>
      </c>
      <c r="AJ35" s="96"/>
      <c r="AK35" s="4"/>
      <c r="AL35" s="82">
        <v>33296</v>
      </c>
      <c r="AM35" s="14">
        <f t="shared" ref="AM35" si="124">AL35/($AI35)</f>
        <v>5.3256557901471533</v>
      </c>
      <c r="AN35" s="82">
        <v>16126</v>
      </c>
      <c r="AO35" s="14">
        <f t="shared" ref="AO35" si="125">AN35/($AI35)</f>
        <v>2.5793346129238643</v>
      </c>
      <c r="AP35" s="82">
        <v>16536</v>
      </c>
      <c r="AQ35" s="14">
        <f t="shared" ref="AQ35:AY35" si="126">AP35/($AI35)</f>
        <v>2.6449136276391556</v>
      </c>
      <c r="AR35" s="82">
        <v>15591</v>
      </c>
      <c r="AS35" s="14">
        <f t="shared" si="126"/>
        <v>2.4937619961612283</v>
      </c>
      <c r="AT35" s="82">
        <v>15851</v>
      </c>
      <c r="AU35" s="14">
        <f t="shared" si="126"/>
        <v>2.5353486884197056</v>
      </c>
      <c r="AV35" s="82">
        <v>15658</v>
      </c>
      <c r="AW35" s="14">
        <f t="shared" si="126"/>
        <v>2.5044785668586051</v>
      </c>
      <c r="AX35" s="82">
        <v>15381</v>
      </c>
      <c r="AY35" s="14">
        <f t="shared" si="126"/>
        <v>2.4601727447216892</v>
      </c>
      <c r="AZ35" s="82">
        <v>9955</v>
      </c>
      <c r="BA35" s="82"/>
      <c r="BB35" s="2">
        <v>9081</v>
      </c>
      <c r="BC35" s="14">
        <f t="shared" si="117"/>
        <v>1.4524952015355086</v>
      </c>
      <c r="BD35" s="2">
        <v>3011</v>
      </c>
      <c r="BE35" s="14">
        <f t="shared" si="117"/>
        <v>0.48160588611644273</v>
      </c>
      <c r="BF35" s="2">
        <v>3016</v>
      </c>
      <c r="BG35" s="14">
        <f t="shared" si="117"/>
        <v>0.48240563019833654</v>
      </c>
      <c r="BH35" s="2">
        <v>3014</v>
      </c>
      <c r="BI35" s="14">
        <f t="shared" si="117"/>
        <v>0.48208573256557902</v>
      </c>
      <c r="BK35" s="10">
        <v>3016</v>
      </c>
      <c r="BL35" s="14">
        <f t="shared" si="118"/>
        <v>0.48240563019833654</v>
      </c>
      <c r="BM35" s="10">
        <v>3001</v>
      </c>
      <c r="BN35" s="14">
        <f t="shared" si="119"/>
        <v>0.48000639795265515</v>
      </c>
      <c r="BO35" s="10">
        <v>11735</v>
      </c>
      <c r="BP35" s="14">
        <f t="shared" si="119"/>
        <v>1.8769993602047346</v>
      </c>
      <c r="BQ35" s="10">
        <v>11939</v>
      </c>
      <c r="BR35" s="14">
        <f t="shared" si="119"/>
        <v>1.9096289187460014</v>
      </c>
      <c r="BS35" s="10">
        <v>11640</v>
      </c>
      <c r="BT35" s="14">
        <f t="shared" si="119"/>
        <v>1.8618042226487523</v>
      </c>
      <c r="BU35" s="10">
        <v>12070</v>
      </c>
      <c r="BV35" s="14">
        <f t="shared" si="119"/>
        <v>1.9305822136916186</v>
      </c>
      <c r="BW35" s="10">
        <v>11865</v>
      </c>
      <c r="BX35" s="14">
        <f t="shared" si="119"/>
        <v>1.8977927063339732</v>
      </c>
      <c r="BY35" s="10">
        <v>11535</v>
      </c>
      <c r="BZ35" s="14">
        <f t="shared" si="119"/>
        <v>1.8450095969289828</v>
      </c>
      <c r="CA35" s="10">
        <v>11390</v>
      </c>
      <c r="CB35" s="14">
        <f t="shared" si="119"/>
        <v>1.8218170185540628</v>
      </c>
      <c r="CC35" s="10">
        <v>11301</v>
      </c>
      <c r="CD35" s="14">
        <f t="shared" si="119"/>
        <v>1.8075815738963532</v>
      </c>
      <c r="CE35" s="10">
        <v>10988</v>
      </c>
      <c r="CF35" s="14">
        <f t="shared" si="119"/>
        <v>1.7575175943698016</v>
      </c>
      <c r="CG35" s="10">
        <v>11485</v>
      </c>
      <c r="CH35" s="14">
        <f t="shared" si="119"/>
        <v>1.8370121561100448</v>
      </c>
      <c r="CI35" s="10">
        <v>11082</v>
      </c>
      <c r="CJ35" s="14">
        <f t="shared" si="119"/>
        <v>1.772552783109405</v>
      </c>
      <c r="CK35" s="10">
        <v>15056</v>
      </c>
      <c r="CL35" s="14">
        <f t="shared" si="119"/>
        <v>2.4081893793985922</v>
      </c>
      <c r="CM35" s="1980">
        <v>0</v>
      </c>
      <c r="CN35" s="14">
        <f t="shared" si="119"/>
        <v>0</v>
      </c>
      <c r="CP35" s="14">
        <f t="shared" si="119"/>
        <v>0</v>
      </c>
      <c r="CR35" s="14">
        <f t="shared" si="119"/>
        <v>0</v>
      </c>
      <c r="CT35" s="14">
        <f t="shared" si="120"/>
        <v>0</v>
      </c>
      <c r="CV35" s="14">
        <f t="shared" si="121"/>
        <v>0</v>
      </c>
      <c r="CX35" s="14">
        <f t="shared" si="115"/>
        <v>0</v>
      </c>
    </row>
    <row r="36" spans="1:116" s="10" customFormat="1" ht="16.5" customHeight="1">
      <c r="A36" s="119">
        <v>37</v>
      </c>
      <c r="B36" s="120" t="s">
        <v>134</v>
      </c>
      <c r="C36" s="121" t="str">
        <f t="shared" ref="C36:C40" si="127">E36</f>
        <v>{"username":"Bern.Sachbearbeiterin@diartis.ch","password":"XXxa22?pdTA66-S@"}</v>
      </c>
      <c r="D36" s="82"/>
      <c r="E36" s="83" t="str">
        <f t="shared" ref="E36:E44" si="128">F36&amp;G36&amp;H36&amp;I36&amp;J36&amp;K36&amp;L36&amp;M36&amp;N36&amp;O36&amp;P36&amp;Q36&amp;R36&amp;S36&amp;T36&amp;U36&amp;V36&amp;W36&amp;X36</f>
        <v>{"username":"Bern.Sachbearbeiterin@diartis.ch","password":"XXxa22?pdTA66-S@"}</v>
      </c>
      <c r="F36" s="609" t="s">
        <v>29</v>
      </c>
      <c r="G36" s="617" t="s">
        <v>30</v>
      </c>
      <c r="H36" s="609" t="s">
        <v>31</v>
      </c>
      <c r="I36" s="618" t="s">
        <v>32</v>
      </c>
      <c r="J36" s="609" t="s">
        <v>37</v>
      </c>
      <c r="K36" s="614"/>
      <c r="L36" s="609"/>
      <c r="M36" s="611"/>
      <c r="N36" s="609"/>
      <c r="O36" s="611"/>
      <c r="P36" s="609"/>
      <c r="Q36" s="611"/>
      <c r="R36" s="609"/>
      <c r="S36" s="611"/>
      <c r="T36" s="609"/>
      <c r="U36" s="611"/>
      <c r="V36" s="609"/>
      <c r="W36" s="611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48">
        <v>3004</v>
      </c>
      <c r="AJ36" s="96"/>
      <c r="AK36" s="4"/>
      <c r="AL36" s="82">
        <v>3008</v>
      </c>
      <c r="AM36" s="14">
        <f t="shared" si="2"/>
        <v>1.0013315579227697</v>
      </c>
      <c r="AN36" s="82">
        <v>3006</v>
      </c>
      <c r="AO36" s="14">
        <f t="shared" si="2"/>
        <v>1.0006657789613849</v>
      </c>
      <c r="AP36" s="82">
        <v>3006</v>
      </c>
      <c r="AQ36" s="14">
        <f t="shared" ref="AQ36:AY36" si="129">AP36/($AI36)</f>
        <v>1.0006657789613849</v>
      </c>
      <c r="AR36" s="82">
        <v>3010</v>
      </c>
      <c r="AS36" s="14">
        <f t="shared" si="129"/>
        <v>1.0019973368841544</v>
      </c>
      <c r="AT36" s="82">
        <v>3018</v>
      </c>
      <c r="AU36" s="14">
        <f t="shared" si="129"/>
        <v>1.0046604527296938</v>
      </c>
      <c r="AV36" s="82">
        <v>3006</v>
      </c>
      <c r="AW36" s="14">
        <f t="shared" si="129"/>
        <v>1.0006657789613849</v>
      </c>
      <c r="AX36" s="82">
        <v>3008</v>
      </c>
      <c r="AY36" s="14">
        <f t="shared" si="129"/>
        <v>1.0013315579227697</v>
      </c>
      <c r="AZ36" s="82">
        <v>3007</v>
      </c>
      <c r="BA36" s="82"/>
      <c r="BB36" s="2">
        <v>3008</v>
      </c>
      <c r="BC36" s="14">
        <f t="shared" si="117"/>
        <v>1.0013315579227697</v>
      </c>
      <c r="BD36" s="2">
        <v>9135</v>
      </c>
      <c r="BE36" s="14">
        <f t="shared" si="117"/>
        <v>3.0409454061251666</v>
      </c>
      <c r="BF36" s="2">
        <v>8411</v>
      </c>
      <c r="BG36" s="14">
        <f t="shared" si="117"/>
        <v>2.7999334221038614</v>
      </c>
      <c r="BH36" s="2">
        <v>9333</v>
      </c>
      <c r="BI36" s="14">
        <f t="shared" si="117"/>
        <v>3.1068575233022635</v>
      </c>
      <c r="BK36" s="10">
        <v>9239</v>
      </c>
      <c r="BL36" s="14">
        <f t="shared" si="118"/>
        <v>3.075565912117177</v>
      </c>
      <c r="BM36" s="10">
        <v>9147</v>
      </c>
      <c r="BN36" s="14">
        <f t="shared" si="119"/>
        <v>3.0449400798934754</v>
      </c>
      <c r="BO36" s="10">
        <v>9040</v>
      </c>
      <c r="BP36" s="14">
        <f t="shared" si="119"/>
        <v>3.0093209054593877</v>
      </c>
      <c r="BQ36" s="10">
        <v>9123</v>
      </c>
      <c r="BR36" s="14">
        <f t="shared" si="119"/>
        <v>3.0369507323568574</v>
      </c>
      <c r="BS36" s="10">
        <v>8586</v>
      </c>
      <c r="BT36" s="14">
        <f t="shared" si="119"/>
        <v>2.8581890812250332</v>
      </c>
      <c r="BU36" s="10">
        <v>9534</v>
      </c>
      <c r="BV36" s="14">
        <f t="shared" si="119"/>
        <v>3.1737683089214381</v>
      </c>
      <c r="BW36" s="10">
        <v>9301</v>
      </c>
      <c r="BX36" s="14">
        <f t="shared" si="119"/>
        <v>3.0962050599201065</v>
      </c>
      <c r="BY36" s="10">
        <v>8449</v>
      </c>
      <c r="BZ36" s="14">
        <f t="shared" si="119"/>
        <v>2.812583222370173</v>
      </c>
      <c r="CA36" s="10">
        <v>9063</v>
      </c>
      <c r="CB36" s="14">
        <f t="shared" si="119"/>
        <v>3.0169773635153128</v>
      </c>
      <c r="CC36" s="10">
        <v>9298</v>
      </c>
      <c r="CD36" s="14">
        <f t="shared" si="119"/>
        <v>3.0952063914780292</v>
      </c>
      <c r="CE36" s="10">
        <v>8311</v>
      </c>
      <c r="CF36" s="14">
        <f t="shared" si="119"/>
        <v>2.7666444740346203</v>
      </c>
      <c r="CG36" s="10">
        <v>9275</v>
      </c>
      <c r="CH36" s="14">
        <f t="shared" si="119"/>
        <v>3.0875499334221037</v>
      </c>
      <c r="CI36" s="10">
        <v>8399</v>
      </c>
      <c r="CJ36" s="14">
        <f t="shared" si="119"/>
        <v>2.7959387483355527</v>
      </c>
      <c r="CK36" s="10">
        <v>10005</v>
      </c>
      <c r="CL36" s="14">
        <f t="shared" si="119"/>
        <v>3.3305592543275631</v>
      </c>
      <c r="CM36" s="10">
        <v>172</v>
      </c>
      <c r="CN36" s="14">
        <f t="shared" si="119"/>
        <v>5.7256990679094538E-2</v>
      </c>
      <c r="CP36" s="14">
        <f t="shared" si="119"/>
        <v>0</v>
      </c>
      <c r="CQ36" s="10">
        <v>294017</v>
      </c>
      <c r="CR36" s="14">
        <f t="shared" si="119"/>
        <v>97.875166444740344</v>
      </c>
      <c r="CS36" s="10">
        <v>118678</v>
      </c>
      <c r="CT36" s="14">
        <f t="shared" si="120"/>
        <v>39.506657789613847</v>
      </c>
      <c r="CU36" s="10">
        <v>14585</v>
      </c>
      <c r="CV36" s="14">
        <f t="shared" si="121"/>
        <v>4.8551930758988018</v>
      </c>
      <c r="CW36" s="10">
        <v>10114</v>
      </c>
      <c r="CX36" s="14">
        <f t="shared" si="115"/>
        <v>3.3668442077230361</v>
      </c>
      <c r="CY36" s="10">
        <v>10975</v>
      </c>
      <c r="DA36" s="10">
        <v>9055</v>
      </c>
      <c r="DC36" s="10">
        <v>11049</v>
      </c>
      <c r="DE36" s="10">
        <v>9630</v>
      </c>
      <c r="DI36" s="10">
        <v>18127</v>
      </c>
      <c r="DK36" s="10">
        <v>8270</v>
      </c>
      <c r="DL36" s="10" t="s">
        <v>1718</v>
      </c>
    </row>
    <row r="37" spans="1:116" s="10" customFormat="1" ht="16.5" customHeight="1">
      <c r="A37" s="119">
        <v>39</v>
      </c>
      <c r="B37" s="601" t="s">
        <v>197</v>
      </c>
      <c r="C37" s="121" t="str">
        <f>E37</f>
        <v>{"dossier":p.DossierName1,"buttonName":"Prüfung OK","checkStatus":"In Bearbeitung"}</v>
      </c>
      <c r="D37" s="82"/>
      <c r="E37" s="83" t="str">
        <f t="shared" si="128"/>
        <v>{"dossier":p.DossierName1,"buttonName":"Prüfung OK","checkStatus":"In Bearbeitung"}</v>
      </c>
      <c r="F37" s="609" t="s">
        <v>159</v>
      </c>
      <c r="G37" s="611" t="str">
        <f>'001a'!$G$12</f>
        <v>p.DossierName1</v>
      </c>
      <c r="H37" s="609" t="s">
        <v>198</v>
      </c>
      <c r="I37" s="611" t="s">
        <v>199</v>
      </c>
      <c r="J37" s="609" t="s">
        <v>132</v>
      </c>
      <c r="K37" s="611" t="s">
        <v>133</v>
      </c>
      <c r="L37" s="609" t="s">
        <v>37</v>
      </c>
      <c r="M37" s="611"/>
      <c r="N37" s="609"/>
      <c r="O37" s="611"/>
      <c r="P37" s="609"/>
      <c r="Q37" s="611"/>
      <c r="R37" s="609"/>
      <c r="S37" s="611"/>
      <c r="T37" s="609"/>
      <c r="U37" s="611"/>
      <c r="V37" s="609"/>
      <c r="W37" s="611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48">
        <v>4023</v>
      </c>
      <c r="AJ37" s="96"/>
      <c r="AK37" s="4"/>
      <c r="AL37" s="82">
        <v>4008</v>
      </c>
      <c r="AM37" s="14">
        <f t="shared" si="2"/>
        <v>0.99627143922445938</v>
      </c>
      <c r="AN37" s="82">
        <v>4008</v>
      </c>
      <c r="AO37" s="14">
        <f t="shared" si="2"/>
        <v>0.99627143922445938</v>
      </c>
      <c r="AP37" s="82">
        <v>4007</v>
      </c>
      <c r="AQ37" s="14">
        <f t="shared" ref="AQ37:AY37" si="130">AP37/($AI37)</f>
        <v>0.99602286850609001</v>
      </c>
      <c r="AR37" s="82">
        <v>4006</v>
      </c>
      <c r="AS37" s="14">
        <f t="shared" si="130"/>
        <v>0.99577429778772064</v>
      </c>
      <c r="AT37" s="82">
        <v>4029</v>
      </c>
      <c r="AU37" s="14">
        <f t="shared" si="130"/>
        <v>1.0014914243102162</v>
      </c>
      <c r="AV37" s="82">
        <v>4009</v>
      </c>
      <c r="AW37" s="14">
        <f t="shared" si="130"/>
        <v>0.99652000994282874</v>
      </c>
      <c r="AX37" s="82">
        <v>4006</v>
      </c>
      <c r="AY37" s="14">
        <f t="shared" si="130"/>
        <v>0.99577429778772064</v>
      </c>
      <c r="AZ37" s="82">
        <v>4010</v>
      </c>
      <c r="BA37" s="82"/>
      <c r="BB37" s="2">
        <v>4000</v>
      </c>
      <c r="BC37" s="14">
        <f t="shared" si="117"/>
        <v>0.99428287347750433</v>
      </c>
      <c r="BD37" s="2">
        <v>4016</v>
      </c>
      <c r="BE37" s="14">
        <f t="shared" si="117"/>
        <v>0.99826000497141432</v>
      </c>
      <c r="BF37" s="2">
        <v>4007</v>
      </c>
      <c r="BG37" s="14">
        <f t="shared" si="117"/>
        <v>0.99602286850609001</v>
      </c>
      <c r="BH37" s="2">
        <v>4008</v>
      </c>
      <c r="BI37" s="14">
        <f t="shared" si="117"/>
        <v>0.99627143922445938</v>
      </c>
      <c r="BK37" s="10">
        <v>4011</v>
      </c>
      <c r="BL37" s="14">
        <f t="shared" si="118"/>
        <v>0.99701715137956748</v>
      </c>
      <c r="BM37" s="10">
        <v>4008</v>
      </c>
      <c r="BN37" s="14">
        <f t="shared" si="119"/>
        <v>0.99627143922445938</v>
      </c>
      <c r="BO37" s="10">
        <v>10990</v>
      </c>
      <c r="BP37" s="14">
        <f t="shared" si="119"/>
        <v>2.7317921948794432</v>
      </c>
      <c r="BQ37" s="10">
        <v>10413</v>
      </c>
      <c r="BR37" s="14">
        <f t="shared" si="119"/>
        <v>2.5883668903803132</v>
      </c>
      <c r="BS37" s="10">
        <v>11494</v>
      </c>
      <c r="BT37" s="14">
        <f t="shared" si="119"/>
        <v>2.8570718369376089</v>
      </c>
      <c r="BU37" s="10">
        <v>11609</v>
      </c>
      <c r="BV37" s="14">
        <f t="shared" si="119"/>
        <v>2.885657469550087</v>
      </c>
      <c r="BW37" s="10">
        <v>10326</v>
      </c>
      <c r="BX37" s="14">
        <f t="shared" si="119"/>
        <v>2.5667412378821775</v>
      </c>
      <c r="BY37" s="10">
        <v>10779</v>
      </c>
      <c r="BZ37" s="14">
        <f t="shared" si="119"/>
        <v>2.679343773303505</v>
      </c>
      <c r="CA37" s="10">
        <v>10140</v>
      </c>
      <c r="CB37" s="14">
        <f t="shared" si="119"/>
        <v>2.5205070842654735</v>
      </c>
      <c r="CC37" s="10">
        <v>10588</v>
      </c>
      <c r="CD37" s="14">
        <f t="shared" si="119"/>
        <v>2.6318667660949542</v>
      </c>
      <c r="CE37" s="10">
        <v>11170</v>
      </c>
      <c r="CF37" s="14">
        <f t="shared" si="119"/>
        <v>2.7765349241859307</v>
      </c>
      <c r="CG37" s="10">
        <v>9876</v>
      </c>
      <c r="CH37" s="14">
        <f t="shared" si="119"/>
        <v>2.4548844146159583</v>
      </c>
      <c r="CI37" s="10">
        <v>10803</v>
      </c>
      <c r="CJ37" s="14">
        <f t="shared" si="119"/>
        <v>2.6853094705443699</v>
      </c>
      <c r="CK37" s="10">
        <v>12080</v>
      </c>
      <c r="CL37" s="14">
        <f t="shared" si="119"/>
        <v>3.0027342779020629</v>
      </c>
      <c r="CN37" s="14">
        <f t="shared" si="119"/>
        <v>0</v>
      </c>
      <c r="CP37" s="14">
        <f t="shared" si="119"/>
        <v>0</v>
      </c>
      <c r="CQ37" s="10">
        <v>10252</v>
      </c>
      <c r="CR37" s="14">
        <f t="shared" si="119"/>
        <v>2.5483470047228436</v>
      </c>
      <c r="CS37" s="10">
        <v>8710</v>
      </c>
      <c r="CT37" s="14">
        <f t="shared" si="120"/>
        <v>2.1650509569972658</v>
      </c>
      <c r="CU37" s="10">
        <v>8455</v>
      </c>
      <c r="CV37" s="14">
        <f t="shared" si="121"/>
        <v>2.101665423813075</v>
      </c>
      <c r="CW37" s="10">
        <v>8964</v>
      </c>
      <c r="CX37" s="14">
        <f t="shared" si="115"/>
        <v>2.2281879194630871</v>
      </c>
      <c r="CY37" s="10">
        <v>16278</v>
      </c>
      <c r="DA37" s="10">
        <v>15438</v>
      </c>
      <c r="DC37" s="10">
        <v>10657</v>
      </c>
      <c r="DE37" s="10">
        <v>11446</v>
      </c>
      <c r="DI37" s="10">
        <v>9125</v>
      </c>
      <c r="DK37" s="10">
        <v>106980</v>
      </c>
      <c r="DL37" s="10" t="s">
        <v>1718</v>
      </c>
    </row>
    <row r="38" spans="1:116" s="10" customFormat="1" ht="16.5" customHeight="1">
      <c r="A38" s="119">
        <v>40</v>
      </c>
      <c r="B38" s="120" t="s">
        <v>134</v>
      </c>
      <c r="C38" s="121" t="str">
        <f t="shared" si="127"/>
        <v>{"username":"aventis-gemeinde-ma@diartis.ch","password":"#xFymiADPk7wJG/FWMz"}</v>
      </c>
      <c r="D38" s="82"/>
      <c r="E38" s="83" t="str">
        <f t="shared" si="128"/>
        <v>{"username":"aventis-gemeinde-ma@diartis.ch","password":"#xFymiADPk7wJG/FWMz"}</v>
      </c>
      <c r="F38" s="609" t="s">
        <v>29</v>
      </c>
      <c r="G38" s="617" t="s">
        <v>195</v>
      </c>
      <c r="H38" s="609" t="s">
        <v>31</v>
      </c>
      <c r="I38" s="618" t="s">
        <v>196</v>
      </c>
      <c r="J38" s="609" t="s">
        <v>37</v>
      </c>
      <c r="K38" s="614"/>
      <c r="L38" s="609"/>
      <c r="M38" s="611"/>
      <c r="N38" s="609"/>
      <c r="O38" s="611"/>
      <c r="P38" s="609"/>
      <c r="Q38" s="611"/>
      <c r="R38" s="609"/>
      <c r="S38" s="611"/>
      <c r="T38" s="609"/>
      <c r="U38" s="611"/>
      <c r="V38" s="609"/>
      <c r="W38" s="611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48">
        <v>6252</v>
      </c>
      <c r="AJ38" s="96"/>
      <c r="AK38" s="4"/>
      <c r="AL38" s="82">
        <v>33296</v>
      </c>
      <c r="AM38" s="14">
        <f t="shared" si="2"/>
        <v>5.3256557901471533</v>
      </c>
      <c r="AN38" s="82">
        <v>16126</v>
      </c>
      <c r="AO38" s="14">
        <f t="shared" si="2"/>
        <v>2.5793346129238643</v>
      </c>
      <c r="AP38" s="82">
        <v>16536</v>
      </c>
      <c r="AQ38" s="14">
        <f t="shared" ref="AQ38:AY38" si="131">AP38/($AI38)</f>
        <v>2.6449136276391556</v>
      </c>
      <c r="AR38" s="82">
        <v>15591</v>
      </c>
      <c r="AS38" s="14">
        <f t="shared" si="131"/>
        <v>2.4937619961612283</v>
      </c>
      <c r="AT38" s="82">
        <v>15851</v>
      </c>
      <c r="AU38" s="14">
        <f t="shared" si="131"/>
        <v>2.5353486884197056</v>
      </c>
      <c r="AV38" s="82">
        <v>15658</v>
      </c>
      <c r="AW38" s="14">
        <f t="shared" si="131"/>
        <v>2.5044785668586051</v>
      </c>
      <c r="AX38" s="82">
        <v>15381</v>
      </c>
      <c r="AY38" s="14">
        <f t="shared" si="131"/>
        <v>2.4601727447216892</v>
      </c>
      <c r="AZ38" s="82">
        <v>9955</v>
      </c>
      <c r="BA38" s="82"/>
      <c r="BB38" s="2">
        <v>9081</v>
      </c>
      <c r="BC38" s="14">
        <f t="shared" si="117"/>
        <v>1.4524952015355086</v>
      </c>
      <c r="BD38" s="2">
        <v>7798</v>
      </c>
      <c r="BE38" s="14">
        <f t="shared" si="117"/>
        <v>1.2472808701215612</v>
      </c>
      <c r="BF38" s="2">
        <v>8041</v>
      </c>
      <c r="BG38" s="14">
        <f t="shared" si="117"/>
        <v>1.2861484325015995</v>
      </c>
      <c r="BH38" s="2">
        <v>7717</v>
      </c>
      <c r="BI38" s="14">
        <f t="shared" si="117"/>
        <v>1.2343250159948815</v>
      </c>
      <c r="BK38" s="10">
        <v>7691</v>
      </c>
      <c r="BL38" s="14">
        <f t="shared" si="118"/>
        <v>1.2301663467690338</v>
      </c>
      <c r="BM38" s="10">
        <v>8688</v>
      </c>
      <c r="BN38" s="14">
        <f t="shared" si="119"/>
        <v>1.3896353166986564</v>
      </c>
      <c r="BO38" s="10">
        <v>8810</v>
      </c>
      <c r="BP38" s="14">
        <f t="shared" si="119"/>
        <v>1.4091490722968649</v>
      </c>
      <c r="BQ38" s="10">
        <v>9187</v>
      </c>
      <c r="BR38" s="14">
        <f t="shared" si="119"/>
        <v>1.4694497760716572</v>
      </c>
      <c r="BS38" s="10">
        <v>8930</v>
      </c>
      <c r="BT38" s="14">
        <f t="shared" si="119"/>
        <v>1.4283429302623161</v>
      </c>
      <c r="BU38" s="10">
        <v>9653</v>
      </c>
      <c r="BV38" s="14">
        <f t="shared" si="119"/>
        <v>1.5439859245041587</v>
      </c>
      <c r="BW38" s="10">
        <v>9271</v>
      </c>
      <c r="BX38" s="14">
        <f t="shared" si="119"/>
        <v>1.4828854766474728</v>
      </c>
      <c r="BY38" s="10">
        <v>9605</v>
      </c>
      <c r="BZ38" s="14">
        <f t="shared" si="119"/>
        <v>1.5363083813179783</v>
      </c>
      <c r="CA38" s="10">
        <v>8290</v>
      </c>
      <c r="CB38" s="14">
        <f t="shared" si="119"/>
        <v>1.3259756877799105</v>
      </c>
      <c r="CC38" s="10">
        <v>8678</v>
      </c>
      <c r="CD38" s="14">
        <f t="shared" si="119"/>
        <v>1.3880358285348688</v>
      </c>
      <c r="CE38" s="10">
        <v>6401</v>
      </c>
      <c r="CF38" s="14">
        <f t="shared" si="119"/>
        <v>1.0238323736404351</v>
      </c>
      <c r="CG38" s="10">
        <v>5987</v>
      </c>
      <c r="CH38" s="14">
        <f t="shared" si="119"/>
        <v>0.95761356365962891</v>
      </c>
      <c r="CI38" s="10">
        <v>6089</v>
      </c>
      <c r="CJ38" s="14">
        <f t="shared" si="119"/>
        <v>0.97392834293026231</v>
      </c>
      <c r="CK38" s="10">
        <v>13086</v>
      </c>
      <c r="CL38" s="14">
        <f t="shared" si="119"/>
        <v>2.0930902111324374</v>
      </c>
      <c r="CN38" s="14">
        <f t="shared" si="119"/>
        <v>0</v>
      </c>
      <c r="CP38" s="14">
        <f t="shared" si="119"/>
        <v>0</v>
      </c>
      <c r="CQ38" s="10">
        <v>12221</v>
      </c>
      <c r="CR38" s="14">
        <f t="shared" si="119"/>
        <v>1.9547344849648112</v>
      </c>
      <c r="CS38" s="10">
        <v>12586</v>
      </c>
      <c r="CT38" s="14">
        <f t="shared" si="120"/>
        <v>2.0131158029430583</v>
      </c>
      <c r="CU38" s="10">
        <v>7078</v>
      </c>
      <c r="CV38" s="14">
        <f t="shared" si="121"/>
        <v>1.1321177223288548</v>
      </c>
      <c r="CW38" s="10">
        <v>11049</v>
      </c>
      <c r="CX38" s="14">
        <f t="shared" si="115"/>
        <v>1.767274472168906</v>
      </c>
      <c r="CY38" s="10">
        <v>9727</v>
      </c>
      <c r="DA38" s="10">
        <v>7582</v>
      </c>
      <c r="DC38" s="10">
        <v>6993</v>
      </c>
      <c r="DE38" s="10">
        <v>7672</v>
      </c>
      <c r="DI38" s="10">
        <v>11767</v>
      </c>
      <c r="DK38" s="10">
        <v>12094</v>
      </c>
      <c r="DL38" s="10" t="s">
        <v>1718</v>
      </c>
    </row>
    <row r="39" spans="1:116" s="10" customFormat="1" ht="16.5" customHeight="1">
      <c r="A39" s="119">
        <v>42</v>
      </c>
      <c r="B39" s="601" t="s">
        <v>197</v>
      </c>
      <c r="C39" s="121" t="str">
        <f t="shared" si="127"/>
        <v>{"dossier":p.DossierName1,"buttonName":"Bewilligen","checkStatus":"Bewilligt"}</v>
      </c>
      <c r="D39" s="82"/>
      <c r="E39" s="83" t="str">
        <f t="shared" si="128"/>
        <v>{"dossier":p.DossierName1,"buttonName":"Bewilligen","checkStatus":"Bewilligt"}</v>
      </c>
      <c r="F39" s="609" t="s">
        <v>159</v>
      </c>
      <c r="G39" s="611" t="str">
        <f>'001a'!$G$12</f>
        <v>p.DossierName1</v>
      </c>
      <c r="H39" s="609" t="s">
        <v>198</v>
      </c>
      <c r="I39" s="611" t="s">
        <v>136</v>
      </c>
      <c r="J39" s="609" t="s">
        <v>132</v>
      </c>
      <c r="K39" s="609" t="s">
        <v>137</v>
      </c>
      <c r="L39" s="609" t="s">
        <v>37</v>
      </c>
      <c r="M39" s="611"/>
      <c r="N39" s="609"/>
      <c r="O39" s="611"/>
      <c r="P39" s="609"/>
      <c r="Q39" s="611"/>
      <c r="R39" s="609"/>
      <c r="S39" s="611"/>
      <c r="T39" s="609"/>
      <c r="U39" s="611"/>
      <c r="V39" s="609"/>
      <c r="W39" s="611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48">
        <v>4015</v>
      </c>
      <c r="AJ39" s="96"/>
      <c r="AK39" s="4"/>
      <c r="AL39" s="82">
        <v>4015</v>
      </c>
      <c r="AM39" s="14">
        <f t="shared" si="2"/>
        <v>1</v>
      </c>
      <c r="AN39" s="82">
        <v>4016</v>
      </c>
      <c r="AO39" s="14">
        <f t="shared" si="2"/>
        <v>1.0002490660024907</v>
      </c>
      <c r="AP39" s="82">
        <v>4005</v>
      </c>
      <c r="AQ39" s="14">
        <f t="shared" ref="AQ39:AY39" si="132">AP39/($AI39)</f>
        <v>0.99750933997509339</v>
      </c>
      <c r="AR39" s="82">
        <v>4029</v>
      </c>
      <c r="AS39" s="14">
        <f t="shared" si="132"/>
        <v>1.0034869240348692</v>
      </c>
      <c r="AT39" s="82">
        <v>4014</v>
      </c>
      <c r="AU39" s="14">
        <f t="shared" si="132"/>
        <v>0.99975093399750936</v>
      </c>
      <c r="AV39" s="82">
        <v>4019</v>
      </c>
      <c r="AW39" s="14">
        <f t="shared" si="132"/>
        <v>1.0009962640099626</v>
      </c>
      <c r="AX39" s="82">
        <v>4005</v>
      </c>
      <c r="AY39" s="14">
        <f t="shared" si="132"/>
        <v>0.99750933997509339</v>
      </c>
      <c r="AZ39" s="82">
        <v>4020</v>
      </c>
      <c r="BA39" s="82"/>
      <c r="BB39" s="2">
        <v>4018</v>
      </c>
      <c r="BC39" s="14">
        <f t="shared" si="117"/>
        <v>1.000747198007472</v>
      </c>
      <c r="BD39" s="2">
        <v>4009</v>
      </c>
      <c r="BE39" s="14">
        <f t="shared" si="117"/>
        <v>0.99850560398505606</v>
      </c>
      <c r="BF39" s="2">
        <v>4010</v>
      </c>
      <c r="BG39" s="14">
        <f t="shared" si="117"/>
        <v>0.99875466998754669</v>
      </c>
      <c r="BH39" s="2">
        <v>4010</v>
      </c>
      <c r="BI39" s="14">
        <f t="shared" si="117"/>
        <v>0.99875466998754669</v>
      </c>
      <c r="BK39" s="10">
        <v>4014</v>
      </c>
      <c r="BL39" s="14">
        <f t="shared" si="118"/>
        <v>0.99975093399750936</v>
      </c>
      <c r="BM39" s="10">
        <v>4012</v>
      </c>
      <c r="BN39" s="14">
        <f t="shared" si="119"/>
        <v>0.99925280199252797</v>
      </c>
      <c r="BO39" s="10">
        <v>9980</v>
      </c>
      <c r="BP39" s="14">
        <f t="shared" si="119"/>
        <v>2.4856787048567872</v>
      </c>
      <c r="BQ39" s="10">
        <v>10493</v>
      </c>
      <c r="BR39" s="14">
        <f t="shared" si="119"/>
        <v>2.6134495641344957</v>
      </c>
      <c r="BS39" s="10">
        <v>10367</v>
      </c>
      <c r="BT39" s="14">
        <f t="shared" si="119"/>
        <v>2.5820672478206723</v>
      </c>
      <c r="BU39" s="10">
        <v>10616</v>
      </c>
      <c r="BV39" s="14">
        <f t="shared" si="119"/>
        <v>2.6440846824408468</v>
      </c>
      <c r="BW39" s="10">
        <v>10513</v>
      </c>
      <c r="BX39" s="14">
        <f t="shared" si="119"/>
        <v>2.6184308841843089</v>
      </c>
      <c r="BY39" s="10">
        <v>10520</v>
      </c>
      <c r="BZ39" s="14">
        <f t="shared" si="119"/>
        <v>2.6201743462017433</v>
      </c>
      <c r="CA39" s="10">
        <v>10214</v>
      </c>
      <c r="CB39" s="14">
        <f t="shared" si="119"/>
        <v>2.5439601494396014</v>
      </c>
      <c r="CC39" s="10">
        <v>9895</v>
      </c>
      <c r="CD39" s="14">
        <f t="shared" si="119"/>
        <v>2.464508094645081</v>
      </c>
      <c r="CE39" s="10">
        <v>10367</v>
      </c>
      <c r="CF39" s="14">
        <f t="shared" si="119"/>
        <v>2.5820672478206723</v>
      </c>
      <c r="CG39" s="10">
        <v>10142</v>
      </c>
      <c r="CH39" s="14">
        <f t="shared" si="119"/>
        <v>2.526027397260274</v>
      </c>
      <c r="CI39" s="10">
        <v>10162</v>
      </c>
      <c r="CJ39" s="14">
        <f t="shared" si="119"/>
        <v>2.5310087173100873</v>
      </c>
      <c r="CK39" s="10">
        <v>10156</v>
      </c>
      <c r="CL39" s="14">
        <f t="shared" si="119"/>
        <v>2.5295143212951432</v>
      </c>
      <c r="CN39" s="14">
        <f t="shared" si="119"/>
        <v>0</v>
      </c>
      <c r="CP39" s="14">
        <f t="shared" si="119"/>
        <v>0</v>
      </c>
      <c r="CQ39" s="10">
        <v>9521</v>
      </c>
      <c r="CR39" s="14">
        <f t="shared" si="119"/>
        <v>2.3713574097135739</v>
      </c>
      <c r="CS39" s="10">
        <v>9789</v>
      </c>
      <c r="CT39" s="14">
        <f t="shared" si="120"/>
        <v>2.4381070983810709</v>
      </c>
      <c r="CU39" s="10">
        <v>10266</v>
      </c>
      <c r="CV39" s="14">
        <f t="shared" si="121"/>
        <v>2.5569115815691159</v>
      </c>
      <c r="CW39" s="10">
        <v>10182</v>
      </c>
      <c r="CX39" s="14">
        <f t="shared" si="115"/>
        <v>2.5359900373599005</v>
      </c>
      <c r="CY39" s="10">
        <v>15452</v>
      </c>
      <c r="DA39" s="10">
        <v>12039</v>
      </c>
      <c r="DC39" s="10">
        <v>12588</v>
      </c>
      <c r="DE39" s="10">
        <v>11736</v>
      </c>
      <c r="DI39" s="10">
        <v>9536</v>
      </c>
      <c r="DK39" s="10">
        <v>9285</v>
      </c>
      <c r="DL39" s="10" t="s">
        <v>1718</v>
      </c>
    </row>
    <row r="40" spans="1:116" s="10" customFormat="1" ht="16.5" customHeight="1" thickBot="1">
      <c r="A40" s="119">
        <v>43</v>
      </c>
      <c r="B40" s="120" t="s">
        <v>134</v>
      </c>
      <c r="C40" s="121" t="str">
        <f t="shared" si="127"/>
        <v>{"username":"Bern.Sachbearbeiterin@diartis.ch","password":"XXxa22?pdTA66-S@"}</v>
      </c>
      <c r="D40" s="82"/>
      <c r="E40" s="83" t="str">
        <f t="shared" si="128"/>
        <v>{"username":"Bern.Sachbearbeiterin@diartis.ch","password":"XXxa22?pdTA66-S@"}</v>
      </c>
      <c r="F40" s="609" t="s">
        <v>29</v>
      </c>
      <c r="G40" s="617" t="s">
        <v>30</v>
      </c>
      <c r="H40" s="609" t="s">
        <v>31</v>
      </c>
      <c r="I40" s="618" t="s">
        <v>32</v>
      </c>
      <c r="J40" s="609" t="s">
        <v>37</v>
      </c>
      <c r="K40" s="614"/>
      <c r="L40" s="609"/>
      <c r="M40" s="611"/>
      <c r="N40" s="609"/>
      <c r="O40" s="611"/>
      <c r="P40" s="609"/>
      <c r="Q40" s="611"/>
      <c r="R40" s="609"/>
      <c r="S40" s="611"/>
      <c r="T40" s="609"/>
      <c r="U40" s="611"/>
      <c r="V40" s="609"/>
      <c r="W40" s="611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48">
        <v>8327</v>
      </c>
      <c r="AJ40" s="2"/>
      <c r="AK40" s="4"/>
      <c r="AL40" s="82">
        <v>10930</v>
      </c>
      <c r="AM40" s="14">
        <f t="shared" si="2"/>
        <v>1.3125975741563589</v>
      </c>
      <c r="AN40" s="82">
        <v>15882</v>
      </c>
      <c r="AO40" s="14">
        <f t="shared" si="2"/>
        <v>1.9072895400504384</v>
      </c>
      <c r="AP40" s="82">
        <v>16441</v>
      </c>
      <c r="AQ40" s="14">
        <f t="shared" ref="AQ40:AY40" si="133">AP40/($AI40)</f>
        <v>1.9744205596253153</v>
      </c>
      <c r="AR40" s="82">
        <v>15637</v>
      </c>
      <c r="AS40" s="14">
        <f t="shared" si="133"/>
        <v>1.8778671790560826</v>
      </c>
      <c r="AT40" s="82">
        <v>15783</v>
      </c>
      <c r="AU40" s="14">
        <f t="shared" si="133"/>
        <v>1.8954005043833313</v>
      </c>
      <c r="AV40" s="82">
        <v>15539</v>
      </c>
      <c r="AW40" s="14">
        <f t="shared" si="133"/>
        <v>1.8660982346583403</v>
      </c>
      <c r="AX40" s="82">
        <v>15242</v>
      </c>
      <c r="AY40" s="14">
        <f t="shared" si="133"/>
        <v>1.8304311276570193</v>
      </c>
      <c r="AZ40" s="82">
        <v>8439</v>
      </c>
      <c r="BA40" s="82"/>
      <c r="BB40" s="2">
        <v>8437</v>
      </c>
      <c r="BC40" s="14">
        <f t="shared" si="117"/>
        <v>1.0132100396301189</v>
      </c>
      <c r="BD40" s="2">
        <v>7603</v>
      </c>
      <c r="BE40" s="14">
        <f t="shared" si="117"/>
        <v>0.91305392097994476</v>
      </c>
      <c r="BF40" s="2">
        <v>8134</v>
      </c>
      <c r="BG40" s="14">
        <f t="shared" si="117"/>
        <v>0.97682238501260954</v>
      </c>
      <c r="BH40" s="2">
        <v>7499</v>
      </c>
      <c r="BI40" s="14">
        <f t="shared" si="117"/>
        <v>0.90056442896601419</v>
      </c>
      <c r="BK40" s="10">
        <v>8307</v>
      </c>
      <c r="BL40" s="14">
        <f t="shared" si="118"/>
        <v>0.99759817461270561</v>
      </c>
      <c r="BM40" s="10">
        <v>8658</v>
      </c>
      <c r="BN40" s="14">
        <f t="shared" si="119"/>
        <v>1.0397502101597214</v>
      </c>
      <c r="BO40" s="10">
        <v>9945</v>
      </c>
      <c r="BP40" s="14">
        <f t="shared" si="119"/>
        <v>1.1943076738321123</v>
      </c>
      <c r="BQ40" s="10">
        <v>9323</v>
      </c>
      <c r="BR40" s="14">
        <f t="shared" si="119"/>
        <v>1.1196109042872584</v>
      </c>
      <c r="BS40" s="10">
        <v>8996</v>
      </c>
      <c r="BT40" s="14">
        <f t="shared" si="119"/>
        <v>1.0803410592049958</v>
      </c>
      <c r="BU40" s="10">
        <v>9115</v>
      </c>
      <c r="BV40" s="14">
        <f t="shared" si="119"/>
        <v>1.094631920259397</v>
      </c>
      <c r="BW40" s="10">
        <v>8727</v>
      </c>
      <c r="BX40" s="14">
        <f t="shared" si="119"/>
        <v>1.0480365077458869</v>
      </c>
      <c r="BY40" s="10">
        <v>8953</v>
      </c>
      <c r="BZ40" s="14">
        <f t="shared" si="119"/>
        <v>1.0751771346223129</v>
      </c>
      <c r="CA40" s="10">
        <v>8692</v>
      </c>
      <c r="CB40" s="14">
        <f t="shared" si="119"/>
        <v>1.0438333133181217</v>
      </c>
      <c r="CC40" s="10">
        <v>8467</v>
      </c>
      <c r="CD40" s="14">
        <f t="shared" si="119"/>
        <v>1.0168127777110605</v>
      </c>
      <c r="CE40" s="10">
        <v>5939</v>
      </c>
      <c r="CF40" s="14">
        <f t="shared" si="119"/>
        <v>0.71322204875705542</v>
      </c>
      <c r="CG40" s="10">
        <v>6203</v>
      </c>
      <c r="CH40" s="14">
        <f t="shared" si="119"/>
        <v>0.74492614386934075</v>
      </c>
      <c r="CI40" s="10">
        <v>6078</v>
      </c>
      <c r="CJ40" s="14">
        <f t="shared" si="119"/>
        <v>0.72991473519875105</v>
      </c>
      <c r="CK40" s="10">
        <v>10719</v>
      </c>
      <c r="CL40" s="14">
        <f t="shared" si="119"/>
        <v>1.2872583163204034</v>
      </c>
      <c r="CN40" s="14">
        <f t="shared" si="119"/>
        <v>0</v>
      </c>
      <c r="CP40" s="14">
        <f t="shared" si="119"/>
        <v>0</v>
      </c>
      <c r="CQ40" s="10">
        <v>11273</v>
      </c>
      <c r="CR40" s="14">
        <f t="shared" si="119"/>
        <v>1.3537888795484567</v>
      </c>
      <c r="CS40" s="10">
        <v>9813</v>
      </c>
      <c r="CT40" s="14">
        <f t="shared" si="120"/>
        <v>1.1784556262759698</v>
      </c>
      <c r="CU40" s="10">
        <v>14108</v>
      </c>
      <c r="CV40" s="14">
        <f t="shared" si="121"/>
        <v>1.6942476281974301</v>
      </c>
      <c r="CW40" s="10">
        <v>11737</v>
      </c>
      <c r="CX40" s="14">
        <f t="shared" si="115"/>
        <v>1.4095112285336857</v>
      </c>
      <c r="CY40" s="10">
        <v>10053</v>
      </c>
      <c r="DA40" s="10">
        <v>8071</v>
      </c>
      <c r="DC40" s="10">
        <v>7145</v>
      </c>
      <c r="DE40" s="10">
        <v>7390</v>
      </c>
      <c r="DI40" s="10">
        <v>11451</v>
      </c>
      <c r="DK40" s="10">
        <v>14160</v>
      </c>
      <c r="DL40" s="10" t="s">
        <v>1718</v>
      </c>
    </row>
    <row r="41" spans="1:116" s="10" customFormat="1" ht="16.5" customHeight="1" thickBot="1">
      <c r="A41" s="119">
        <v>45</v>
      </c>
      <c r="B41" s="596" t="s">
        <v>139</v>
      </c>
      <c r="C41" s="121" t="str">
        <f>E41</f>
        <v>{"searchDossierOrKlient":p.DossierName1,"resultType":"Dossiers"}</v>
      </c>
      <c r="D41" s="56"/>
      <c r="E41" s="109" t="str">
        <f>F41&amp;G41&amp;H41&amp;I41&amp;J41&amp;K41&amp;L41&amp;M41&amp;N41&amp;O41&amp;P41&amp;Q41&amp;R41&amp;S41&amp;T41&amp;U41&amp;V41&amp;W41&amp;X41</f>
        <v>{"searchDossierOrKlient":p.DossierName1,"resultType":"Dossiers"}</v>
      </c>
      <c r="F41" s="609" t="s">
        <v>140</v>
      </c>
      <c r="G41" s="614" t="str">
        <f>G39</f>
        <v>p.DossierName1</v>
      </c>
      <c r="H41" s="609" t="s">
        <v>141</v>
      </c>
      <c r="I41" s="611" t="s">
        <v>142</v>
      </c>
      <c r="J41" s="609" t="s">
        <v>37</v>
      </c>
      <c r="K41" s="611"/>
      <c r="L41" s="609"/>
      <c r="M41" s="611"/>
      <c r="N41" s="609"/>
      <c r="O41" s="611"/>
      <c r="P41" s="609"/>
      <c r="Q41" s="611"/>
      <c r="R41" s="609"/>
      <c r="S41" s="611"/>
      <c r="T41" s="609"/>
      <c r="U41" s="611"/>
      <c r="V41" s="609"/>
      <c r="W41" s="611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48">
        <v>1012</v>
      </c>
      <c r="AJ41" s="96"/>
      <c r="AK41" s="4"/>
      <c r="AL41" s="56">
        <v>1009</v>
      </c>
      <c r="AM41" s="14">
        <f t="shared" si="2"/>
        <v>0.99703557312252966</v>
      </c>
      <c r="AN41" s="56">
        <v>1002</v>
      </c>
      <c r="AO41" s="14">
        <f t="shared" si="2"/>
        <v>0.99011857707509876</v>
      </c>
      <c r="AP41" s="56">
        <v>1008</v>
      </c>
      <c r="AQ41" s="14">
        <f t="shared" ref="AQ41:AY41" si="134">AP41/($AI41)</f>
        <v>0.99604743083003955</v>
      </c>
      <c r="AR41" s="56">
        <v>1015</v>
      </c>
      <c r="AS41" s="14">
        <f t="shared" si="134"/>
        <v>1.0029644268774704</v>
      </c>
      <c r="AT41" s="56">
        <v>1022</v>
      </c>
      <c r="AU41" s="14">
        <f t="shared" si="134"/>
        <v>1.0098814229249011</v>
      </c>
      <c r="AV41" s="56">
        <v>1014</v>
      </c>
      <c r="AW41" s="14">
        <f t="shared" si="134"/>
        <v>1.0019762845849802</v>
      </c>
      <c r="AX41" s="56">
        <v>1009</v>
      </c>
      <c r="AY41" s="14">
        <f t="shared" si="134"/>
        <v>0.99703557312252966</v>
      </c>
      <c r="AZ41" s="56">
        <v>1006</v>
      </c>
      <c r="BA41" s="56"/>
      <c r="BB41" s="2">
        <v>1009</v>
      </c>
      <c r="BC41" s="14">
        <f t="shared" si="117"/>
        <v>0.99703557312252966</v>
      </c>
      <c r="BD41" s="2">
        <v>1006</v>
      </c>
      <c r="BE41" s="14">
        <f t="shared" si="117"/>
        <v>0.99407114624505932</v>
      </c>
      <c r="BF41" s="2">
        <v>1003</v>
      </c>
      <c r="BG41" s="14">
        <f t="shared" si="117"/>
        <v>0.99110671936758898</v>
      </c>
      <c r="BH41" s="2">
        <v>1008</v>
      </c>
      <c r="BI41" s="14">
        <f t="shared" si="117"/>
        <v>0.99604743083003955</v>
      </c>
      <c r="BK41" s="10">
        <v>1009</v>
      </c>
      <c r="BL41" s="14">
        <f t="shared" si="118"/>
        <v>0.99703557312252966</v>
      </c>
      <c r="BM41" s="10">
        <v>1005</v>
      </c>
      <c r="BN41" s="14">
        <f t="shared" si="119"/>
        <v>0.99308300395256921</v>
      </c>
      <c r="BO41" s="10">
        <v>10207</v>
      </c>
      <c r="BP41" s="14">
        <f t="shared" si="119"/>
        <v>10.085968379446641</v>
      </c>
      <c r="BQ41" s="10">
        <v>11158</v>
      </c>
      <c r="BR41" s="14">
        <f t="shared" si="119"/>
        <v>11.025691699604742</v>
      </c>
      <c r="BS41" s="10">
        <v>10099</v>
      </c>
      <c r="BT41" s="14">
        <f t="shared" si="119"/>
        <v>9.9792490118577071</v>
      </c>
      <c r="BU41" s="10">
        <v>11236</v>
      </c>
      <c r="BV41" s="14">
        <f t="shared" si="119"/>
        <v>11.102766798418973</v>
      </c>
      <c r="BW41" s="10">
        <v>11130</v>
      </c>
      <c r="BX41" s="14">
        <f t="shared" si="119"/>
        <v>10.99802371541502</v>
      </c>
      <c r="BY41" s="10">
        <v>10977</v>
      </c>
      <c r="BZ41" s="14">
        <f t="shared" si="119"/>
        <v>10.846837944664031</v>
      </c>
      <c r="CA41" s="10">
        <v>10374</v>
      </c>
      <c r="CB41" s="14">
        <f t="shared" si="119"/>
        <v>10.25098814229249</v>
      </c>
      <c r="CC41" s="10">
        <v>10941</v>
      </c>
      <c r="CD41" s="14">
        <f t="shared" si="119"/>
        <v>10.811264822134387</v>
      </c>
      <c r="CE41" s="10">
        <v>10477</v>
      </c>
      <c r="CF41" s="14">
        <f t="shared" si="119"/>
        <v>10.352766798418973</v>
      </c>
      <c r="CG41" s="10">
        <v>10518</v>
      </c>
      <c r="CH41" s="14">
        <f t="shared" si="119"/>
        <v>10.393280632411066</v>
      </c>
      <c r="CI41" s="10">
        <v>10465</v>
      </c>
      <c r="CJ41" s="14">
        <f t="shared" si="119"/>
        <v>10.340909090909092</v>
      </c>
      <c r="CK41" s="10">
        <v>11244</v>
      </c>
      <c r="CL41" s="14">
        <f t="shared" si="119"/>
        <v>11.110671936758893</v>
      </c>
      <c r="CN41" s="14">
        <f t="shared" si="119"/>
        <v>0</v>
      </c>
      <c r="CP41" s="14">
        <f t="shared" si="119"/>
        <v>0</v>
      </c>
      <c r="CQ41" s="10">
        <v>11653</v>
      </c>
      <c r="CR41" s="14">
        <f t="shared" si="119"/>
        <v>11.514822134387352</v>
      </c>
      <c r="CS41" s="10">
        <v>9535</v>
      </c>
      <c r="CT41" s="14">
        <f t="shared" si="120"/>
        <v>9.4219367588932812</v>
      </c>
      <c r="CU41" s="10">
        <v>10393</v>
      </c>
      <c r="CV41" s="14">
        <f t="shared" si="121"/>
        <v>10.269762845849803</v>
      </c>
      <c r="CW41" s="10">
        <v>11436</v>
      </c>
      <c r="CX41" s="14">
        <f t="shared" si="115"/>
        <v>11.300395256916996</v>
      </c>
      <c r="CY41" s="10">
        <v>14854</v>
      </c>
      <c r="DA41" s="10">
        <v>12940</v>
      </c>
      <c r="DC41" s="10">
        <v>12926</v>
      </c>
      <c r="DE41" s="10">
        <v>14246</v>
      </c>
      <c r="DI41" s="10">
        <v>9573</v>
      </c>
      <c r="DK41" s="10">
        <v>10353</v>
      </c>
      <c r="DL41" s="10" t="s">
        <v>1718</v>
      </c>
    </row>
    <row r="42" spans="1:116" s="10" customFormat="1" ht="16.5" customHeight="1" thickBot="1">
      <c r="A42" s="119">
        <v>46</v>
      </c>
      <c r="B42" s="122" t="s">
        <v>200</v>
      </c>
      <c r="C42" s="121" t="str">
        <f ca="1">E42</f>
        <v xml:space="preserve">{"verwendungPeriode":"November 2025,Dezember 2025,Januar 2026,Februar 2026,März 2026,April 2026,Mai 2026","status":"Zu bezahlen"}																				
</v>
      </c>
      <c r="D42" s="82"/>
      <c r="E42" s="109" t="str">
        <f ca="1">F42&amp;G42&amp;H42&amp;I42&amp;J42&amp;K42&amp;L42&amp;M42&amp;N42&amp;O42&amp;P42&amp;Q42&amp;R42&amp;S42&amp;T42&amp;U42&amp;V42&amp;W42&amp;X42</f>
        <v xml:space="preserve">{"verwendungPeriode":"November 2025,Dezember 2025,Januar 2026,Februar 2026,März 2026,April 2026,Mai 2026","status":"Zu bezahlen"}																				
</v>
      </c>
      <c r="F42" s="609" t="s">
        <v>201</v>
      </c>
      <c r="G42" s="615" t="str">
        <f ca="1">F73&amp;","&amp;F74&amp;","&amp;F75&amp;","&amp;F76&amp;","&amp;F77&amp;","&amp;F78&amp;","&amp;F79</f>
        <v>November 2025,Dezember 2025,Januar 2026,Februar 2026,März 2026,April 2026,Mai 2026</v>
      </c>
      <c r="H42" s="609"/>
      <c r="I42" s="613"/>
      <c r="J42" s="609" t="s">
        <v>202</v>
      </c>
      <c r="K42" s="614" t="s">
        <v>203</v>
      </c>
      <c r="L42" s="146" t="s">
        <v>204</v>
      </c>
      <c r="M42" s="611"/>
      <c r="N42" s="609"/>
      <c r="O42" s="609"/>
      <c r="P42" s="611"/>
      <c r="Q42" s="611"/>
      <c r="R42" s="611"/>
      <c r="S42" s="611"/>
      <c r="T42" s="611"/>
      <c r="U42" s="611"/>
      <c r="V42" s="611"/>
      <c r="W42" s="611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48">
        <v>11232</v>
      </c>
      <c r="AJ42" s="96"/>
      <c r="AK42" s="4"/>
      <c r="AL42" s="82">
        <v>11618</v>
      </c>
      <c r="AM42" s="14">
        <f t="shared" si="2"/>
        <v>1.0343660968660968</v>
      </c>
      <c r="AN42" s="82">
        <v>11145</v>
      </c>
      <c r="AO42" s="14">
        <f t="shared" si="2"/>
        <v>0.99225427350427353</v>
      </c>
      <c r="AP42" s="82">
        <v>12036</v>
      </c>
      <c r="AQ42" s="14">
        <f t="shared" ref="AQ42:AY42" si="135">AP42/($AI42)</f>
        <v>1.0715811965811965</v>
      </c>
      <c r="AR42" s="82">
        <v>12488</v>
      </c>
      <c r="AS42" s="14">
        <f t="shared" si="135"/>
        <v>1.1118233618233617</v>
      </c>
      <c r="AT42" s="82">
        <v>12291</v>
      </c>
      <c r="AU42" s="14">
        <f t="shared" si="135"/>
        <v>1.094284188034188</v>
      </c>
      <c r="AV42" s="82">
        <v>12147</v>
      </c>
      <c r="AW42" s="14">
        <f t="shared" si="135"/>
        <v>1.0814636752136753</v>
      </c>
      <c r="AX42" s="82">
        <v>12134</v>
      </c>
      <c r="AY42" s="14">
        <f t="shared" si="135"/>
        <v>1.0803062678062678</v>
      </c>
      <c r="AZ42" s="82">
        <v>4979</v>
      </c>
      <c r="BA42" s="82"/>
      <c r="BB42" s="2">
        <v>4073</v>
      </c>
      <c r="BC42" s="14">
        <f t="shared" si="117"/>
        <v>0.36262464387464388</v>
      </c>
      <c r="BD42" s="2">
        <v>4740</v>
      </c>
      <c r="BE42" s="14">
        <f t="shared" si="117"/>
        <v>0.42200854700854701</v>
      </c>
      <c r="BF42" s="2">
        <v>4889</v>
      </c>
      <c r="BG42" s="14">
        <f t="shared" si="117"/>
        <v>0.43527421652421655</v>
      </c>
      <c r="BH42" s="2">
        <v>5343</v>
      </c>
      <c r="BI42" s="14">
        <f t="shared" si="117"/>
        <v>0.47569444444444442</v>
      </c>
      <c r="BK42" s="10">
        <v>5161</v>
      </c>
      <c r="BL42" s="14">
        <f t="shared" si="118"/>
        <v>0.45949074074074076</v>
      </c>
      <c r="BM42" s="10">
        <v>4972</v>
      </c>
      <c r="BN42" s="14">
        <f t="shared" si="119"/>
        <v>0.44266381766381768</v>
      </c>
      <c r="BO42" s="10">
        <v>6113</v>
      </c>
      <c r="BP42" s="14">
        <f t="shared" si="119"/>
        <v>0.54424857549857553</v>
      </c>
      <c r="BQ42" s="10">
        <v>6005</v>
      </c>
      <c r="BR42" s="14">
        <f t="shared" si="119"/>
        <v>0.53463319088319083</v>
      </c>
      <c r="BS42" s="10">
        <v>6078</v>
      </c>
      <c r="BT42" s="14">
        <f t="shared" si="119"/>
        <v>0.5411324786324786</v>
      </c>
      <c r="BU42" s="10">
        <v>6241</v>
      </c>
      <c r="BV42" s="14">
        <f t="shared" si="119"/>
        <v>0.55564458689458684</v>
      </c>
      <c r="BW42" s="10">
        <v>6016</v>
      </c>
      <c r="BX42" s="14">
        <f t="shared" si="119"/>
        <v>0.53561253561253563</v>
      </c>
      <c r="BY42" s="10">
        <v>6038</v>
      </c>
      <c r="BZ42" s="14">
        <f t="shared" si="119"/>
        <v>0.53757122507122512</v>
      </c>
      <c r="CA42" s="10">
        <v>6124</v>
      </c>
      <c r="CB42" s="14">
        <f t="shared" si="119"/>
        <v>0.54522792022792022</v>
      </c>
      <c r="CC42" s="10">
        <v>5372</v>
      </c>
      <c r="CD42" s="14">
        <f t="shared" si="119"/>
        <v>0.47827635327635326</v>
      </c>
      <c r="CE42" s="10">
        <v>2742</v>
      </c>
      <c r="CF42" s="14">
        <f t="shared" si="119"/>
        <v>0.24412393162393162</v>
      </c>
      <c r="CG42" s="10">
        <v>2939</v>
      </c>
      <c r="CH42" s="14">
        <f t="shared" si="119"/>
        <v>0.26166310541310539</v>
      </c>
      <c r="CI42" s="10">
        <v>3428</v>
      </c>
      <c r="CJ42" s="14">
        <f t="shared" si="119"/>
        <v>0.30519943019943019</v>
      </c>
      <c r="CK42" s="10">
        <v>6274</v>
      </c>
      <c r="CL42" s="14">
        <f t="shared" si="119"/>
        <v>0.55858262108262113</v>
      </c>
      <c r="CN42" s="14">
        <f t="shared" si="119"/>
        <v>0</v>
      </c>
      <c r="CP42" s="14">
        <f t="shared" si="119"/>
        <v>0</v>
      </c>
      <c r="CQ42" s="10">
        <v>5759</v>
      </c>
      <c r="CR42" s="14">
        <f t="shared" si="119"/>
        <v>0.51273148148148151</v>
      </c>
      <c r="CS42" s="10">
        <v>5063</v>
      </c>
      <c r="CT42" s="14">
        <f t="shared" si="120"/>
        <v>0.45076566951566954</v>
      </c>
      <c r="CU42" s="10">
        <v>5347</v>
      </c>
      <c r="CV42" s="14">
        <f t="shared" si="121"/>
        <v>0.47605056980056981</v>
      </c>
      <c r="CW42" s="10">
        <v>9599</v>
      </c>
      <c r="CX42" s="14">
        <f t="shared" si="115"/>
        <v>0.8546118233618234</v>
      </c>
      <c r="CY42" s="10">
        <v>4881</v>
      </c>
      <c r="DA42" s="10">
        <v>5791</v>
      </c>
      <c r="DC42" s="10">
        <v>4813</v>
      </c>
      <c r="DE42" s="10">
        <v>5010</v>
      </c>
      <c r="DI42" s="10">
        <v>9883</v>
      </c>
      <c r="DK42" s="10">
        <v>11028</v>
      </c>
      <c r="DL42" s="10" t="s">
        <v>1718</v>
      </c>
    </row>
    <row r="43" spans="1:116" s="10" customFormat="1" ht="16.5" customHeight="1" thickBot="1">
      <c r="A43" s="119"/>
      <c r="B43" s="120" t="s">
        <v>205</v>
      </c>
      <c r="C43" s="121" t="str">
        <f ca="1">E43</f>
        <v>{"haftungsType":"Einseitige Solidarhaftung erfassen","haftungDurch":`${p.FamilyName1}, ${p.ManFirstName1}`,"haftungVon":"01.11.2025","haftungBis":"31.12.2025","haftungFuer":`${p.FamilyName1}, ${p.WomanFirstName1}`,"person1":"","person2":""}</v>
      </c>
      <c r="D43" s="120"/>
      <c r="E43" s="121" t="str">
        <f t="shared" ca="1" si="128"/>
        <v>{"haftungsType":"Einseitige Solidarhaftung erfassen","haftungDurch":`${p.FamilyName1}, ${p.ManFirstName1}`,"haftungVon":"01.11.2025","haftungBis":"31.12.2025","haftungFuer":`${p.FamilyName1}, ${p.WomanFirstName1}`,"person1":"","person2":""}</v>
      </c>
      <c r="F43" s="611" t="s">
        <v>206</v>
      </c>
      <c r="G43" s="609" t="s">
        <v>207</v>
      </c>
      <c r="H43" s="611" t="s">
        <v>208</v>
      </c>
      <c r="I43" s="609" t="str">
        <f>I24</f>
        <v>${p.FamilyName1}, ${p.ManFirstName1}</v>
      </c>
      <c r="J43" s="611" t="s">
        <v>209</v>
      </c>
      <c r="K43" s="615" t="str">
        <f ca="1">"01."&amp;MONTH(TODAY())&amp;"."&amp;YEAR(TODAY())</f>
        <v>01.11.2025</v>
      </c>
      <c r="L43" s="611" t="s">
        <v>210</v>
      </c>
      <c r="M43" s="615" t="str">
        <f ca="1">"31.12."&amp;YEAR(TODAY())</f>
        <v>31.12.2025</v>
      </c>
      <c r="N43" s="611" t="s">
        <v>211</v>
      </c>
      <c r="O43" s="609" t="str">
        <f>"${"&amp;$G$5&amp;"}, ${"&amp;$H$64&amp;"}"</f>
        <v>${p.FamilyName1}, ${p.WomanFirstName1}</v>
      </c>
      <c r="P43" s="611" t="s">
        <v>212</v>
      </c>
      <c r="Q43" s="614"/>
      <c r="R43" s="611" t="s">
        <v>213</v>
      </c>
      <c r="S43" s="609"/>
      <c r="T43" s="609" t="s">
        <v>37</v>
      </c>
      <c r="U43" s="609"/>
      <c r="V43" s="611"/>
      <c r="W43" s="609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48">
        <v>6915</v>
      </c>
      <c r="AJ43" s="96"/>
      <c r="AK43" s="4"/>
      <c r="AL43" s="122">
        <v>6982</v>
      </c>
      <c r="AM43" s="14">
        <f t="shared" si="2"/>
        <v>1.0096890817064352</v>
      </c>
      <c r="AN43" s="122">
        <v>9078</v>
      </c>
      <c r="AO43" s="14">
        <f t="shared" si="2"/>
        <v>1.3127982646420824</v>
      </c>
      <c r="AP43" s="122">
        <v>9444</v>
      </c>
      <c r="AQ43" s="14">
        <f t="shared" ref="AQ43:AY43" si="136">AP43/($AI43)</f>
        <v>1.3657266811279827</v>
      </c>
      <c r="AR43" s="120"/>
      <c r="AS43" s="14">
        <f t="shared" si="136"/>
        <v>0</v>
      </c>
      <c r="AT43" s="120"/>
      <c r="AU43" s="14">
        <f t="shared" si="136"/>
        <v>0</v>
      </c>
      <c r="AV43" s="120"/>
      <c r="AW43" s="14">
        <f t="shared" si="136"/>
        <v>0</v>
      </c>
      <c r="AX43" s="120"/>
      <c r="AY43" s="14">
        <f t="shared" si="136"/>
        <v>0</v>
      </c>
      <c r="AZ43" s="120"/>
      <c r="BA43" s="120"/>
      <c r="BC43" s="14">
        <f t="shared" si="117"/>
        <v>0</v>
      </c>
      <c r="BE43" s="14">
        <f t="shared" si="117"/>
        <v>0</v>
      </c>
      <c r="BG43" s="14">
        <f t="shared" si="117"/>
        <v>0</v>
      </c>
      <c r="BI43" s="14">
        <f t="shared" si="117"/>
        <v>0</v>
      </c>
      <c r="BL43" s="14">
        <f t="shared" si="118"/>
        <v>0</v>
      </c>
      <c r="BN43" s="14">
        <f t="shared" si="119"/>
        <v>0</v>
      </c>
      <c r="BP43" s="14">
        <f t="shared" si="119"/>
        <v>0</v>
      </c>
      <c r="BR43" s="14">
        <f t="shared" si="119"/>
        <v>0</v>
      </c>
      <c r="BT43" s="14">
        <f t="shared" si="119"/>
        <v>0</v>
      </c>
      <c r="BV43" s="14">
        <f t="shared" si="119"/>
        <v>0</v>
      </c>
      <c r="BX43" s="14">
        <f t="shared" si="119"/>
        <v>0</v>
      </c>
      <c r="BZ43" s="14">
        <f t="shared" si="119"/>
        <v>0</v>
      </c>
      <c r="CB43" s="14">
        <f t="shared" si="119"/>
        <v>0</v>
      </c>
      <c r="CD43" s="14">
        <f t="shared" si="119"/>
        <v>0</v>
      </c>
      <c r="CF43" s="14">
        <f t="shared" si="119"/>
        <v>0</v>
      </c>
      <c r="CH43" s="14">
        <f t="shared" si="119"/>
        <v>0</v>
      </c>
      <c r="CJ43" s="14">
        <f t="shared" si="119"/>
        <v>0</v>
      </c>
      <c r="CL43" s="14">
        <f t="shared" si="119"/>
        <v>0</v>
      </c>
      <c r="CN43" s="14">
        <f t="shared" si="119"/>
        <v>0</v>
      </c>
      <c r="CP43" s="14">
        <f t="shared" si="119"/>
        <v>0</v>
      </c>
      <c r="CR43" s="14">
        <f t="shared" si="119"/>
        <v>0</v>
      </c>
      <c r="CT43" s="14">
        <f t="shared" si="120"/>
        <v>0</v>
      </c>
      <c r="CV43" s="14">
        <f t="shared" si="121"/>
        <v>0</v>
      </c>
      <c r="CX43" s="14">
        <f t="shared" si="115"/>
        <v>0</v>
      </c>
    </row>
    <row r="44" spans="1:116" s="10" customFormat="1" ht="16.5" customHeight="1" thickBot="1">
      <c r="A44" s="119"/>
      <c r="B44" s="120" t="s">
        <v>205</v>
      </c>
      <c r="C44" s="121" t="str">
        <f ca="1">E44</f>
        <v>{"haftungsType":"Einzelhaftung erfassen","haftungDurch":`${p.FamilyName1}, ${p.ManFirstName1}`,"haftungVon":"01.11.2025","haftungBis":"31.12.2025","haftungFuer":`${p.FamilyName1}, ${p.GirlFirstName1}`,"person1":"","person2":""}</v>
      </c>
      <c r="D44" s="120"/>
      <c r="E44" s="121" t="str">
        <f t="shared" ca="1" si="128"/>
        <v>{"haftungsType":"Einzelhaftung erfassen","haftungDurch":`${p.FamilyName1}, ${p.ManFirstName1}`,"haftungVon":"01.11.2025","haftungBis":"31.12.2025","haftungFuer":`${p.FamilyName1}, ${p.GirlFirstName1}`,"person1":"","person2":""}</v>
      </c>
      <c r="F44" s="611" t="s">
        <v>206</v>
      </c>
      <c r="G44" s="609" t="s">
        <v>214</v>
      </c>
      <c r="H44" s="611" t="s">
        <v>208</v>
      </c>
      <c r="I44" s="609" t="str">
        <f>I24</f>
        <v>${p.FamilyName1}, ${p.ManFirstName1}</v>
      </c>
      <c r="J44" s="611" t="s">
        <v>209</v>
      </c>
      <c r="K44" s="615" t="str">
        <f ca="1">"01."&amp;MONTH(TODAY())&amp;"."&amp;YEAR(TODAY())</f>
        <v>01.11.2025</v>
      </c>
      <c r="L44" s="611" t="s">
        <v>210</v>
      </c>
      <c r="M44" s="615" t="str">
        <f ca="1">"31.12."&amp;YEAR(TODAY())</f>
        <v>31.12.2025</v>
      </c>
      <c r="N44" s="611" t="s">
        <v>211</v>
      </c>
      <c r="O44" s="609" t="str">
        <f>"${"&amp;$G$5&amp;"}, ${"&amp;$H$65&amp;"}"</f>
        <v>${p.FamilyName1}, ${p.GirlFirstName1}</v>
      </c>
      <c r="P44" s="611" t="s">
        <v>212</v>
      </c>
      <c r="Q44" s="614"/>
      <c r="R44" s="611" t="s">
        <v>213</v>
      </c>
      <c r="S44" s="609"/>
      <c r="T44" s="609" t="s">
        <v>37</v>
      </c>
      <c r="U44" s="609"/>
      <c r="V44" s="611"/>
      <c r="W44" s="609"/>
      <c r="X44" s="120"/>
      <c r="Y44" s="120"/>
      <c r="Z44" s="123"/>
      <c r="AA44" s="120"/>
      <c r="AB44" s="120"/>
      <c r="AC44" s="120"/>
      <c r="AD44" s="120"/>
      <c r="AE44" s="120"/>
      <c r="AF44" s="120"/>
      <c r="AG44" s="120"/>
      <c r="AH44" s="120"/>
      <c r="AI44" s="48">
        <v>5252</v>
      </c>
      <c r="AJ44" s="96"/>
      <c r="AK44" s="4"/>
      <c r="AL44" s="122">
        <v>5584</v>
      </c>
      <c r="AM44" s="14">
        <f t="shared" si="2"/>
        <v>1.0632140137090633</v>
      </c>
      <c r="AN44" s="122">
        <v>7647</v>
      </c>
      <c r="AO44" s="14">
        <f t="shared" si="2"/>
        <v>1.4560167555217061</v>
      </c>
      <c r="AP44" s="122">
        <v>0</v>
      </c>
      <c r="AQ44" s="14">
        <f t="shared" ref="AQ44:AY44" si="137">AP44/($AI44)</f>
        <v>0</v>
      </c>
      <c r="AR44" s="120"/>
      <c r="AS44" s="14">
        <f t="shared" si="137"/>
        <v>0</v>
      </c>
      <c r="AT44" s="120"/>
      <c r="AU44" s="14">
        <f t="shared" si="137"/>
        <v>0</v>
      </c>
      <c r="AV44" s="120"/>
      <c r="AW44" s="14">
        <f t="shared" si="137"/>
        <v>0</v>
      </c>
      <c r="AX44" s="120"/>
      <c r="AY44" s="14">
        <f t="shared" si="137"/>
        <v>0</v>
      </c>
      <c r="AZ44" s="120"/>
      <c r="BA44" s="120"/>
      <c r="BC44" s="14">
        <f t="shared" si="117"/>
        <v>0</v>
      </c>
      <c r="BE44" s="14">
        <f t="shared" si="117"/>
        <v>0</v>
      </c>
      <c r="BG44" s="14">
        <f t="shared" si="117"/>
        <v>0</v>
      </c>
      <c r="BI44" s="14">
        <f t="shared" si="117"/>
        <v>0</v>
      </c>
      <c r="BL44" s="14">
        <f t="shared" si="118"/>
        <v>0</v>
      </c>
      <c r="BN44" s="14">
        <f t="shared" si="119"/>
        <v>0</v>
      </c>
      <c r="BP44" s="14">
        <f t="shared" si="119"/>
        <v>0</v>
      </c>
      <c r="BR44" s="14">
        <f t="shared" si="119"/>
        <v>0</v>
      </c>
      <c r="BT44" s="14">
        <f t="shared" si="119"/>
        <v>0</v>
      </c>
      <c r="BV44" s="14">
        <f t="shared" si="119"/>
        <v>0</v>
      </c>
      <c r="BX44" s="14">
        <f t="shared" si="119"/>
        <v>0</v>
      </c>
      <c r="BZ44" s="14">
        <f t="shared" si="119"/>
        <v>0</v>
      </c>
      <c r="CB44" s="14">
        <f t="shared" si="119"/>
        <v>0</v>
      </c>
      <c r="CD44" s="14">
        <f t="shared" si="119"/>
        <v>0</v>
      </c>
      <c r="CF44" s="14">
        <f t="shared" si="119"/>
        <v>0</v>
      </c>
      <c r="CH44" s="14">
        <f t="shared" si="119"/>
        <v>0</v>
      </c>
      <c r="CJ44" s="14">
        <f t="shared" si="119"/>
        <v>0</v>
      </c>
      <c r="CL44" s="14">
        <f t="shared" si="119"/>
        <v>0</v>
      </c>
      <c r="CN44" s="14">
        <f t="shared" si="119"/>
        <v>0</v>
      </c>
      <c r="CP44" s="14">
        <f t="shared" si="119"/>
        <v>0</v>
      </c>
      <c r="CR44" s="14">
        <f t="shared" si="119"/>
        <v>0</v>
      </c>
      <c r="CT44" s="14">
        <f t="shared" si="120"/>
        <v>0</v>
      </c>
      <c r="CV44" s="14">
        <f t="shared" si="121"/>
        <v>0</v>
      </c>
      <c r="CX44" s="14">
        <f t="shared" si="115"/>
        <v>0</v>
      </c>
    </row>
    <row r="45" spans="1:116" s="2722" customFormat="1" ht="16.5" customHeight="1" thickBot="1">
      <c r="A45" s="2721">
        <v>49</v>
      </c>
      <c r="B45" s="2722" t="s">
        <v>22</v>
      </c>
      <c r="C45" s="2723" t="s">
        <v>215</v>
      </c>
      <c r="D45" s="2724"/>
      <c r="E45" s="2725"/>
      <c r="F45" s="2726"/>
      <c r="G45" s="2727"/>
      <c r="H45" s="2727"/>
      <c r="I45" s="2727"/>
      <c r="J45" s="2727"/>
      <c r="K45" s="2727"/>
      <c r="L45" s="2727"/>
      <c r="M45" s="2727"/>
      <c r="N45" s="2727"/>
      <c r="O45" s="2727"/>
      <c r="P45" s="2727"/>
      <c r="Q45" s="2727"/>
      <c r="R45" s="2727"/>
      <c r="S45" s="2727"/>
      <c r="T45" s="2727"/>
      <c r="U45" s="2727"/>
      <c r="V45" s="2727"/>
      <c r="W45" s="2727"/>
      <c r="X45" s="2724"/>
      <c r="Y45" s="2724"/>
      <c r="Z45" s="2724"/>
      <c r="AA45" s="2724"/>
      <c r="AB45" s="2724"/>
      <c r="AC45" s="2724"/>
      <c r="AD45" s="2724"/>
      <c r="AE45" s="2724"/>
      <c r="AF45" s="2724"/>
      <c r="AG45" s="2724"/>
      <c r="AH45" s="2724"/>
      <c r="AI45" s="2724">
        <v>4817</v>
      </c>
      <c r="AJ45" s="2728"/>
      <c r="AK45" s="2729"/>
      <c r="AL45" s="2724">
        <v>4866</v>
      </c>
      <c r="AM45" s="2730">
        <f t="shared" si="2"/>
        <v>1.010172306414781</v>
      </c>
      <c r="AN45" s="2724">
        <v>6555</v>
      </c>
      <c r="AO45" s="2730">
        <f t="shared" si="2"/>
        <v>1.3608054805895786</v>
      </c>
      <c r="AP45" s="2724">
        <v>552</v>
      </c>
      <c r="AQ45" s="2730">
        <f t="shared" ref="AQ45:AY45" si="138">AP45/($AI45)</f>
        <v>0.11459414573385925</v>
      </c>
      <c r="AR45" s="2724">
        <v>7656</v>
      </c>
      <c r="AS45" s="2730">
        <f t="shared" si="138"/>
        <v>1.5893709777870044</v>
      </c>
      <c r="AT45" s="2724">
        <v>7641</v>
      </c>
      <c r="AU45" s="2730">
        <f t="shared" si="138"/>
        <v>1.5862570064355408</v>
      </c>
      <c r="AV45" s="2724">
        <v>7477</v>
      </c>
      <c r="AW45" s="2730">
        <f t="shared" si="138"/>
        <v>1.5522109196595391</v>
      </c>
      <c r="AX45" s="2724">
        <v>7539</v>
      </c>
      <c r="AY45" s="2730">
        <f t="shared" si="138"/>
        <v>1.5650820012455886</v>
      </c>
      <c r="AZ45" s="2724">
        <v>7418</v>
      </c>
      <c r="BA45" s="2724"/>
      <c r="BB45" s="2724">
        <v>0</v>
      </c>
      <c r="BC45" s="2730">
        <f t="shared" si="117"/>
        <v>0</v>
      </c>
      <c r="BD45" s="2724">
        <v>5085</v>
      </c>
      <c r="BE45" s="2730">
        <f t="shared" si="117"/>
        <v>1.055636288146149</v>
      </c>
      <c r="BF45" s="2724">
        <v>5191</v>
      </c>
      <c r="BG45" s="2730">
        <f t="shared" si="117"/>
        <v>1.0776416856964917</v>
      </c>
      <c r="BH45" s="2724">
        <v>5126</v>
      </c>
      <c r="BI45" s="2730">
        <f t="shared" si="117"/>
        <v>1.0641478098401496</v>
      </c>
      <c r="BK45" s="2722">
        <v>5172</v>
      </c>
      <c r="BL45" s="2730">
        <f t="shared" si="118"/>
        <v>1.0736973219846377</v>
      </c>
      <c r="BM45" s="2722">
        <v>4792</v>
      </c>
      <c r="BN45" s="2730">
        <f t="shared" si="119"/>
        <v>0.99481004774756077</v>
      </c>
      <c r="BO45" s="2722">
        <v>5127</v>
      </c>
      <c r="BP45" s="2730">
        <f t="shared" si="119"/>
        <v>1.0643554079302471</v>
      </c>
      <c r="BQ45" s="2722">
        <v>5566</v>
      </c>
      <c r="BR45" s="2730">
        <f t="shared" si="119"/>
        <v>1.1554909694830808</v>
      </c>
      <c r="BS45" s="2722">
        <v>5075</v>
      </c>
      <c r="BT45" s="2730">
        <f t="shared" si="119"/>
        <v>1.0535603072451734</v>
      </c>
      <c r="BU45" s="2722">
        <v>5944</v>
      </c>
      <c r="BV45" s="2730">
        <f t="shared" si="119"/>
        <v>1.2339630475399626</v>
      </c>
      <c r="BW45" s="2722">
        <v>5145</v>
      </c>
      <c r="BX45" s="2730">
        <f t="shared" si="119"/>
        <v>1.0680921735520033</v>
      </c>
      <c r="BY45" s="2722">
        <v>6041</v>
      </c>
      <c r="BZ45" s="2730">
        <f t="shared" si="119"/>
        <v>1.2541000622794269</v>
      </c>
      <c r="CA45" s="2722">
        <v>5094</v>
      </c>
      <c r="CB45" s="2730">
        <f t="shared" si="119"/>
        <v>1.0575046709570273</v>
      </c>
      <c r="CC45" s="2722">
        <v>5941</v>
      </c>
      <c r="CD45" s="2730">
        <f t="shared" si="119"/>
        <v>1.23334025326967</v>
      </c>
      <c r="CE45" s="2722">
        <v>5755</v>
      </c>
      <c r="CF45" s="2730">
        <f t="shared" si="119"/>
        <v>1.1947270085115218</v>
      </c>
      <c r="CG45" s="2722">
        <v>5256</v>
      </c>
      <c r="CH45" s="2730">
        <f t="shared" si="119"/>
        <v>1.0911355615528338</v>
      </c>
      <c r="CI45" s="2722">
        <v>5645</v>
      </c>
      <c r="CJ45" s="2730">
        <f t="shared" si="119"/>
        <v>1.1718912186007888</v>
      </c>
      <c r="CK45" s="2722">
        <v>9438</v>
      </c>
      <c r="CL45" s="2730">
        <f t="shared" si="119"/>
        <v>1.959310774340876</v>
      </c>
      <c r="CN45" s="2730">
        <f t="shared" si="119"/>
        <v>0</v>
      </c>
      <c r="CP45" s="2730">
        <f t="shared" si="119"/>
        <v>0</v>
      </c>
      <c r="CQ45" s="2722">
        <v>5469</v>
      </c>
      <c r="CR45" s="2730">
        <f t="shared" si="119"/>
        <v>1.1353539547436164</v>
      </c>
      <c r="CS45" s="2722">
        <v>4979</v>
      </c>
      <c r="CT45" s="2730">
        <f t="shared" si="120"/>
        <v>1.0336308905958065</v>
      </c>
      <c r="CU45" s="2722">
        <v>5279</v>
      </c>
      <c r="CV45" s="2730">
        <f t="shared" si="121"/>
        <v>1.095910317625078</v>
      </c>
      <c r="CW45" s="2722">
        <v>5395</v>
      </c>
      <c r="CX45" s="2730">
        <f t="shared" si="115"/>
        <v>1.119991696076396</v>
      </c>
      <c r="CY45" s="2722">
        <v>5450</v>
      </c>
      <c r="DA45" s="2722">
        <v>4660</v>
      </c>
      <c r="DC45" s="2722">
        <v>8775</v>
      </c>
      <c r="DE45" s="2722">
        <v>5447</v>
      </c>
      <c r="DI45" s="2722">
        <v>5619</v>
      </c>
      <c r="DK45" s="2722">
        <v>4358</v>
      </c>
      <c r="DL45" s="2722" t="s">
        <v>1718</v>
      </c>
    </row>
    <row r="46" spans="1:116" s="10" customFormat="1" ht="16.5" customHeight="1" thickBot="1">
      <c r="A46" s="119"/>
      <c r="B46" s="122" t="s">
        <v>216</v>
      </c>
      <c r="C46" s="121"/>
      <c r="D46" s="76"/>
      <c r="E46" s="77"/>
      <c r="F46" s="609"/>
      <c r="G46" s="611"/>
      <c r="H46" s="609"/>
      <c r="I46" s="611"/>
      <c r="J46" s="609"/>
      <c r="K46" s="611"/>
      <c r="L46" s="609"/>
      <c r="M46" s="613"/>
      <c r="N46" s="609"/>
      <c r="O46" s="609"/>
      <c r="P46" s="609"/>
      <c r="Q46" s="614"/>
      <c r="R46" s="609"/>
      <c r="S46" s="611"/>
      <c r="T46" s="611"/>
      <c r="U46" s="611"/>
      <c r="V46" s="609"/>
      <c r="W46" s="611"/>
      <c r="X46" s="76"/>
      <c r="Y46" s="76"/>
      <c r="Z46" s="128"/>
      <c r="AA46" s="76"/>
      <c r="AB46" s="76"/>
      <c r="AC46" s="76"/>
      <c r="AD46" s="76"/>
      <c r="AE46" s="76"/>
      <c r="AF46" s="76"/>
      <c r="AG46" s="76"/>
      <c r="AH46" s="76"/>
      <c r="AI46" s="48">
        <v>2014</v>
      </c>
      <c r="AJ46" s="96"/>
      <c r="AK46" s="4"/>
      <c r="AL46" s="76">
        <v>2016</v>
      </c>
      <c r="AM46" s="14">
        <f t="shared" si="2"/>
        <v>1.0009930486593843</v>
      </c>
      <c r="AN46" s="76"/>
      <c r="AO46" s="14">
        <f t="shared" si="2"/>
        <v>0</v>
      </c>
      <c r="AP46" s="76"/>
      <c r="AQ46" s="14">
        <f t="shared" ref="AQ46:AY46" si="139">AP46/($AI46)</f>
        <v>0</v>
      </c>
      <c r="AR46" s="76"/>
      <c r="AS46" s="14">
        <f t="shared" si="139"/>
        <v>0</v>
      </c>
      <c r="AT46" s="76"/>
      <c r="AU46" s="14">
        <f t="shared" si="139"/>
        <v>0</v>
      </c>
      <c r="AV46" s="76"/>
      <c r="AW46" s="14">
        <f t="shared" si="139"/>
        <v>0</v>
      </c>
      <c r="AX46" s="76"/>
      <c r="AY46" s="14">
        <f t="shared" si="139"/>
        <v>0</v>
      </c>
      <c r="AZ46" s="76"/>
      <c r="BA46" s="76"/>
      <c r="BC46" s="14">
        <f t="shared" si="117"/>
        <v>0</v>
      </c>
      <c r="BE46" s="14">
        <f t="shared" si="117"/>
        <v>0</v>
      </c>
      <c r="BG46" s="14">
        <f t="shared" si="117"/>
        <v>0</v>
      </c>
      <c r="BI46" s="14">
        <f t="shared" si="117"/>
        <v>0</v>
      </c>
      <c r="BL46" s="14">
        <f t="shared" si="118"/>
        <v>0</v>
      </c>
      <c r="BN46" s="14">
        <f t="shared" si="119"/>
        <v>0</v>
      </c>
      <c r="BP46" s="14">
        <f t="shared" si="119"/>
        <v>0</v>
      </c>
      <c r="BR46" s="14">
        <f t="shared" si="119"/>
        <v>0</v>
      </c>
      <c r="BT46" s="14">
        <f t="shared" si="119"/>
        <v>0</v>
      </c>
      <c r="BV46" s="14">
        <f t="shared" si="119"/>
        <v>0</v>
      </c>
      <c r="BX46" s="14">
        <f t="shared" si="119"/>
        <v>0</v>
      </c>
      <c r="BZ46" s="14">
        <f t="shared" si="119"/>
        <v>0</v>
      </c>
      <c r="CB46" s="14">
        <f t="shared" si="119"/>
        <v>0</v>
      </c>
      <c r="CD46" s="14">
        <f t="shared" si="119"/>
        <v>0</v>
      </c>
      <c r="CF46" s="14">
        <f t="shared" si="119"/>
        <v>0</v>
      </c>
      <c r="CH46" s="14">
        <f t="shared" si="119"/>
        <v>0</v>
      </c>
      <c r="CJ46" s="14">
        <f t="shared" si="119"/>
        <v>0</v>
      </c>
      <c r="CL46" s="14">
        <f t="shared" si="119"/>
        <v>0</v>
      </c>
      <c r="CN46" s="14">
        <f t="shared" si="119"/>
        <v>0</v>
      </c>
      <c r="CP46" s="14">
        <f t="shared" si="119"/>
        <v>0</v>
      </c>
      <c r="CR46" s="14">
        <f t="shared" si="119"/>
        <v>0</v>
      </c>
      <c r="CT46" s="14">
        <f t="shared" si="120"/>
        <v>0</v>
      </c>
      <c r="CV46" s="14">
        <f t="shared" si="121"/>
        <v>0</v>
      </c>
      <c r="CX46" s="14">
        <f t="shared" si="115"/>
        <v>0</v>
      </c>
    </row>
    <row r="47" spans="1:116" s="2722" customFormat="1" ht="16.5" customHeight="1" thickBot="1">
      <c r="A47" s="2721">
        <v>50</v>
      </c>
      <c r="B47" s="2722" t="s">
        <v>22</v>
      </c>
      <c r="C47" s="2723" t="s">
        <v>215</v>
      </c>
      <c r="D47" s="2724"/>
      <c r="E47" s="2725"/>
      <c r="F47" s="2726"/>
      <c r="G47" s="2727"/>
      <c r="H47" s="2727"/>
      <c r="I47" s="2727"/>
      <c r="J47" s="2727"/>
      <c r="K47" s="2727"/>
      <c r="L47" s="2727"/>
      <c r="M47" s="2727"/>
      <c r="N47" s="2727"/>
      <c r="O47" s="2727"/>
      <c r="P47" s="2727"/>
      <c r="Q47" s="2727"/>
      <c r="R47" s="2727"/>
      <c r="S47" s="2727"/>
      <c r="T47" s="2727"/>
      <c r="U47" s="2727"/>
      <c r="V47" s="2727"/>
      <c r="W47" s="2727"/>
      <c r="X47" s="2724"/>
      <c r="Y47" s="2724"/>
      <c r="Z47" s="2724"/>
      <c r="AA47" s="2724"/>
      <c r="AB47" s="2724"/>
      <c r="AC47" s="2724"/>
      <c r="AD47" s="2724"/>
      <c r="AE47" s="2724"/>
      <c r="AF47" s="2724"/>
      <c r="AG47" s="2724"/>
      <c r="AH47" s="2724"/>
      <c r="AI47" s="2724">
        <v>2011</v>
      </c>
      <c r="AJ47" s="2728"/>
      <c r="AK47" s="2729"/>
      <c r="AL47" s="2724">
        <v>2008</v>
      </c>
      <c r="AM47" s="2730">
        <f t="shared" si="2"/>
        <v>0.99850820487319747</v>
      </c>
      <c r="AN47" s="2724">
        <v>2011</v>
      </c>
      <c r="AO47" s="2730">
        <f t="shared" si="2"/>
        <v>1</v>
      </c>
      <c r="AP47" s="2724"/>
      <c r="AQ47" s="2730">
        <f t="shared" ref="AQ47:AY47" si="140">AP47/($AI47)</f>
        <v>0</v>
      </c>
      <c r="AR47" s="2724">
        <v>2013</v>
      </c>
      <c r="AS47" s="2730">
        <f t="shared" si="140"/>
        <v>1.0009945300845351</v>
      </c>
      <c r="AT47" s="2724">
        <v>2020</v>
      </c>
      <c r="AU47" s="2730">
        <f t="shared" si="140"/>
        <v>1.0044753853804078</v>
      </c>
      <c r="AV47" s="2724">
        <v>2017</v>
      </c>
      <c r="AW47" s="2730">
        <f t="shared" si="140"/>
        <v>1.0029835902536051</v>
      </c>
      <c r="AX47" s="2724">
        <v>2019</v>
      </c>
      <c r="AY47" s="2730">
        <f t="shared" si="140"/>
        <v>1.0039781203381402</v>
      </c>
      <c r="AZ47" s="2724">
        <v>2013</v>
      </c>
      <c r="BA47" s="2724"/>
      <c r="BB47" s="2724">
        <v>341</v>
      </c>
      <c r="BC47" s="2730">
        <f t="shared" si="117"/>
        <v>0.16956737941322725</v>
      </c>
      <c r="BD47" s="2724">
        <v>2007</v>
      </c>
      <c r="BE47" s="2730">
        <f t="shared" si="117"/>
        <v>0.99801093983092992</v>
      </c>
      <c r="BF47" s="2724">
        <v>2003</v>
      </c>
      <c r="BG47" s="2730">
        <f t="shared" si="117"/>
        <v>0.99602187966185973</v>
      </c>
      <c r="BH47" s="2724">
        <v>2009</v>
      </c>
      <c r="BI47" s="2730">
        <f t="shared" si="117"/>
        <v>0.99900546991546491</v>
      </c>
      <c r="BK47" s="2722">
        <v>2019</v>
      </c>
      <c r="BL47" s="2730">
        <f t="shared" si="118"/>
        <v>1.0039781203381402</v>
      </c>
      <c r="BM47" s="2722">
        <v>2008</v>
      </c>
      <c r="BN47" s="2730">
        <f t="shared" si="119"/>
        <v>0.99850820487319747</v>
      </c>
      <c r="BO47" s="2722">
        <v>2005</v>
      </c>
      <c r="BP47" s="2730">
        <f t="shared" si="119"/>
        <v>0.99701640974639483</v>
      </c>
      <c r="BQ47" s="2722">
        <v>2012</v>
      </c>
      <c r="BR47" s="2730">
        <f t="shared" si="119"/>
        <v>1.0004972650422674</v>
      </c>
      <c r="BS47" s="2722">
        <v>2004</v>
      </c>
      <c r="BT47" s="2730">
        <f t="shared" si="119"/>
        <v>0.99651914470412728</v>
      </c>
      <c r="BU47" s="2722">
        <v>2005</v>
      </c>
      <c r="BV47" s="2730">
        <f t="shared" si="119"/>
        <v>0.99701640974639483</v>
      </c>
      <c r="BW47" s="2722">
        <v>2013</v>
      </c>
      <c r="BX47" s="2730">
        <f t="shared" si="119"/>
        <v>1.0009945300845351</v>
      </c>
      <c r="BY47" s="2722">
        <v>2013</v>
      </c>
      <c r="BZ47" s="2730">
        <f t="shared" si="119"/>
        <v>1.0009945300845351</v>
      </c>
      <c r="CA47" s="2722">
        <v>2006</v>
      </c>
      <c r="CB47" s="2730">
        <f t="shared" si="119"/>
        <v>0.99751367478866237</v>
      </c>
      <c r="CC47" s="2722">
        <v>2006</v>
      </c>
      <c r="CD47" s="2730">
        <f t="shared" si="119"/>
        <v>0.99751367478866237</v>
      </c>
      <c r="CE47" s="2722">
        <v>2015</v>
      </c>
      <c r="CF47" s="2730">
        <f t="shared" si="119"/>
        <v>1.0019890601690702</v>
      </c>
      <c r="CG47" s="2722">
        <v>2010</v>
      </c>
      <c r="CH47" s="2730">
        <f t="shared" si="119"/>
        <v>0.99950273495773245</v>
      </c>
      <c r="CI47" s="2722">
        <v>2012</v>
      </c>
      <c r="CJ47" s="2730">
        <f t="shared" si="119"/>
        <v>1.0004972650422674</v>
      </c>
      <c r="CK47" s="2722">
        <v>2005</v>
      </c>
      <c r="CL47" s="2730">
        <f t="shared" si="119"/>
        <v>0.99701640974639483</v>
      </c>
      <c r="CN47" s="2730">
        <f t="shared" si="119"/>
        <v>0</v>
      </c>
      <c r="CP47" s="2730">
        <f t="shared" si="119"/>
        <v>0</v>
      </c>
      <c r="CQ47" s="2722">
        <v>2010</v>
      </c>
      <c r="CR47" s="2730">
        <f t="shared" si="119"/>
        <v>0.99950273495773245</v>
      </c>
      <c r="CS47" s="2722">
        <v>2018</v>
      </c>
      <c r="CT47" s="2730">
        <f t="shared" si="120"/>
        <v>1.0034808552958727</v>
      </c>
      <c r="CU47" s="2722">
        <v>2016</v>
      </c>
      <c r="CV47" s="2730">
        <f t="shared" si="121"/>
        <v>1.0024863252113376</v>
      </c>
      <c r="CW47" s="2722">
        <v>2016</v>
      </c>
      <c r="CX47" s="2730">
        <f t="shared" si="115"/>
        <v>1.0024863252113376</v>
      </c>
      <c r="CY47" s="2722">
        <v>2006</v>
      </c>
      <c r="DA47" s="2722">
        <v>2018</v>
      </c>
      <c r="DC47" s="2722">
        <v>2010</v>
      </c>
      <c r="DE47" s="2722">
        <v>2015</v>
      </c>
      <c r="DI47" s="2722">
        <v>2015</v>
      </c>
      <c r="DK47" s="2722">
        <v>2008</v>
      </c>
      <c r="DL47" s="2722" t="s">
        <v>1718</v>
      </c>
    </row>
    <row r="48" spans="1:116" s="10" customFormat="1" ht="16.5" customHeight="1" thickBot="1">
      <c r="A48" s="119">
        <v>51</v>
      </c>
      <c r="B48" s="591" t="s">
        <v>139</v>
      </c>
      <c r="C48" s="595" t="str">
        <f>E48</f>
        <v>{"searchDossierOrKlient":p.DossierName1,"resultType":"Dossiers"}</v>
      </c>
      <c r="D48" s="90"/>
      <c r="E48" s="91" t="str">
        <f>F48&amp;G48&amp;H48&amp;I48&amp;J48&amp;K48&amp;L48&amp;M48&amp;N48&amp;O48&amp;P48&amp;Q48&amp;R48&amp;S48&amp;T48&amp;U48&amp;V48&amp;W48&amp;X48</f>
        <v>{"searchDossierOrKlient":p.DossierName1,"resultType":"Dossiers"}</v>
      </c>
      <c r="F48" s="609" t="s">
        <v>140</v>
      </c>
      <c r="G48" s="611" t="str">
        <f>'001a'!$G$12</f>
        <v>p.DossierName1</v>
      </c>
      <c r="H48" s="609" t="s">
        <v>141</v>
      </c>
      <c r="I48" s="611" t="s">
        <v>142</v>
      </c>
      <c r="J48" s="609" t="s">
        <v>37</v>
      </c>
      <c r="K48" s="611"/>
      <c r="L48" s="609"/>
      <c r="M48" s="611"/>
      <c r="N48" s="609"/>
      <c r="O48" s="611"/>
      <c r="P48" s="609"/>
      <c r="Q48" s="611"/>
      <c r="R48" s="609"/>
      <c r="S48" s="611"/>
      <c r="T48" s="609"/>
      <c r="U48" s="611"/>
      <c r="V48" s="609"/>
      <c r="W48" s="611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48">
        <v>10683</v>
      </c>
      <c r="AJ48" s="96"/>
      <c r="AK48" s="4"/>
      <c r="AL48" s="90">
        <v>10909</v>
      </c>
      <c r="AM48" s="14">
        <f t="shared" si="2"/>
        <v>1.0211551062435646</v>
      </c>
      <c r="AN48" s="90">
        <v>2017</v>
      </c>
      <c r="AO48" s="14">
        <f t="shared" si="2"/>
        <v>0.1888046428905738</v>
      </c>
      <c r="AP48" s="90"/>
      <c r="AQ48" s="14">
        <f t="shared" ref="AQ48:AY48" si="141">AP48/($AI48)</f>
        <v>0</v>
      </c>
      <c r="AR48" s="90">
        <v>2007</v>
      </c>
      <c r="AS48" s="14">
        <f t="shared" si="141"/>
        <v>0.18786857624262848</v>
      </c>
      <c r="AT48" s="90">
        <v>2006</v>
      </c>
      <c r="AU48" s="14">
        <f t="shared" si="141"/>
        <v>0.18777496957783393</v>
      </c>
      <c r="AV48" s="90">
        <v>2003</v>
      </c>
      <c r="AW48" s="14">
        <f t="shared" si="141"/>
        <v>0.18749414958345034</v>
      </c>
      <c r="AX48" s="90">
        <v>2010</v>
      </c>
      <c r="AY48" s="14">
        <f t="shared" si="141"/>
        <v>0.18814939623701207</v>
      </c>
      <c r="AZ48" s="90">
        <v>2012</v>
      </c>
      <c r="BA48" s="90"/>
      <c r="BC48" s="14">
        <f t="shared" si="117"/>
        <v>0</v>
      </c>
      <c r="BD48" s="2">
        <v>2006</v>
      </c>
      <c r="BE48" s="14">
        <f t="shared" si="117"/>
        <v>0.18777496957783393</v>
      </c>
      <c r="BF48" s="2">
        <v>2006</v>
      </c>
      <c r="BG48" s="14">
        <f t="shared" si="117"/>
        <v>0.18777496957783393</v>
      </c>
      <c r="BH48" s="2">
        <v>2031</v>
      </c>
      <c r="BI48" s="14">
        <f t="shared" si="117"/>
        <v>0.19011513619769727</v>
      </c>
      <c r="BK48" s="10">
        <v>2010</v>
      </c>
      <c r="BL48" s="14">
        <f t="shared" si="118"/>
        <v>0.18814939623701207</v>
      </c>
      <c r="BM48" s="10">
        <v>2019</v>
      </c>
      <c r="BN48" s="14">
        <f t="shared" si="119"/>
        <v>0.18899185622016287</v>
      </c>
      <c r="BO48" s="10">
        <v>2018</v>
      </c>
      <c r="BP48" s="14">
        <f t="shared" si="119"/>
        <v>0.18889824955536835</v>
      </c>
      <c r="BQ48" s="10">
        <v>2005</v>
      </c>
      <c r="BR48" s="14">
        <f t="shared" si="119"/>
        <v>0.18768136291303941</v>
      </c>
      <c r="BS48" s="10">
        <v>2018</v>
      </c>
      <c r="BT48" s="14">
        <f t="shared" si="119"/>
        <v>0.18889824955536835</v>
      </c>
      <c r="BU48" s="10">
        <v>2004</v>
      </c>
      <c r="BV48" s="14">
        <f t="shared" si="119"/>
        <v>0.18758775624824486</v>
      </c>
      <c r="BW48" s="10">
        <v>2006</v>
      </c>
      <c r="BX48" s="14">
        <f t="shared" si="119"/>
        <v>0.18777496957783393</v>
      </c>
      <c r="BY48" s="10">
        <v>2006</v>
      </c>
      <c r="BZ48" s="14">
        <f t="shared" si="119"/>
        <v>0.18777496957783393</v>
      </c>
      <c r="CA48" s="10">
        <v>2014</v>
      </c>
      <c r="CB48" s="14">
        <f t="shared" si="119"/>
        <v>0.18852382289619021</v>
      </c>
      <c r="CC48" s="10">
        <v>2006</v>
      </c>
      <c r="CD48" s="14">
        <f t="shared" si="119"/>
        <v>0.18777496957783393</v>
      </c>
      <c r="CE48" s="10">
        <v>2011</v>
      </c>
      <c r="CF48" s="14">
        <f t="shared" si="119"/>
        <v>0.18824300290180662</v>
      </c>
      <c r="CG48" s="10">
        <v>2016</v>
      </c>
      <c r="CH48" s="14">
        <f t="shared" si="119"/>
        <v>0.18871103622577928</v>
      </c>
      <c r="CI48" s="10">
        <v>2017</v>
      </c>
      <c r="CJ48" s="14">
        <f t="shared" si="119"/>
        <v>0.1888046428905738</v>
      </c>
      <c r="CK48" s="10">
        <v>2015</v>
      </c>
      <c r="CL48" s="14">
        <f t="shared" si="119"/>
        <v>0.18861742956098473</v>
      </c>
      <c r="CN48" s="14">
        <f t="shared" si="119"/>
        <v>0</v>
      </c>
      <c r="CP48" s="14">
        <f t="shared" si="119"/>
        <v>0</v>
      </c>
      <c r="CQ48" s="10">
        <v>2007</v>
      </c>
      <c r="CR48" s="14">
        <f t="shared" si="119"/>
        <v>0.18786857624262848</v>
      </c>
      <c r="CS48" s="10">
        <v>2012</v>
      </c>
      <c r="CT48" s="14">
        <f t="shared" si="120"/>
        <v>0.18833660956660114</v>
      </c>
      <c r="CU48" s="10">
        <v>2013</v>
      </c>
      <c r="CV48" s="14">
        <f t="shared" si="121"/>
        <v>0.18843021623139566</v>
      </c>
      <c r="CW48" s="10">
        <v>2009</v>
      </c>
      <c r="CX48" s="14">
        <f t="shared" si="115"/>
        <v>0.18805578957221755</v>
      </c>
      <c r="CY48" s="10">
        <v>2014</v>
      </c>
      <c r="DA48" s="10">
        <v>2019</v>
      </c>
      <c r="DC48" s="10">
        <v>2012</v>
      </c>
      <c r="DE48" s="10">
        <v>2002</v>
      </c>
      <c r="DI48" s="10">
        <v>2014</v>
      </c>
      <c r="DK48" s="10">
        <v>2009</v>
      </c>
      <c r="DL48" s="10" t="s">
        <v>1718</v>
      </c>
    </row>
    <row r="49" spans="1:116" s="10" customFormat="1" ht="16.5" customHeight="1" thickBot="1">
      <c r="A49" s="119">
        <v>52</v>
      </c>
      <c r="B49" s="596" t="s">
        <v>217</v>
      </c>
      <c r="C49" s="595" t="str">
        <f>E49</f>
        <v>{"dossierInstitution":p.DossierName1,"freigegebeneZahlungen":"3"}</v>
      </c>
      <c r="D49" s="90"/>
      <c r="E49" s="91" t="str">
        <f>F49&amp;G49&amp;H49&amp;I49&amp;J49&amp;K49&amp;L49&amp;M49&amp;N49&amp;O49&amp;P49&amp;Q49&amp;R49&amp;S49&amp;T49&amp;U49&amp;V49&amp;W49&amp;X49</f>
        <v>{"dossierInstitution":p.DossierName1,"freigegebeneZahlungen":"3"}</v>
      </c>
      <c r="F49" s="619" t="s">
        <v>128</v>
      </c>
      <c r="G49" s="611" t="str">
        <f>'001a'!$G$12</f>
        <v>p.DossierName1</v>
      </c>
      <c r="H49" s="609" t="s">
        <v>218</v>
      </c>
      <c r="I49" s="609">
        <v>3</v>
      </c>
      <c r="J49" s="609" t="s">
        <v>37</v>
      </c>
      <c r="K49" s="611"/>
      <c r="L49" s="609"/>
      <c r="M49" s="611"/>
      <c r="N49" s="609"/>
      <c r="O49" s="611"/>
      <c r="P49" s="609"/>
      <c r="Q49" s="611"/>
      <c r="R49" s="609"/>
      <c r="S49" s="611"/>
      <c r="T49" s="609"/>
      <c r="U49" s="611"/>
      <c r="V49" s="609"/>
      <c r="W49" s="611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48">
        <v>17062</v>
      </c>
      <c r="AJ49" s="96"/>
      <c r="AK49" s="4"/>
      <c r="AL49" s="90">
        <v>17338</v>
      </c>
      <c r="AM49" s="14">
        <f t="shared" si="2"/>
        <v>1.0161762982065408</v>
      </c>
      <c r="AN49" s="90">
        <v>11068</v>
      </c>
      <c r="AO49" s="14">
        <f t="shared" si="2"/>
        <v>0.64869300199273239</v>
      </c>
      <c r="AP49" s="90"/>
      <c r="AQ49" s="14">
        <f t="shared" ref="AQ49:AY49" si="142">AP49/($AI49)</f>
        <v>0</v>
      </c>
      <c r="AR49" s="90">
        <v>10928</v>
      </c>
      <c r="AS49" s="14">
        <f t="shared" si="142"/>
        <v>0.64048763333724068</v>
      </c>
      <c r="AT49" s="90">
        <v>11238</v>
      </c>
      <c r="AU49" s="14">
        <f t="shared" si="142"/>
        <v>0.65865666393154376</v>
      </c>
      <c r="AV49" s="90">
        <v>11122</v>
      </c>
      <c r="AW49" s="14">
        <f t="shared" si="142"/>
        <v>0.65185792990270774</v>
      </c>
      <c r="AX49" s="90">
        <v>10650</v>
      </c>
      <c r="AY49" s="14">
        <f t="shared" si="142"/>
        <v>0.62419411557847848</v>
      </c>
      <c r="AZ49" s="90">
        <v>2569</v>
      </c>
      <c r="BA49" s="90"/>
      <c r="BC49" s="14">
        <f t="shared" si="117"/>
        <v>0</v>
      </c>
      <c r="BD49" s="2">
        <v>4707</v>
      </c>
      <c r="BE49" s="14">
        <f t="shared" si="117"/>
        <v>0.27587621615285429</v>
      </c>
      <c r="BF49" s="2">
        <v>4794</v>
      </c>
      <c r="BG49" s="14">
        <f t="shared" si="117"/>
        <v>0.28097526667448131</v>
      </c>
      <c r="BH49" s="2">
        <v>4577</v>
      </c>
      <c r="BI49" s="14">
        <f t="shared" si="117"/>
        <v>0.2682569452584691</v>
      </c>
      <c r="BK49" s="10">
        <v>4849</v>
      </c>
      <c r="BL49" s="14">
        <f t="shared" si="118"/>
        <v>0.28419880436056733</v>
      </c>
      <c r="BM49" s="10">
        <v>4885</v>
      </c>
      <c r="BN49" s="14">
        <f t="shared" si="119"/>
        <v>0.28630875630055092</v>
      </c>
      <c r="BO49" s="10">
        <v>4992</v>
      </c>
      <c r="BP49" s="14">
        <f t="shared" si="119"/>
        <v>0.29258000234439102</v>
      </c>
      <c r="BQ49" s="10">
        <v>4771</v>
      </c>
      <c r="BR49" s="14">
        <f t="shared" si="119"/>
        <v>0.27962724182393622</v>
      </c>
      <c r="BS49" s="10">
        <v>5023</v>
      </c>
      <c r="BT49" s="14">
        <f t="shared" si="119"/>
        <v>0.29439690540382135</v>
      </c>
      <c r="BU49" s="10">
        <v>4921</v>
      </c>
      <c r="BV49" s="14">
        <f t="shared" si="119"/>
        <v>0.2884187082405345</v>
      </c>
      <c r="BW49" s="10">
        <v>4937</v>
      </c>
      <c r="BX49" s="14">
        <f t="shared" si="119"/>
        <v>0.289356464658305</v>
      </c>
      <c r="BY49" s="10">
        <v>4890</v>
      </c>
      <c r="BZ49" s="14">
        <f t="shared" si="119"/>
        <v>0.28660180518110423</v>
      </c>
      <c r="CA49" s="10">
        <v>4979</v>
      </c>
      <c r="CB49" s="14">
        <f t="shared" si="119"/>
        <v>0.29181807525495251</v>
      </c>
      <c r="CC49" s="10">
        <v>4533</v>
      </c>
      <c r="CD49" s="14">
        <f t="shared" si="119"/>
        <v>0.26567811510960027</v>
      </c>
      <c r="CE49" s="10">
        <v>1704</v>
      </c>
      <c r="CF49" s="14">
        <f t="shared" si="119"/>
        <v>9.9871058492556564E-2</v>
      </c>
      <c r="CG49" s="10">
        <v>1697</v>
      </c>
      <c r="CH49" s="14">
        <f t="shared" si="119"/>
        <v>9.9460790059781978E-2</v>
      </c>
      <c r="CI49" s="10">
        <v>2352</v>
      </c>
      <c r="CJ49" s="14">
        <f t="shared" si="119"/>
        <v>0.13785019341226115</v>
      </c>
      <c r="CK49" s="10">
        <v>6734</v>
      </c>
      <c r="CL49" s="14">
        <f t="shared" si="119"/>
        <v>0.3946782323291525</v>
      </c>
      <c r="CN49" s="14">
        <f t="shared" si="119"/>
        <v>0</v>
      </c>
      <c r="CP49" s="14">
        <f t="shared" si="119"/>
        <v>0</v>
      </c>
      <c r="CQ49" s="10">
        <v>4172</v>
      </c>
      <c r="CR49" s="14">
        <f t="shared" ref="CR49" si="143">CQ49/($AI49)</f>
        <v>0.24451998593365373</v>
      </c>
      <c r="CS49" s="10">
        <v>4113</v>
      </c>
      <c r="CT49" s="14">
        <f t="shared" si="120"/>
        <v>0.24106200914312506</v>
      </c>
      <c r="CU49" s="10">
        <v>4013</v>
      </c>
      <c r="CV49" s="14">
        <f t="shared" si="121"/>
        <v>0.23520103153205954</v>
      </c>
      <c r="CW49" s="10">
        <v>4464</v>
      </c>
      <c r="CX49" s="14">
        <f t="shared" si="115"/>
        <v>0.26163404055796508</v>
      </c>
      <c r="CY49" s="10">
        <v>4540</v>
      </c>
      <c r="DA49" s="10">
        <v>5600</v>
      </c>
      <c r="DC49" s="10">
        <v>5791</v>
      </c>
      <c r="DE49" s="10">
        <v>4566</v>
      </c>
      <c r="DI49" s="10">
        <v>4875</v>
      </c>
      <c r="DK49" s="10">
        <v>5152</v>
      </c>
      <c r="DL49" s="10" t="s">
        <v>1718</v>
      </c>
    </row>
    <row r="50" spans="1:116" s="2722" customFormat="1" ht="16.5" customHeight="1" thickBot="1">
      <c r="A50" s="2721"/>
      <c r="B50" s="2722" t="s">
        <v>22</v>
      </c>
      <c r="C50" s="2723" t="s">
        <v>23</v>
      </c>
      <c r="D50" s="2724"/>
      <c r="E50" s="2725"/>
      <c r="F50" s="2726"/>
      <c r="G50" s="2727"/>
      <c r="H50" s="2727"/>
      <c r="I50" s="2727"/>
      <c r="J50" s="2727"/>
      <c r="K50" s="2727"/>
      <c r="L50" s="2727"/>
      <c r="M50" s="2727"/>
      <c r="N50" s="2727"/>
      <c r="O50" s="2727"/>
      <c r="P50" s="2727"/>
      <c r="Q50" s="2727"/>
      <c r="R50" s="2727"/>
      <c r="S50" s="2727"/>
      <c r="T50" s="2727"/>
      <c r="U50" s="2727"/>
      <c r="V50" s="2727"/>
      <c r="W50" s="2727"/>
      <c r="X50" s="2724"/>
      <c r="Y50" s="2724"/>
      <c r="Z50" s="2724"/>
      <c r="AA50" s="2724"/>
      <c r="AB50" s="2724"/>
      <c r="AC50" s="2724"/>
      <c r="AD50" s="2724"/>
      <c r="AE50" s="2724"/>
      <c r="AF50" s="2724"/>
      <c r="AG50" s="2724"/>
      <c r="AH50" s="2724"/>
      <c r="AI50" s="2724"/>
      <c r="AJ50" s="2728"/>
      <c r="AK50" s="2729"/>
      <c r="AL50" s="2724"/>
      <c r="AM50" s="2730"/>
      <c r="AN50" s="2724"/>
      <c r="AO50" s="2730"/>
      <c r="AP50" s="2724"/>
      <c r="AQ50" s="2730"/>
      <c r="AR50" s="2724"/>
      <c r="AS50" s="2730"/>
      <c r="AT50" s="2724"/>
      <c r="AU50" s="2730"/>
      <c r="AV50" s="2724"/>
      <c r="AW50" s="2730"/>
      <c r="AX50" s="2724"/>
      <c r="AY50" s="2730"/>
      <c r="AZ50" s="2724"/>
      <c r="BA50" s="2724"/>
      <c r="BC50" s="2730"/>
      <c r="BE50" s="2730"/>
      <c r="BG50" s="2730"/>
      <c r="BI50" s="2730"/>
      <c r="BL50" s="2730"/>
      <c r="BN50" s="2730"/>
      <c r="BP50" s="2730"/>
      <c r="BR50" s="2730"/>
      <c r="BT50" s="2730"/>
      <c r="BV50" s="2730"/>
      <c r="BX50" s="2730"/>
      <c r="BZ50" s="2730"/>
      <c r="CB50" s="2730"/>
      <c r="CD50" s="2730"/>
      <c r="CF50" s="2730"/>
      <c r="CH50" s="2730"/>
      <c r="CJ50" s="2730"/>
      <c r="CL50" s="2730"/>
      <c r="CN50" s="2730"/>
      <c r="CP50" s="2730"/>
      <c r="CR50" s="2730"/>
      <c r="CT50" s="2730"/>
      <c r="CV50" s="2730"/>
      <c r="CX50" s="2730"/>
    </row>
    <row r="51" spans="1:116" s="10" customFormat="1" ht="16.5" customHeight="1" thickBot="1">
      <c r="A51" s="49"/>
      <c r="B51" s="19" t="s">
        <v>134</v>
      </c>
      <c r="C51" s="38" t="str">
        <f>E51</f>
        <v>{"username":"Bern.Buchhalter@diartis.ch","password":"HBcc73+ppTX42?E."}</v>
      </c>
      <c r="D51" s="90"/>
      <c r="E51" s="91" t="str">
        <f>F51&amp;G51&amp;H51&amp;I51&amp;J51&amp;K51&amp;L51&amp;M51&amp;N51&amp;O51&amp;P51&amp;Q51&amp;R51&amp;S51&amp;T51&amp;U51&amp;V51&amp;W51&amp;X51</f>
        <v>{"username":"Bern.Buchhalter@diartis.ch","password":"HBcc73+ppTX42?E."}</v>
      </c>
      <c r="F51" s="609" t="s">
        <v>29</v>
      </c>
      <c r="G51" s="611" t="s">
        <v>219</v>
      </c>
      <c r="H51" s="609" t="s">
        <v>31</v>
      </c>
      <c r="I51" s="611" t="s">
        <v>220</v>
      </c>
      <c r="J51" s="609" t="s">
        <v>37</v>
      </c>
      <c r="K51" s="614"/>
      <c r="L51" s="609"/>
      <c r="M51" s="611"/>
      <c r="N51" s="609"/>
      <c r="O51" s="611"/>
      <c r="P51" s="609"/>
      <c r="Q51" s="611"/>
      <c r="R51" s="609"/>
      <c r="S51" s="611"/>
      <c r="T51" s="609"/>
      <c r="U51" s="611"/>
      <c r="V51" s="609"/>
      <c r="W51" s="611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6"/>
      <c r="AK51" s="4"/>
      <c r="AL51" s="90"/>
      <c r="AM51" s="132"/>
      <c r="AN51" s="90"/>
      <c r="AO51" s="132"/>
      <c r="AP51" s="90"/>
      <c r="AQ51" s="132"/>
      <c r="AR51" s="90"/>
      <c r="AS51" s="132"/>
      <c r="AT51" s="90"/>
      <c r="AU51" s="132"/>
      <c r="AV51" s="90"/>
      <c r="AW51" s="132"/>
      <c r="AX51" s="90"/>
      <c r="AY51" s="132"/>
      <c r="AZ51" s="90"/>
      <c r="BA51" s="90"/>
      <c r="BC51" s="132"/>
      <c r="BE51" s="132"/>
      <c r="BG51" s="132"/>
      <c r="BI51" s="132"/>
      <c r="BL51" s="132"/>
      <c r="BN51" s="132"/>
      <c r="BP51" s="132"/>
      <c r="BR51" s="132"/>
      <c r="BT51" s="132"/>
      <c r="BV51" s="132"/>
      <c r="BX51" s="132"/>
      <c r="BZ51" s="132"/>
      <c r="CB51" s="132"/>
      <c r="CD51" s="132"/>
      <c r="CF51" s="132"/>
      <c r="CH51" s="132"/>
      <c r="CJ51" s="132"/>
      <c r="CL51" s="132"/>
      <c r="CN51" s="132"/>
      <c r="CP51" s="132"/>
      <c r="CR51" s="132"/>
      <c r="CT51" s="132"/>
      <c r="CV51" s="132"/>
      <c r="CX51" s="132"/>
    </row>
    <row r="52" spans="1:116" s="53" customFormat="1" ht="16.5" customHeight="1" thickBot="1">
      <c r="A52" s="49"/>
      <c r="B52" s="134" t="s">
        <v>22</v>
      </c>
      <c r="C52" s="55" t="s">
        <v>194</v>
      </c>
      <c r="D52" s="90"/>
      <c r="E52" s="124"/>
      <c r="F52" s="624"/>
      <c r="G52" s="611"/>
      <c r="H52" s="611"/>
      <c r="I52" s="611"/>
      <c r="J52" s="611"/>
      <c r="K52" s="625"/>
      <c r="L52" s="611"/>
      <c r="M52" s="611"/>
      <c r="N52" s="611"/>
      <c r="O52" s="611"/>
      <c r="P52" s="611"/>
      <c r="Q52" s="611"/>
      <c r="R52" s="611"/>
      <c r="S52" s="611"/>
      <c r="T52" s="611"/>
      <c r="U52" s="611"/>
      <c r="V52" s="611"/>
      <c r="W52" s="611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6"/>
      <c r="AK52" s="96"/>
      <c r="AL52" s="90"/>
      <c r="AM52" s="132"/>
      <c r="AN52" s="90"/>
      <c r="AO52" s="132"/>
      <c r="AP52" s="90"/>
      <c r="AQ52" s="132"/>
      <c r="AR52" s="90"/>
      <c r="AS52" s="132"/>
      <c r="AT52" s="90"/>
      <c r="AU52" s="132"/>
      <c r="AV52" s="90"/>
      <c r="AW52" s="132"/>
      <c r="AX52" s="90"/>
      <c r="AY52" s="132"/>
      <c r="AZ52" s="90"/>
      <c r="BA52" s="90"/>
      <c r="BC52" s="132"/>
      <c r="BE52" s="132"/>
      <c r="BG52" s="132"/>
      <c r="BI52" s="132"/>
      <c r="BL52" s="132"/>
      <c r="BN52" s="132"/>
      <c r="BP52" s="132"/>
      <c r="BR52" s="132"/>
      <c r="BT52" s="132"/>
      <c r="BV52" s="132"/>
      <c r="BX52" s="132"/>
      <c r="BZ52" s="132"/>
      <c r="CB52" s="132"/>
      <c r="CD52" s="132"/>
      <c r="CF52" s="132"/>
      <c r="CH52" s="132"/>
      <c r="CJ52" s="132"/>
      <c r="CL52" s="132"/>
      <c r="CN52" s="132"/>
      <c r="CP52" s="132"/>
      <c r="CR52" s="132"/>
      <c r="CT52" s="132"/>
      <c r="CV52" s="132"/>
      <c r="CX52" s="132"/>
    </row>
    <row r="53" spans="1:116" s="10" customFormat="1" ht="16.5" customHeight="1" thickBot="1">
      <c r="A53" s="116"/>
      <c r="B53" s="50" t="s">
        <v>139</v>
      </c>
      <c r="C53" s="89" t="str">
        <f>E53</f>
        <v>{"searchDossierOrKlient":p.DossierName1,"resultType":"Dossiers"}</v>
      </c>
      <c r="D53" s="90"/>
      <c r="E53" s="91" t="str">
        <f>F53&amp;G53&amp;H53&amp;I53&amp;J53&amp;K53&amp;L53&amp;M53&amp;N53&amp;O53&amp;P53&amp;Q53&amp;R53&amp;S53&amp;T53&amp;U53&amp;V53&amp;W53&amp;X53</f>
        <v>{"searchDossierOrKlient":p.DossierName1,"resultType":"Dossiers"}</v>
      </c>
      <c r="F53" s="609" t="s">
        <v>140</v>
      </c>
      <c r="G53" s="611" t="str">
        <f>'001a'!$G$12</f>
        <v>p.DossierName1</v>
      </c>
      <c r="H53" s="609" t="s">
        <v>141</v>
      </c>
      <c r="I53" s="611" t="s">
        <v>142</v>
      </c>
      <c r="J53" s="609" t="s">
        <v>37</v>
      </c>
      <c r="K53" s="611"/>
      <c r="L53" s="609"/>
      <c r="M53" s="611"/>
      <c r="N53" s="609"/>
      <c r="O53" s="611"/>
      <c r="P53" s="609"/>
      <c r="Q53" s="611"/>
      <c r="R53" s="609"/>
      <c r="S53" s="611"/>
      <c r="T53" s="609"/>
      <c r="U53" s="611"/>
      <c r="V53" s="609"/>
      <c r="W53" s="611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6"/>
      <c r="AK53" s="96"/>
      <c r="AL53" s="90"/>
      <c r="AM53" s="132"/>
      <c r="AN53" s="90"/>
      <c r="AO53" s="132"/>
      <c r="AP53" s="90"/>
      <c r="AQ53" s="132"/>
      <c r="AR53" s="90"/>
      <c r="AS53" s="132"/>
      <c r="AT53" s="90"/>
      <c r="AU53" s="132"/>
      <c r="AV53" s="90"/>
      <c r="AW53" s="132"/>
      <c r="AX53" s="90"/>
      <c r="AY53" s="132"/>
      <c r="AZ53" s="90"/>
      <c r="BA53" s="90"/>
      <c r="BC53" s="132"/>
      <c r="BE53" s="132"/>
      <c r="BG53" s="132"/>
      <c r="BI53" s="132"/>
      <c r="BL53" s="132"/>
      <c r="BN53" s="132"/>
      <c r="BP53" s="132"/>
      <c r="BR53" s="132"/>
      <c r="BT53" s="132"/>
      <c r="BV53" s="132"/>
      <c r="BX53" s="132"/>
      <c r="BZ53" s="132"/>
      <c r="CB53" s="132"/>
      <c r="CD53" s="132"/>
      <c r="CF53" s="132"/>
      <c r="CH53" s="132"/>
      <c r="CJ53" s="132"/>
      <c r="CL53" s="132"/>
      <c r="CN53" s="132"/>
      <c r="CP53" s="132"/>
      <c r="CR53" s="132"/>
      <c r="CT53" s="132"/>
      <c r="CV53" s="132"/>
      <c r="CX53" s="132"/>
    </row>
    <row r="54" spans="1:116" s="10" customFormat="1" ht="16.5" customHeight="1" thickBot="1">
      <c r="A54" s="21"/>
      <c r="B54" s="135" t="s">
        <v>221</v>
      </c>
      <c r="C54" s="89" t="str">
        <f>E54</f>
        <v>{"bisValutaDatum":"31.12.2024","dossier":p.DossierName1,"zahlungenTotal":"","buchhaltung":`Regionaler Sozialdienst "Bern"`,"zustGemeinde":""}</v>
      </c>
      <c r="D54" s="90"/>
      <c r="E54" s="91" t="str">
        <f>F54&amp;G54&amp;H54&amp;I54&amp;J54&amp;K54&amp;L54&amp;M54&amp;N54&amp;O54&amp;P54&amp;Q54&amp;R54&amp;S54&amp;T54&amp;U54&amp;V54&amp;W54&amp;X54</f>
        <v>{"bisValutaDatum":"31.12.2024","dossier":p.DossierName1,"zahlungenTotal":"","buchhaltung":`Regionaler Sozialdienst "Bern"`,"zustGemeinde":""}</v>
      </c>
      <c r="F54" s="609" t="s">
        <v>222</v>
      </c>
      <c r="G54" s="611" t="s">
        <v>223</v>
      </c>
      <c r="H54" s="609" t="s">
        <v>224</v>
      </c>
      <c r="I54" s="614" t="str">
        <f>G48</f>
        <v>p.DossierName1</v>
      </c>
      <c r="J54" s="609" t="s">
        <v>225</v>
      </c>
      <c r="K54" s="375"/>
      <c r="L54" s="609" t="s">
        <v>226</v>
      </c>
      <c r="M54" s="611" t="s">
        <v>227</v>
      </c>
      <c r="N54" s="609" t="s">
        <v>228</v>
      </c>
      <c r="O54" s="611"/>
      <c r="P54" s="609" t="s">
        <v>37</v>
      </c>
      <c r="Q54" s="611"/>
      <c r="R54" s="609"/>
      <c r="S54" s="611"/>
      <c r="T54" s="609"/>
      <c r="U54" s="611"/>
      <c r="V54" s="609"/>
      <c r="W54" s="611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6"/>
      <c r="AK54" s="96"/>
      <c r="AL54" s="90"/>
      <c r="AM54" s="132"/>
      <c r="AN54" s="90"/>
      <c r="AO54" s="132"/>
      <c r="AP54" s="90"/>
      <c r="AQ54" s="132"/>
      <c r="AR54" s="90"/>
      <c r="AS54" s="132"/>
      <c r="AT54" s="90"/>
      <c r="AU54" s="132"/>
      <c r="AV54" s="90"/>
      <c r="AW54" s="132"/>
      <c r="AX54" s="90"/>
      <c r="AY54" s="132"/>
      <c r="AZ54" s="90"/>
      <c r="BA54" s="90"/>
      <c r="BC54" s="132"/>
      <c r="BE54" s="132"/>
      <c r="BG54" s="132"/>
      <c r="BI54" s="132"/>
      <c r="BL54" s="132"/>
      <c r="BN54" s="132"/>
      <c r="BP54" s="132"/>
      <c r="BR54" s="132"/>
      <c r="BT54" s="132"/>
      <c r="BV54" s="132"/>
      <c r="BX54" s="132"/>
      <c r="BZ54" s="132"/>
      <c r="CB54" s="132"/>
      <c r="CD54" s="132"/>
      <c r="CF54" s="132"/>
      <c r="CH54" s="132"/>
      <c r="CJ54" s="132"/>
      <c r="CL54" s="132"/>
      <c r="CN54" s="132"/>
      <c r="CP54" s="132"/>
      <c r="CR54" s="132"/>
      <c r="CT54" s="132"/>
      <c r="CV54" s="132"/>
      <c r="CX54" s="132"/>
    </row>
    <row r="55" spans="1:116" s="53" customFormat="1" ht="16.5" customHeight="1" thickBot="1">
      <c r="A55" s="49"/>
      <c r="B55" s="54" t="s">
        <v>22</v>
      </c>
      <c r="C55" s="55" t="s">
        <v>126</v>
      </c>
      <c r="D55" s="90"/>
      <c r="E55" s="124"/>
      <c r="F55" s="624"/>
      <c r="G55" s="611"/>
      <c r="H55" s="611"/>
      <c r="I55" s="611"/>
      <c r="J55" s="611"/>
      <c r="K55" s="625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6"/>
      <c r="AK55" s="96"/>
      <c r="AL55" s="90"/>
      <c r="AM55" s="132"/>
      <c r="AN55" s="90"/>
      <c r="AO55" s="132"/>
      <c r="AP55" s="90"/>
      <c r="AQ55" s="132"/>
      <c r="AR55" s="90"/>
      <c r="AS55" s="132"/>
      <c r="AT55" s="90"/>
      <c r="AU55" s="132"/>
      <c r="AV55" s="90"/>
      <c r="AW55" s="132"/>
      <c r="AX55" s="90"/>
      <c r="AY55" s="132"/>
      <c r="AZ55" s="90"/>
      <c r="BA55" s="90"/>
      <c r="BC55" s="132"/>
      <c r="BE55" s="132"/>
      <c r="BG55" s="132"/>
      <c r="BI55" s="132"/>
      <c r="BL55" s="132"/>
      <c r="BN55" s="132"/>
      <c r="BP55" s="132"/>
      <c r="BR55" s="132"/>
      <c r="BT55" s="132"/>
      <c r="BV55" s="132"/>
      <c r="BX55" s="132"/>
      <c r="BZ55" s="132"/>
      <c r="CB55" s="132"/>
      <c r="CD55" s="132"/>
      <c r="CF55" s="132"/>
      <c r="CH55" s="132"/>
      <c r="CJ55" s="132"/>
      <c r="CL55" s="132"/>
      <c r="CN55" s="132"/>
      <c r="CP55" s="132"/>
      <c r="CR55" s="132"/>
      <c r="CT55" s="132"/>
      <c r="CV55" s="132"/>
      <c r="CX55" s="132"/>
    </row>
    <row r="56" spans="1:116" s="10" customFormat="1" ht="16.5" customHeight="1" thickBot="1">
      <c r="A56" s="21"/>
      <c r="B56" s="16" t="s">
        <v>229</v>
      </c>
      <c r="C56" s="38" t="str">
        <f>E56</f>
        <v>{"dossier":p.DossierName1,"ausgefuehrteZahlungen":"4"}</v>
      </c>
      <c r="D56" s="38"/>
      <c r="E56" s="91" t="str">
        <f>F56&amp;G56&amp;H56&amp;I56&amp;J56&amp;K56&amp;L56&amp;M56&amp;N56&amp;O56&amp;P56&amp;Q56&amp;R56&amp;S56&amp;T56&amp;U56&amp;V56&amp;W56</f>
        <v>{"dossier":p.DossierName1,"ausgefuehrteZahlungen":"4"}</v>
      </c>
      <c r="F56" s="611" t="s">
        <v>159</v>
      </c>
      <c r="G56" s="611" t="str">
        <f>G63</f>
        <v>p.DossierName1</v>
      </c>
      <c r="H56" s="611" t="s">
        <v>230</v>
      </c>
      <c r="I56" s="609">
        <v>4</v>
      </c>
      <c r="J56" s="611" t="s">
        <v>37</v>
      </c>
      <c r="K56" s="611"/>
      <c r="L56" s="611"/>
      <c r="M56" s="611"/>
      <c r="N56" s="611"/>
      <c r="O56" s="625"/>
      <c r="P56" s="611"/>
      <c r="Q56" s="611"/>
      <c r="R56" s="611"/>
      <c r="S56" s="611"/>
      <c r="T56" s="611"/>
      <c r="U56" s="611"/>
      <c r="V56" s="611"/>
      <c r="W56" s="611"/>
      <c r="X56" s="2"/>
      <c r="Y56" s="2" t="s">
        <v>37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96"/>
      <c r="AK56" s="96"/>
      <c r="AL56" s="2"/>
      <c r="AM56" s="132"/>
      <c r="AN56" s="2"/>
      <c r="AO56" s="132"/>
      <c r="AP56" s="2"/>
      <c r="AQ56" s="132"/>
      <c r="AR56" s="2"/>
      <c r="AS56" s="132"/>
      <c r="AT56" s="2"/>
      <c r="AU56" s="132"/>
      <c r="AV56" s="2"/>
      <c r="AW56" s="132"/>
      <c r="AX56" s="2"/>
      <c r="AY56" s="132"/>
      <c r="AZ56" s="2"/>
      <c r="BA56" s="2"/>
      <c r="BC56" s="132"/>
      <c r="BE56" s="132"/>
      <c r="BG56" s="132"/>
      <c r="BI56" s="132"/>
      <c r="BL56" s="132"/>
      <c r="BN56" s="132"/>
      <c r="BP56" s="132"/>
      <c r="BR56" s="132"/>
      <c r="BT56" s="132"/>
      <c r="BV56" s="132"/>
      <c r="BX56" s="132"/>
      <c r="BZ56" s="132"/>
      <c r="CB56" s="132"/>
      <c r="CD56" s="132"/>
      <c r="CF56" s="132"/>
      <c r="CH56" s="132"/>
      <c r="CJ56" s="132"/>
      <c r="CL56" s="132"/>
      <c r="CN56" s="132"/>
      <c r="CP56" s="132"/>
      <c r="CR56" s="132"/>
      <c r="CT56" s="132"/>
      <c r="CV56" s="132"/>
      <c r="CX56" s="132"/>
    </row>
    <row r="57" spans="1:116" ht="16.5" customHeight="1">
      <c r="A57" s="49"/>
      <c r="B57" s="137" t="s">
        <v>134</v>
      </c>
      <c r="C57" s="88" t="s">
        <v>138</v>
      </c>
      <c r="E57" s="2" t="str">
        <f>F57&amp;G57&amp;H57&amp;I57&amp;J57&amp;K57&amp;L57&amp;M57&amp;N57&amp;O57&amp;P57&amp;Q57&amp;R57&amp;S57&amp;T57&amp;U57&amp;V57&amp;W57&amp;X57</f>
        <v>{"username":"Bern.Sachbearbeiterin@diartis.ch","password":"XXxa22?pdTA66-S@"}</v>
      </c>
      <c r="F57" s="609" t="s">
        <v>29</v>
      </c>
      <c r="G57" s="611" t="s">
        <v>30</v>
      </c>
      <c r="H57" s="609" t="s">
        <v>31</v>
      </c>
      <c r="I57" s="611" t="s">
        <v>32</v>
      </c>
      <c r="J57" s="609" t="s">
        <v>37</v>
      </c>
      <c r="AJ57" s="96"/>
      <c r="AK57" s="96"/>
      <c r="AM57" s="132"/>
      <c r="AO57" s="132"/>
      <c r="AQ57" s="132"/>
      <c r="AS57" s="132"/>
      <c r="AU57" s="132"/>
      <c r="AW57" s="132"/>
      <c r="AY57" s="132"/>
      <c r="BC57" s="132"/>
      <c r="BE57" s="132"/>
      <c r="BG57" s="132"/>
      <c r="BI57" s="132"/>
      <c r="BL57" s="132"/>
      <c r="BN57" s="132"/>
      <c r="BP57" s="132"/>
      <c r="BR57" s="132"/>
      <c r="BT57" s="132"/>
      <c r="BV57" s="132"/>
      <c r="BX57" s="132"/>
      <c r="BZ57" s="132"/>
      <c r="CB57" s="132"/>
      <c r="CD57" s="132"/>
      <c r="CF57" s="132"/>
      <c r="CH57" s="132"/>
      <c r="CJ57" s="132"/>
      <c r="CL57" s="132"/>
      <c r="CN57" s="132"/>
      <c r="CP57" s="132"/>
      <c r="CR57" s="132"/>
      <c r="CT57" s="132"/>
      <c r="CV57" s="132"/>
      <c r="CX57" s="132"/>
    </row>
    <row r="58" spans="1:116" ht="14.25"/>
    <row r="59" spans="1:116" ht="16.5" customHeight="1">
      <c r="B59" s="24" t="s">
        <v>231</v>
      </c>
      <c r="C59" s="38"/>
      <c r="E59" s="2"/>
      <c r="K59" s="609" t="s">
        <v>232</v>
      </c>
      <c r="AJ59" s="96"/>
      <c r="AK59" s="96"/>
    </row>
    <row r="60" spans="1:116" ht="16.5" customHeight="1">
      <c r="B60" s="2" t="s">
        <v>233</v>
      </c>
      <c r="C60" s="38"/>
      <c r="E60" s="2"/>
      <c r="AJ60" s="96"/>
      <c r="AK60" s="96"/>
    </row>
    <row r="61" spans="1:116" ht="16.5" customHeight="1">
      <c r="B61" s="2" t="s">
        <v>234</v>
      </c>
      <c r="C61" s="38"/>
      <c r="E61" s="2"/>
      <c r="AJ61" s="4"/>
      <c r="AK61" s="96"/>
    </row>
    <row r="62" spans="1:116" ht="16.5" customHeight="1">
      <c r="B62" s="18" t="s">
        <v>235</v>
      </c>
      <c r="C62" s="38"/>
      <c r="E62" s="2"/>
      <c r="AJ62" s="4"/>
      <c r="AK62" s="2"/>
    </row>
    <row r="63" spans="1:116" ht="16.5" customHeight="1">
      <c r="B63" s="2" t="s">
        <v>233</v>
      </c>
      <c r="C63" s="38"/>
      <c r="E63" s="2"/>
      <c r="F63" s="609" t="s">
        <v>236</v>
      </c>
      <c r="G63" s="611" t="str">
        <f>"p.DossierName"&amp;G68</f>
        <v>p.DossierName1</v>
      </c>
      <c r="H63" s="611" t="str">
        <f>"p.ManFirstName"&amp;G68</f>
        <v>p.ManFirstName1</v>
      </c>
      <c r="I63" s="611" t="str">
        <f>"p.AHVNumber"&amp;G70</f>
        <v>p.AHVNumber1</v>
      </c>
      <c r="J63" s="614" t="str">
        <f>"p.BirthdayAdult"&amp;G68</f>
        <v>p.BirthdayAdult1</v>
      </c>
      <c r="AJ63" s="4"/>
    </row>
    <row r="64" spans="1:116" ht="16.5" customHeight="1">
      <c r="B64" s="2" t="s">
        <v>231</v>
      </c>
      <c r="C64" s="38"/>
      <c r="E64" s="2"/>
      <c r="F64" s="609" t="s">
        <v>237</v>
      </c>
      <c r="G64" s="611" t="str">
        <f>"p.FamilyName"&amp;G68</f>
        <v>p.FamilyName1</v>
      </c>
      <c r="H64" s="611" t="str">
        <f>"p.WomanFirstName"&amp;G68</f>
        <v>p.WomanFirstName1</v>
      </c>
      <c r="I64" s="611" t="str">
        <f>"p.AHVNumber"&amp;G70+1</f>
        <v>p.AHVNumber2</v>
      </c>
      <c r="J64" s="614" t="str">
        <f>"p.BirthdayAdult"&amp;G69</f>
        <v>p.BirthdayAdult2</v>
      </c>
      <c r="AJ64" s="4"/>
      <c r="AK64" s="2"/>
    </row>
    <row r="65" spans="2:37" ht="16.5" customHeight="1">
      <c r="C65" s="38"/>
      <c r="E65" s="2"/>
      <c r="F65" s="609" t="s">
        <v>238</v>
      </c>
      <c r="G65" s="611" t="str">
        <f>G64</f>
        <v>p.FamilyName1</v>
      </c>
      <c r="H65" s="611" t="str">
        <f>"p.GirlFirstName"&amp;G68</f>
        <v>p.GirlFirstName1</v>
      </c>
      <c r="I65" s="611" t="str">
        <f>"p.AHVNumber"&amp;G70+2</f>
        <v>p.AHVNumber3</v>
      </c>
      <c r="J65" s="614" t="str">
        <f>"p.BirthdayKid"&amp;G68</f>
        <v>p.BirthdayKid1</v>
      </c>
      <c r="AJ65" s="4"/>
      <c r="AK65" s="96"/>
    </row>
    <row r="66" spans="2:37" ht="16.5" customHeight="1">
      <c r="B66" s="15" t="s">
        <v>239</v>
      </c>
      <c r="C66" s="38"/>
      <c r="E66" s="2"/>
      <c r="H66" s="611" t="str">
        <f>"p.ManFirstName"&amp;G69</f>
        <v>p.ManFirstName2</v>
      </c>
      <c r="I66" s="611" t="str">
        <f>"p.AHVNumber"&amp;G70+3</f>
        <v>p.AHVNumber4</v>
      </c>
      <c r="J66" s="614" t="str">
        <f>"p.BirthdayKid"&amp;G69</f>
        <v>p.BirthdayKid2</v>
      </c>
      <c r="AJ66" s="4"/>
      <c r="AK66" s="96"/>
    </row>
    <row r="67" spans="2:37" ht="16.5" customHeight="1">
      <c r="C67" s="38"/>
      <c r="E67" s="2"/>
      <c r="AJ67" s="4"/>
      <c r="AK67" s="2"/>
    </row>
    <row r="68" spans="2:37" ht="16.5" customHeight="1">
      <c r="B68" s="2" t="s">
        <v>240</v>
      </c>
      <c r="C68" s="38"/>
      <c r="E68" s="2"/>
      <c r="G68" s="611">
        <v>1</v>
      </c>
      <c r="AJ68" s="4"/>
      <c r="AK68" s="96"/>
    </row>
    <row r="69" spans="2:37" ht="16.5" customHeight="1">
      <c r="B69" s="24" t="s">
        <v>241</v>
      </c>
      <c r="C69" s="38"/>
      <c r="E69" s="2"/>
      <c r="G69" s="611">
        <f>G68+1</f>
        <v>2</v>
      </c>
      <c r="AJ69" s="4"/>
      <c r="AK69" s="96"/>
    </row>
    <row r="70" spans="2:37" ht="16.5" customHeight="1">
      <c r="B70" s="24" t="s">
        <v>242</v>
      </c>
      <c r="C70" s="38"/>
      <c r="E70" s="2"/>
      <c r="G70" s="611">
        <f>G68*4-4+1</f>
        <v>1</v>
      </c>
      <c r="AJ70" s="4"/>
    </row>
    <row r="71" spans="2:37" ht="16.5" customHeight="1" thickBot="1">
      <c r="B71" s="24" t="s">
        <v>243</v>
      </c>
      <c r="C71" s="38"/>
      <c r="E71" s="2"/>
    </row>
    <row r="72" spans="2:37" ht="16.5" customHeight="1">
      <c r="B72" s="24" t="s">
        <v>244</v>
      </c>
      <c r="C72" s="38"/>
      <c r="D72" s="139" t="s">
        <v>245</v>
      </c>
      <c r="E72" s="140"/>
      <c r="F72" s="626"/>
      <c r="G72" s="626"/>
      <c r="H72" s="626"/>
      <c r="I72" s="627"/>
    </row>
    <row r="73" spans="2:37" ht="16.5" customHeight="1">
      <c r="B73" s="144" t="s">
        <v>246</v>
      </c>
      <c r="C73" s="38"/>
      <c r="D73" s="145"/>
      <c r="E73" s="2">
        <f ca="1">MONTH(TODAY())</f>
        <v>11</v>
      </c>
      <c r="F73" s="146" t="str">
        <f t="array" aca="1" ref="F73" ca="1">_xlfn.CHOOSEROWS(H$85:H$108,E73)&amp;" "&amp;_xlfn.CHOOSEROWS(I$85:I$108,E73)</f>
        <v>November 2025</v>
      </c>
      <c r="G73" s="609"/>
      <c r="H73" s="611"/>
      <c r="I73" s="628"/>
    </row>
    <row r="74" spans="2:37" ht="16.5" customHeight="1">
      <c r="B74" s="24" t="s">
        <v>247</v>
      </c>
      <c r="C74" s="38"/>
      <c r="D74" s="145"/>
      <c r="E74" s="2">
        <f ca="1">E73+1</f>
        <v>12</v>
      </c>
      <c r="F74" s="146" t="str">
        <f t="array" aca="1" ref="F74" ca="1">_xlfn.CHOOSEROWS(H$85:H$108,E74)&amp;" "&amp;_xlfn.CHOOSEROWS(I$85:I$108,E74)</f>
        <v>Dezember 2025</v>
      </c>
      <c r="G74" s="609"/>
      <c r="H74" s="611"/>
      <c r="I74" s="628"/>
    </row>
    <row r="75" spans="2:37" ht="16.5" customHeight="1">
      <c r="B75" s="144" t="s">
        <v>248</v>
      </c>
      <c r="C75" s="38"/>
      <c r="D75" s="145"/>
      <c r="E75" s="2">
        <f t="shared" ref="E75:E79" ca="1" si="144">E74+1</f>
        <v>13</v>
      </c>
      <c r="F75" s="146" t="str">
        <f t="array" aca="1" ref="F75" ca="1">_xlfn.CHOOSEROWS(H$85:H$108,E75)&amp;" "&amp;_xlfn.CHOOSEROWS(I$85:I$108,E75)</f>
        <v>Januar 2026</v>
      </c>
      <c r="G75" s="609"/>
      <c r="H75" s="611"/>
      <c r="I75" s="628"/>
    </row>
    <row r="76" spans="2:37" ht="16.5" customHeight="1">
      <c r="C76" s="38"/>
      <c r="D76" s="145"/>
      <c r="E76" s="2">
        <f t="shared" ca="1" si="144"/>
        <v>14</v>
      </c>
      <c r="F76" s="146" t="str">
        <f t="array" aca="1" ref="F76" ca="1">_xlfn.CHOOSEROWS(H$85:H$108,E76)&amp;" "&amp;_xlfn.CHOOSEROWS(I$85:I$108,E76)</f>
        <v>Februar 2026</v>
      </c>
      <c r="G76" s="609"/>
      <c r="H76" s="611"/>
      <c r="I76" s="628"/>
    </row>
    <row r="77" spans="2:37" ht="16.5" customHeight="1">
      <c r="C77" s="38"/>
      <c r="D77" s="145"/>
      <c r="E77" s="2">
        <f t="shared" ca="1" si="144"/>
        <v>15</v>
      </c>
      <c r="F77" s="146" t="str">
        <f t="array" aca="1" ref="F77" ca="1">_xlfn.CHOOSEROWS(H$85:H$108,E77)&amp;" "&amp;_xlfn.CHOOSEROWS(I$85:I$108,E77)</f>
        <v>März 2026</v>
      </c>
      <c r="G77" s="609"/>
      <c r="H77" s="611"/>
      <c r="I77" s="628"/>
    </row>
    <row r="78" spans="2:37" ht="16.5" customHeight="1">
      <c r="C78" s="38"/>
      <c r="D78" s="145"/>
      <c r="E78" s="2">
        <f t="shared" ca="1" si="144"/>
        <v>16</v>
      </c>
      <c r="F78" s="146" t="str">
        <f t="array" aca="1" ref="F78" ca="1">_xlfn.CHOOSEROWS(H$85:H$108,E78)&amp;" "&amp;_xlfn.CHOOSEROWS(I$85:I$108,E78)</f>
        <v>April 2026</v>
      </c>
      <c r="G78" s="609"/>
      <c r="H78" s="611"/>
      <c r="I78" s="628"/>
    </row>
    <row r="79" spans="2:37" ht="16.5" customHeight="1">
      <c r="C79" s="38"/>
      <c r="D79" s="145"/>
      <c r="E79" s="2">
        <f t="shared" ca="1" si="144"/>
        <v>17</v>
      </c>
      <c r="F79" s="146" t="str">
        <f t="array" aca="1" ref="F79" ca="1">_xlfn.CHOOSEROWS(H$85:H$117,E79)&amp;" "&amp;_xlfn.CHOOSEROWS(I$85:I$117,E79)</f>
        <v>Mai 2026</v>
      </c>
      <c r="G79" s="609"/>
      <c r="H79" s="611"/>
      <c r="I79" s="628"/>
    </row>
    <row r="80" spans="2:37" ht="16.5" customHeight="1">
      <c r="C80" s="38"/>
      <c r="D80" s="145"/>
      <c r="E80" s="2"/>
      <c r="F80" s="629"/>
      <c r="G80" s="609"/>
      <c r="H80" s="611"/>
      <c r="I80" s="628"/>
    </row>
    <row r="81" spans="3:9" ht="16.5" customHeight="1">
      <c r="C81" s="38"/>
      <c r="D81" s="145"/>
      <c r="E81" s="2">
        <v>13</v>
      </c>
      <c r="F81" s="611">
        <f t="array" ref="F81">_xlfn.CHOOSEROWS(I85:I108,E81)</f>
        <v>2026</v>
      </c>
      <c r="G81" s="609"/>
      <c r="H81" s="611"/>
      <c r="I81" s="628"/>
    </row>
    <row r="82" spans="3:9" ht="16.5" customHeight="1">
      <c r="C82" s="38"/>
      <c r="D82" s="145"/>
      <c r="E82" s="2"/>
      <c r="F82" s="611"/>
      <c r="G82" s="609"/>
      <c r="H82" s="611"/>
      <c r="I82" s="628"/>
    </row>
    <row r="83" spans="3:9" ht="16.5" customHeight="1">
      <c r="C83" s="38"/>
      <c r="D83" s="145"/>
      <c r="E83" s="2"/>
      <c r="F83" s="611"/>
      <c r="G83" s="609"/>
      <c r="H83" s="611"/>
      <c r="I83" s="628"/>
    </row>
    <row r="84" spans="3:9" ht="16.5" customHeight="1">
      <c r="C84" s="38"/>
      <c r="D84" s="145"/>
      <c r="E84" s="2"/>
      <c r="F84" s="611" t="str">
        <f t="array" ref="F84">_xlfn.CHOOSEROWS(H84:H90,3)</f>
        <v>Februar</v>
      </c>
      <c r="G84" s="609"/>
      <c r="H84" s="611"/>
      <c r="I84" s="628"/>
    </row>
    <row r="85" spans="3:9" ht="16.5" customHeight="1">
      <c r="C85" s="38"/>
      <c r="D85" s="145"/>
      <c r="E85" s="2"/>
      <c r="F85" s="611"/>
      <c r="G85" s="609">
        <v>1</v>
      </c>
      <c r="H85" s="611" t="s">
        <v>249</v>
      </c>
      <c r="I85" s="628">
        <v>2025</v>
      </c>
    </row>
    <row r="86" spans="3:9" ht="16.5" customHeight="1">
      <c r="C86" s="38"/>
      <c r="D86" s="145"/>
      <c r="E86" s="2"/>
      <c r="F86" s="611"/>
      <c r="G86" s="609">
        <v>2</v>
      </c>
      <c r="H86" s="611" t="s">
        <v>250</v>
      </c>
      <c r="I86" s="628">
        <v>2025</v>
      </c>
    </row>
    <row r="87" spans="3:9" ht="16.5" customHeight="1">
      <c r="C87" s="38"/>
      <c r="D87" s="145"/>
      <c r="E87" s="2"/>
      <c r="F87" s="611"/>
      <c r="G87" s="609">
        <v>3</v>
      </c>
      <c r="H87" s="611" t="s">
        <v>251</v>
      </c>
      <c r="I87" s="628">
        <v>2025</v>
      </c>
    </row>
    <row r="88" spans="3:9" ht="16.5" customHeight="1">
      <c r="C88" s="38"/>
      <c r="D88" s="145"/>
      <c r="E88" s="2"/>
      <c r="F88" s="611"/>
      <c r="G88" s="609">
        <v>4</v>
      </c>
      <c r="H88" s="611" t="s">
        <v>252</v>
      </c>
      <c r="I88" s="628">
        <v>2025</v>
      </c>
    </row>
    <row r="89" spans="3:9" ht="16.5" customHeight="1">
      <c r="C89" s="38"/>
      <c r="D89" s="145"/>
      <c r="E89" s="2"/>
      <c r="F89" s="611"/>
      <c r="G89" s="609">
        <v>5</v>
      </c>
      <c r="H89" s="611" t="s">
        <v>253</v>
      </c>
      <c r="I89" s="628">
        <v>2025</v>
      </c>
    </row>
    <row r="90" spans="3:9" ht="16.5" customHeight="1">
      <c r="C90" s="38"/>
      <c r="D90" s="145"/>
      <c r="E90" s="2"/>
      <c r="F90" s="611"/>
      <c r="G90" s="609">
        <v>6</v>
      </c>
      <c r="H90" s="611" t="s">
        <v>254</v>
      </c>
      <c r="I90" s="628">
        <v>2025</v>
      </c>
    </row>
    <row r="91" spans="3:9" ht="16.5" customHeight="1">
      <c r="F91" s="611"/>
      <c r="G91" s="609">
        <v>7</v>
      </c>
      <c r="H91" s="611" t="s">
        <v>255</v>
      </c>
      <c r="I91" s="628">
        <v>2025</v>
      </c>
    </row>
    <row r="92" spans="3:9" ht="16.5" customHeight="1">
      <c r="F92" s="611"/>
      <c r="G92" s="609">
        <v>8</v>
      </c>
      <c r="H92" s="611" t="s">
        <v>256</v>
      </c>
      <c r="I92" s="628">
        <v>2025</v>
      </c>
    </row>
    <row r="93" spans="3:9" ht="16.5" customHeight="1">
      <c r="F93" s="611"/>
      <c r="G93" s="609">
        <v>9</v>
      </c>
      <c r="H93" s="611" t="s">
        <v>257</v>
      </c>
      <c r="I93" s="628">
        <v>2025</v>
      </c>
    </row>
    <row r="94" spans="3:9" ht="16.5" customHeight="1">
      <c r="F94" s="611"/>
      <c r="G94" s="609">
        <v>10</v>
      </c>
      <c r="H94" s="611" t="s">
        <v>258</v>
      </c>
      <c r="I94" s="628">
        <v>2025</v>
      </c>
    </row>
    <row r="95" spans="3:9" ht="16.5" customHeight="1">
      <c r="F95" s="611"/>
      <c r="G95" s="609">
        <v>11</v>
      </c>
      <c r="H95" s="611" t="s">
        <v>259</v>
      </c>
      <c r="I95" s="628">
        <v>2025</v>
      </c>
    </row>
    <row r="96" spans="3:9" ht="16.5" customHeight="1">
      <c r="F96" s="611"/>
      <c r="G96" s="609">
        <v>12</v>
      </c>
      <c r="H96" s="611" t="s">
        <v>260</v>
      </c>
      <c r="I96" s="628">
        <v>2025</v>
      </c>
    </row>
    <row r="97" spans="2:9" ht="16.5" customHeight="1">
      <c r="F97" s="611"/>
      <c r="G97" s="609">
        <v>13</v>
      </c>
      <c r="H97" s="611" t="s">
        <v>249</v>
      </c>
      <c r="I97" s="628">
        <v>2026</v>
      </c>
    </row>
    <row r="98" spans="2:9" ht="16.5" customHeight="1">
      <c r="F98" s="611"/>
      <c r="G98" s="609">
        <v>14</v>
      </c>
      <c r="H98" s="611" t="s">
        <v>250</v>
      </c>
      <c r="I98" s="628">
        <v>2026</v>
      </c>
    </row>
    <row r="99" spans="2:9" ht="16.5" customHeight="1">
      <c r="F99" s="611"/>
      <c r="G99" s="609">
        <v>15</v>
      </c>
      <c r="H99" s="611" t="s">
        <v>251</v>
      </c>
      <c r="I99" s="628">
        <v>2026</v>
      </c>
    </row>
    <row r="100" spans="2:9" ht="16.5" customHeight="1">
      <c r="F100" s="611"/>
      <c r="G100" s="609">
        <v>16</v>
      </c>
      <c r="H100" s="611" t="s">
        <v>252</v>
      </c>
      <c r="I100" s="628">
        <v>2026</v>
      </c>
    </row>
    <row r="101" spans="2:9" ht="16.5" customHeight="1">
      <c r="F101" s="611"/>
      <c r="G101" s="609">
        <v>17</v>
      </c>
      <c r="H101" s="611" t="s">
        <v>253</v>
      </c>
      <c r="I101" s="628">
        <v>2026</v>
      </c>
    </row>
    <row r="102" spans="2:9" ht="16.5" customHeight="1">
      <c r="F102" s="611"/>
      <c r="G102" s="609">
        <v>18</v>
      </c>
      <c r="H102" s="611" t="s">
        <v>254</v>
      </c>
      <c r="I102" s="628">
        <v>2026</v>
      </c>
    </row>
    <row r="103" spans="2:9" ht="16.5" customHeight="1">
      <c r="F103" s="611"/>
      <c r="G103" s="609">
        <v>19</v>
      </c>
      <c r="H103" s="611" t="s">
        <v>255</v>
      </c>
      <c r="I103" s="628">
        <v>2026</v>
      </c>
    </row>
    <row r="104" spans="2:9" ht="16.5" customHeight="1">
      <c r="F104" s="611"/>
      <c r="G104" s="609">
        <v>20</v>
      </c>
      <c r="H104" s="611" t="s">
        <v>256</v>
      </c>
      <c r="I104" s="628">
        <v>2026</v>
      </c>
    </row>
    <row r="105" spans="2:9" ht="16.5" customHeight="1">
      <c r="F105" s="611"/>
      <c r="G105" s="609">
        <v>21</v>
      </c>
      <c r="H105" s="611" t="s">
        <v>257</v>
      </c>
      <c r="I105" s="628">
        <v>2026</v>
      </c>
    </row>
    <row r="106" spans="2:9" ht="16.5" customHeight="1">
      <c r="F106" s="611"/>
      <c r="G106" s="609">
        <v>22</v>
      </c>
      <c r="H106" s="611" t="s">
        <v>258</v>
      </c>
      <c r="I106" s="628">
        <v>2026</v>
      </c>
    </row>
    <row r="107" spans="2:9" ht="16.5" customHeight="1">
      <c r="F107" s="611"/>
      <c r="G107" s="609">
        <v>23</v>
      </c>
      <c r="H107" s="611" t="s">
        <v>259</v>
      </c>
      <c r="I107" s="628">
        <v>2026</v>
      </c>
    </row>
    <row r="108" spans="2:9" ht="16.5" customHeight="1" thickBot="1">
      <c r="F108" s="630"/>
      <c r="G108" s="609">
        <v>24</v>
      </c>
      <c r="H108" s="631" t="s">
        <v>260</v>
      </c>
      <c r="I108" s="628">
        <v>2026</v>
      </c>
    </row>
    <row r="109" spans="2:9" ht="16.5" customHeight="1">
      <c r="G109" s="609">
        <v>25</v>
      </c>
      <c r="H109" s="611" t="s">
        <v>249</v>
      </c>
      <c r="I109" s="628">
        <v>2027</v>
      </c>
    </row>
    <row r="110" spans="2:9" ht="16.5" customHeight="1">
      <c r="G110" s="609">
        <v>26</v>
      </c>
      <c r="H110" s="611" t="s">
        <v>250</v>
      </c>
      <c r="I110" s="628">
        <v>2027</v>
      </c>
    </row>
    <row r="111" spans="2:9" ht="16.5" customHeight="1">
      <c r="G111" s="609">
        <v>27</v>
      </c>
      <c r="H111" s="611" t="s">
        <v>251</v>
      </c>
      <c r="I111" s="628">
        <v>2027</v>
      </c>
    </row>
    <row r="112" spans="2:9" ht="16.5" customHeight="1">
      <c r="B112" s="2" t="s">
        <v>492</v>
      </c>
      <c r="G112" s="609">
        <v>28</v>
      </c>
      <c r="H112" s="611" t="s">
        <v>252</v>
      </c>
      <c r="I112" s="628">
        <v>2027</v>
      </c>
    </row>
    <row r="113" spans="7:9" ht="16.5" customHeight="1">
      <c r="G113" s="609">
        <v>29</v>
      </c>
      <c r="H113" s="611" t="s">
        <v>253</v>
      </c>
      <c r="I113" s="628">
        <v>2027</v>
      </c>
    </row>
    <row r="114" spans="7:9" ht="16.5" customHeight="1">
      <c r="G114" s="609">
        <v>30</v>
      </c>
      <c r="H114" s="611" t="s">
        <v>254</v>
      </c>
      <c r="I114" s="628">
        <v>2027</v>
      </c>
    </row>
    <row r="115" spans="7:9" ht="16.5" customHeight="1">
      <c r="G115" s="609">
        <v>31</v>
      </c>
      <c r="H115" s="611" t="s">
        <v>255</v>
      </c>
      <c r="I115" s="628">
        <v>2027</v>
      </c>
    </row>
    <row r="116" spans="7:9" ht="16.5" customHeight="1">
      <c r="G116" s="609">
        <v>32</v>
      </c>
      <c r="H116" s="611" t="s">
        <v>256</v>
      </c>
      <c r="I116" s="628">
        <v>2027</v>
      </c>
    </row>
    <row r="117" spans="7:9" ht="16.5" customHeight="1">
      <c r="G117" s="609">
        <v>33</v>
      </c>
      <c r="H117" s="611" t="s">
        <v>257</v>
      </c>
      <c r="I117" s="628">
        <v>2027</v>
      </c>
    </row>
  </sheetData>
  <conditionalFormatting sqref="AM2:AM143 AO2:AO143 AQ2:AQ143 AS2:AS143 AU2:AU143 AW2:AW143 AY2:AY143 BC2:BC143 BE2:BE143">
    <cfRule type="colorScale" priority="3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2:BG143">
    <cfRule type="colorScale" priority="2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2:BI143">
    <cfRule type="colorScale" priority="2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2:BL143">
    <cfRule type="colorScale" priority="2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2:BN143">
    <cfRule type="colorScale" priority="1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2:BP143">
    <cfRule type="colorScale" priority="1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2:BR143">
    <cfRule type="colorScale" priority="1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2:BT143">
    <cfRule type="colorScale" priority="1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2:BV143">
    <cfRule type="colorScale" priority="1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2:BX143">
    <cfRule type="colorScale" priority="1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2:BZ143">
    <cfRule type="colorScale" priority="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2:CB143">
    <cfRule type="colorScale" priority="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2:CD143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2:CF143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2:CH143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2:CJ143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2:CL143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2:CN143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2:CP143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2:CR143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T2:CT143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V2:CV143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X2:CX143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G2" r:id="rId1" xr:uid="{00000000-0004-0000-0100-000000000000}"/>
    <hyperlink ref="G3" r:id="rId2" xr:uid="{00000000-0004-0000-0100-000001000000}"/>
    <hyperlink ref="K7" r:id="rId3" xr:uid="{00000000-0004-0000-0100-000002000000}"/>
    <hyperlink ref="G14" r:id="rId4" xr:uid="{00000000-0004-0000-0100-000003000000}"/>
    <hyperlink ref="I14" r:id="rId5" xr:uid="{00000000-0004-0000-0100-000004000000}"/>
    <hyperlink ref="G16" r:id="rId6" xr:uid="{00000000-0004-0000-0100-000005000000}"/>
    <hyperlink ref="I16" r:id="rId7" xr:uid="{00000000-0004-0000-0100-000006000000}"/>
    <hyperlink ref="G35" r:id="rId8" xr:uid="{00000000-0004-0000-0100-000007000000}"/>
    <hyperlink ref="I35" r:id="rId9" xr:uid="{00000000-0004-0000-0100-000008000000}"/>
    <hyperlink ref="G36" r:id="rId10" xr:uid="{00000000-0004-0000-0100-000009000000}"/>
    <hyperlink ref="I36" r:id="rId11" xr:uid="{00000000-0004-0000-0100-00000A000000}"/>
    <hyperlink ref="G38" r:id="rId12" xr:uid="{00000000-0004-0000-0100-00000B000000}"/>
    <hyperlink ref="I38" r:id="rId13" xr:uid="{00000000-0004-0000-0100-00000C000000}"/>
    <hyperlink ref="G40" r:id="rId14" xr:uid="{00000000-0004-0000-0100-00000D000000}"/>
    <hyperlink ref="I40" r:id="rId15" xr:uid="{00000000-0004-0000-0100-00000E000000}"/>
    <hyperlink ref="G57" r:id="rId16" xr:uid="{00000000-0004-0000-0100-00000F000000}"/>
    <hyperlink ref="I57" r:id="rId17" xr:uid="{00000000-0004-0000-0100-000010000000}"/>
  </hyperlinks>
  <pageMargins left="0.7" right="0.7" top="0.75" bottom="0.75" header="0.3" footer="0.3"/>
  <pageSetup paperSize="9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DD73"/>
  <sheetViews>
    <sheetView zoomScaleNormal="100" workbookViewId="0">
      <pane xSplit="2" ySplit="1" topLeftCell="F2" activePane="bottomRight" state="frozen"/>
      <selection activeCell="H1" sqref="H1"/>
      <selection pane="topRight" activeCell="H1" sqref="H1"/>
      <selection pane="bottomLeft" activeCell="H1" sqref="H1"/>
      <selection pane="bottomRight" activeCell="K54" sqref="K54"/>
    </sheetView>
  </sheetViews>
  <sheetFormatPr defaultColWidth="9.140625" defaultRowHeight="15.75" customHeight="1"/>
  <cols>
    <col min="1" max="1" width="9.140625" style="1" customWidth="1"/>
    <col min="2" max="2" width="73.7109375" style="3" customWidth="1"/>
    <col min="3" max="3" width="122.85546875" style="12" customWidth="1"/>
    <col min="4" max="4" width="7.140625" style="3" customWidth="1"/>
    <col min="5" max="5" width="84" style="12" customWidth="1"/>
    <col min="6" max="6" width="30" style="609" customWidth="1"/>
    <col min="7" max="7" width="32.28515625" style="624" customWidth="1"/>
    <col min="8" max="8" width="22" style="609" customWidth="1"/>
    <col min="9" max="9" width="36.28515625" style="624" customWidth="1"/>
    <col min="10" max="10" width="10.5703125" style="609" customWidth="1"/>
    <col min="11" max="11" width="34.7109375" style="624" customWidth="1"/>
    <col min="12" max="12" width="9.28515625" style="609" customWidth="1"/>
    <col min="13" max="13" width="24.42578125" style="624" customWidth="1"/>
    <col min="14" max="14" width="9.140625" style="609" customWidth="1"/>
    <col min="15" max="15" width="40.42578125" style="624" customWidth="1"/>
    <col min="16" max="16" width="9.140625" style="609" customWidth="1"/>
    <col min="17" max="17" width="16.140625" style="624" customWidth="1"/>
    <col min="18" max="18" width="9.140625" style="609" customWidth="1"/>
    <col min="19" max="19" width="9.140625" style="624" customWidth="1"/>
    <col min="20" max="20" width="9.140625" style="609" customWidth="1"/>
    <col min="21" max="21" width="9.140625" style="624" customWidth="1"/>
    <col min="22" max="22" width="9.140625" style="609" customWidth="1"/>
    <col min="23" max="23" width="9.140625" style="624" customWidth="1"/>
    <col min="24" max="27" width="9.140625" style="3" customWidth="1"/>
    <col min="28" max="28" width="12.28515625" style="3" customWidth="1"/>
    <col min="29" max="29" width="10.140625" style="3" customWidth="1"/>
    <col min="30" max="30" width="3.7109375" style="146" customWidth="1"/>
    <col min="31" max="31" width="11.7109375" style="12" customWidth="1"/>
    <col min="32" max="32" width="10.85546875" style="3" customWidth="1"/>
    <col min="33" max="33" width="5.85546875" style="12" customWidth="1"/>
    <col min="34" max="34" width="10.85546875" style="3" customWidth="1"/>
    <col min="35" max="35" width="5.85546875" style="12" customWidth="1"/>
    <col min="36" max="36" width="10.85546875" style="3" customWidth="1"/>
    <col min="37" max="37" width="5.85546875" style="12" customWidth="1"/>
    <col min="38" max="38" width="10.7109375" style="3" customWidth="1"/>
    <col min="39" max="39" width="5.85546875" style="12" customWidth="1"/>
    <col min="40" max="40" width="9.85546875" style="3" customWidth="1"/>
    <col min="41" max="41" width="5.85546875" style="12" customWidth="1"/>
    <col min="42" max="42" width="10.28515625" style="3" customWidth="1"/>
    <col min="43" max="43" width="5.85546875" style="12" customWidth="1"/>
    <col min="44" max="44" width="13.42578125" style="3" customWidth="1"/>
    <col min="45" max="45" width="5.85546875" style="12" customWidth="1"/>
    <col min="46" max="46" width="11.85546875" style="3" customWidth="1"/>
    <col min="47" max="47" width="5.85546875" style="12" customWidth="1"/>
    <col min="48" max="48" width="11.7109375" style="3" customWidth="1"/>
    <col min="49" max="49" width="5.85546875" style="12" customWidth="1"/>
    <col min="50" max="50" width="9.140625" style="3" customWidth="1"/>
    <col min="51" max="51" width="11" style="3" customWidth="1"/>
    <col min="52" max="52" width="5.85546875" style="12" customWidth="1"/>
    <col min="53" max="53" width="8" style="3" customWidth="1"/>
    <col min="54" max="54" width="5.85546875" style="12" customWidth="1"/>
    <col min="55" max="55" width="20" style="3" customWidth="1"/>
    <col min="56" max="56" width="50" style="3" customWidth="1"/>
    <col min="57" max="57" width="20" style="3" customWidth="1"/>
    <col min="58" max="58" width="50" style="3" customWidth="1"/>
    <col min="59" max="59" width="20" style="3" customWidth="1"/>
    <col min="60" max="60" width="50" style="3" customWidth="1"/>
    <col min="61" max="61" width="20" style="3" customWidth="1"/>
    <col min="62" max="62" width="50" style="3" customWidth="1"/>
    <col min="63" max="63" width="20" style="3" customWidth="1"/>
    <col min="64" max="64" width="50" style="3" customWidth="1"/>
    <col min="65" max="65" width="20" style="3" customWidth="1"/>
    <col min="66" max="66" width="50" style="3" customWidth="1"/>
    <col min="67" max="67" width="20" style="3" customWidth="1"/>
    <col min="68" max="68" width="50" style="3" customWidth="1"/>
    <col min="69" max="69" width="20" style="3" customWidth="1"/>
    <col min="70" max="70" width="50" style="3" customWidth="1"/>
    <col min="71" max="71" width="20" style="3" customWidth="1"/>
    <col min="72" max="72" width="50" style="3" customWidth="1"/>
    <col min="73" max="73" width="20" style="3" customWidth="1"/>
    <col min="74" max="74" width="50" style="3" customWidth="1"/>
    <col min="75" max="75" width="20" style="3" customWidth="1"/>
    <col min="76" max="76" width="50" style="3" customWidth="1"/>
    <col min="77" max="77" width="20" style="3" customWidth="1"/>
    <col min="78" max="78" width="50" style="3" customWidth="1"/>
    <col min="79" max="79" width="20" style="3" customWidth="1"/>
    <col min="80" max="80" width="50" style="3" customWidth="1"/>
    <col min="81" max="81" width="20" style="3" customWidth="1"/>
    <col min="82" max="82" width="50" style="3" customWidth="1"/>
    <col min="83" max="83" width="20" style="3" customWidth="1"/>
    <col min="84" max="84" width="50" style="3" customWidth="1"/>
    <col min="85" max="85" width="20" style="3" customWidth="1"/>
    <col min="86" max="86" width="50" style="3" customWidth="1"/>
    <col min="87" max="87" width="20" style="3" customWidth="1"/>
    <col min="88" max="88" width="50" style="3" customWidth="1"/>
    <col min="89" max="89" width="20" style="3" customWidth="1"/>
    <col min="90" max="90" width="50" style="3" customWidth="1"/>
    <col min="91" max="91" width="20" style="3" customWidth="1"/>
    <col min="92" max="92" width="50" style="3" customWidth="1"/>
    <col min="93" max="93" width="20" style="3" customWidth="1"/>
    <col min="94" max="94" width="50" style="3" customWidth="1"/>
    <col min="95" max="95" width="20" style="3" customWidth="1"/>
    <col min="96" max="96" width="50" style="3" customWidth="1"/>
    <col min="97" max="97" width="20" style="3" customWidth="1"/>
    <col min="98" max="98" width="50" style="3" customWidth="1"/>
    <col min="99" max="99" width="20" style="3" customWidth="1"/>
    <col min="100" max="100" width="50" style="3" customWidth="1"/>
    <col min="101" max="101" width="20" style="3" customWidth="1"/>
    <col min="102" max="102" width="50" style="3" customWidth="1"/>
    <col min="103" max="103" width="20" style="3" customWidth="1"/>
    <col min="104" max="104" width="50" style="3" customWidth="1"/>
    <col min="105" max="105" width="20" style="3" customWidth="1"/>
    <col min="106" max="106" width="50" style="3" customWidth="1"/>
    <col min="107" max="107" width="20" style="3" customWidth="1"/>
    <col min="108" max="108" width="50" style="3" customWidth="1"/>
    <col min="109" max="16384" width="9.140625" style="3"/>
  </cols>
  <sheetData>
    <row r="1" spans="1:108" ht="15.75" customHeight="1">
      <c r="A1" s="5" t="s">
        <v>0</v>
      </c>
      <c r="B1" s="37" t="s">
        <v>60</v>
      </c>
      <c r="C1" s="38" t="s">
        <v>61</v>
      </c>
      <c r="D1" s="39" t="s">
        <v>3</v>
      </c>
      <c r="E1" s="40"/>
      <c r="F1" s="609" t="s">
        <v>4</v>
      </c>
      <c r="G1" s="2558">
        <f>3*60*1000*SpeedFaktor</f>
        <v>180000</v>
      </c>
      <c r="H1" s="609">
        <v>10</v>
      </c>
      <c r="AB1" s="3" t="s">
        <v>5</v>
      </c>
      <c r="AC1" s="150" t="s">
        <v>261</v>
      </c>
      <c r="AD1" s="2"/>
      <c r="AE1" s="151" t="s">
        <v>5</v>
      </c>
      <c r="AF1" s="2" t="s">
        <v>9</v>
      </c>
      <c r="AG1" s="24" t="s">
        <v>8</v>
      </c>
      <c r="AH1" s="3" t="s">
        <v>262</v>
      </c>
      <c r="AI1" s="24" t="s">
        <v>8</v>
      </c>
      <c r="AJ1" s="3" t="s">
        <v>10</v>
      </c>
      <c r="AK1" s="24" t="s">
        <v>8</v>
      </c>
      <c r="AL1" s="3" t="s">
        <v>11</v>
      </c>
      <c r="AM1" s="24" t="s">
        <v>8</v>
      </c>
      <c r="AN1" s="3" t="s">
        <v>12</v>
      </c>
      <c r="AO1" s="24" t="s">
        <v>8</v>
      </c>
      <c r="AP1" s="3" t="s">
        <v>13</v>
      </c>
      <c r="AQ1" s="24" t="s">
        <v>8</v>
      </c>
      <c r="AR1" s="3" t="s">
        <v>17</v>
      </c>
      <c r="AS1" s="24" t="s">
        <v>8</v>
      </c>
      <c r="AT1" s="3" t="s">
        <v>1285</v>
      </c>
      <c r="AU1" s="24" t="s">
        <v>8</v>
      </c>
      <c r="AV1" s="3" t="s">
        <v>1286</v>
      </c>
      <c r="AW1" s="24" t="s">
        <v>8</v>
      </c>
      <c r="AY1" s="489" t="s">
        <v>1303</v>
      </c>
      <c r="AZ1" s="24" t="s">
        <v>8</v>
      </c>
      <c r="BA1" s="573" t="s">
        <v>1306</v>
      </c>
      <c r="BB1" s="24" t="s">
        <v>8</v>
      </c>
      <c r="BC1" s="789" t="s">
        <v>1311</v>
      </c>
      <c r="BD1" s="790" t="s">
        <v>572</v>
      </c>
      <c r="BE1" s="915" t="s">
        <v>1318</v>
      </c>
      <c r="BF1" s="916" t="s">
        <v>572</v>
      </c>
      <c r="BG1" s="1040" t="s">
        <v>1322</v>
      </c>
      <c r="BH1" s="1041" t="s">
        <v>572</v>
      </c>
      <c r="BI1" s="1062" t="s">
        <v>1324</v>
      </c>
      <c r="BJ1" s="1063" t="s">
        <v>572</v>
      </c>
      <c r="BK1" s="1184" t="s">
        <v>1327</v>
      </c>
      <c r="BL1" s="1185" t="s">
        <v>572</v>
      </c>
      <c r="BM1" s="1241" t="s">
        <v>1335</v>
      </c>
      <c r="BN1" s="1242" t="s">
        <v>572</v>
      </c>
      <c r="BO1" s="1262" t="s">
        <v>1341</v>
      </c>
      <c r="BP1" s="1263" t="s">
        <v>572</v>
      </c>
      <c r="BQ1" s="1489" t="s">
        <v>1361</v>
      </c>
      <c r="BR1" s="1490" t="s">
        <v>572</v>
      </c>
      <c r="BS1" s="1498" t="s">
        <v>1363</v>
      </c>
      <c r="BT1" s="1499" t="s">
        <v>572</v>
      </c>
      <c r="BU1" s="1646" t="s">
        <v>1368</v>
      </c>
      <c r="BV1" s="1647" t="s">
        <v>572</v>
      </c>
      <c r="BW1" s="1787" t="s">
        <v>1371</v>
      </c>
      <c r="BX1" s="1788" t="s">
        <v>572</v>
      </c>
      <c r="BY1" s="1928" t="s">
        <v>1375</v>
      </c>
      <c r="BZ1" s="1929" t="s">
        <v>572</v>
      </c>
      <c r="CA1" s="1981" t="s">
        <v>1387</v>
      </c>
      <c r="CB1" s="1982" t="s">
        <v>572</v>
      </c>
      <c r="CC1" s="1990" t="s">
        <v>1389</v>
      </c>
      <c r="CD1" s="1991" t="s">
        <v>572</v>
      </c>
      <c r="CE1" s="2003" t="s">
        <v>1392</v>
      </c>
      <c r="CF1" s="2004" t="s">
        <v>572</v>
      </c>
      <c r="CG1" s="2012" t="s">
        <v>1394</v>
      </c>
      <c r="CH1" s="2013" t="s">
        <v>572</v>
      </c>
      <c r="CI1" s="2039" t="s">
        <v>1397</v>
      </c>
      <c r="CJ1" s="2040" t="s">
        <v>572</v>
      </c>
      <c r="CK1" s="2235" t="s">
        <v>1421</v>
      </c>
      <c r="CL1" s="2236" t="s">
        <v>572</v>
      </c>
      <c r="CM1" s="2402" t="s">
        <v>1430</v>
      </c>
      <c r="CN1" s="2403" t="s">
        <v>572</v>
      </c>
      <c r="CO1" s="2562" t="s">
        <v>1442</v>
      </c>
      <c r="CP1" s="2563" t="s">
        <v>572</v>
      </c>
      <c r="CQ1" s="2742" t="s">
        <v>1460</v>
      </c>
      <c r="CR1" s="2743" t="s">
        <v>572</v>
      </c>
      <c r="CS1" s="2910" t="s">
        <v>1472</v>
      </c>
      <c r="CT1" s="2911" t="s">
        <v>572</v>
      </c>
      <c r="CU1" s="3100" t="s">
        <v>1492</v>
      </c>
      <c r="CV1" s="3101" t="s">
        <v>572</v>
      </c>
      <c r="CW1" s="3282" t="s">
        <v>1503</v>
      </c>
      <c r="CX1" s="3283" t="s">
        <v>572</v>
      </c>
      <c r="CY1" s="3454" t="s">
        <v>1519</v>
      </c>
      <c r="CZ1" s="3455" t="s">
        <v>572</v>
      </c>
      <c r="DA1" s="3740" t="s">
        <v>1666</v>
      </c>
      <c r="DB1" s="3741" t="s">
        <v>572</v>
      </c>
      <c r="DC1" s="3965" t="s">
        <v>1717</v>
      </c>
      <c r="DD1" s="3966" t="s">
        <v>572</v>
      </c>
    </row>
    <row r="2" spans="1:108" s="10" customFormat="1" ht="15.75" customHeight="1" thickBot="1">
      <c r="A2" s="119">
        <v>1</v>
      </c>
      <c r="B2" s="122" t="s">
        <v>21</v>
      </c>
      <c r="C2" s="591" t="s">
        <v>231</v>
      </c>
      <c r="D2" s="2"/>
      <c r="E2" s="12" t="s">
        <v>263</v>
      </c>
      <c r="F2" s="609" t="s">
        <v>263</v>
      </c>
      <c r="G2" s="617"/>
      <c r="H2" s="609" t="s">
        <v>37</v>
      </c>
      <c r="I2" s="611"/>
      <c r="J2" s="609"/>
      <c r="K2" s="611"/>
      <c r="L2" s="609"/>
      <c r="M2" s="611"/>
      <c r="N2" s="609"/>
      <c r="O2" s="611"/>
      <c r="P2" s="609"/>
      <c r="Q2" s="611"/>
      <c r="R2" s="609"/>
      <c r="S2" s="611"/>
      <c r="T2" s="609"/>
      <c r="U2" s="611"/>
      <c r="V2" s="609"/>
      <c r="W2" s="611"/>
      <c r="X2" s="2"/>
      <c r="Y2" s="2"/>
      <c r="Z2" s="2"/>
      <c r="AA2" s="2"/>
      <c r="AB2" s="3"/>
      <c r="AC2" s="3">
        <v>2040</v>
      </c>
      <c r="AD2" s="2"/>
      <c r="AE2" s="2"/>
      <c r="AF2" s="3">
        <v>1797</v>
      </c>
      <c r="AG2" s="165">
        <f>AF2/($AC2)</f>
        <v>0.88088235294117645</v>
      </c>
      <c r="AH2" s="3">
        <v>1688</v>
      </c>
      <c r="AI2" s="165">
        <f>AH2/($AC2)</f>
        <v>0.82745098039215681</v>
      </c>
      <c r="AJ2" s="3">
        <v>1831</v>
      </c>
      <c r="AK2" s="165">
        <f>AJ2/($AC2)</f>
        <v>0.89754901960784317</v>
      </c>
      <c r="AL2" s="2">
        <v>1738</v>
      </c>
      <c r="AM2" s="165">
        <f>AL2/($AC2)</f>
        <v>0.85196078431372546</v>
      </c>
      <c r="AN2" s="2">
        <v>1738</v>
      </c>
      <c r="AO2" s="165">
        <f>AN2/($AC2)</f>
        <v>0.85196078431372546</v>
      </c>
      <c r="AP2" s="2">
        <v>1750</v>
      </c>
      <c r="AQ2" s="165">
        <f>AP2/($AC2)</f>
        <v>0.85784313725490191</v>
      </c>
      <c r="AR2" s="2">
        <v>1500</v>
      </c>
      <c r="AS2" s="165">
        <f>AR2/($AC2)</f>
        <v>0.73529411764705888</v>
      </c>
      <c r="AT2" s="2">
        <v>860</v>
      </c>
      <c r="AU2" s="165">
        <f>AT2/($AC2)</f>
        <v>0.42156862745098039</v>
      </c>
      <c r="AV2" s="2">
        <v>526</v>
      </c>
      <c r="AW2" s="165">
        <f>AV2/($AC2)</f>
        <v>0.25784313725490199</v>
      </c>
      <c r="AY2" s="10">
        <v>1105</v>
      </c>
      <c r="AZ2" s="165">
        <f>AY2/($AC2)</f>
        <v>0.54166666666666663</v>
      </c>
      <c r="BA2" s="10">
        <v>1085</v>
      </c>
      <c r="BB2" s="165">
        <f>BA2/($AC2)</f>
        <v>0.53186274509803921</v>
      </c>
      <c r="BC2" s="10">
        <v>1223</v>
      </c>
      <c r="BE2" s="10">
        <v>1180</v>
      </c>
      <c r="BG2" s="10">
        <v>1148</v>
      </c>
      <c r="BI2" s="10">
        <v>1123</v>
      </c>
      <c r="BK2" s="10">
        <v>1233</v>
      </c>
      <c r="BM2" s="10">
        <v>1360</v>
      </c>
      <c r="BO2" s="10">
        <v>1528</v>
      </c>
      <c r="BQ2" s="10">
        <v>1294</v>
      </c>
      <c r="BS2" s="10">
        <v>1076</v>
      </c>
      <c r="BU2" s="10">
        <v>1078</v>
      </c>
      <c r="BW2" s="10">
        <v>1033</v>
      </c>
      <c r="BY2" s="10">
        <v>1840</v>
      </c>
      <c r="CA2" s="10">
        <v>1470</v>
      </c>
      <c r="CC2" s="10">
        <v>1760</v>
      </c>
      <c r="CE2" s="10">
        <v>1578</v>
      </c>
      <c r="CG2" s="10">
        <v>1547</v>
      </c>
      <c r="CI2" s="10">
        <v>1638</v>
      </c>
      <c r="CK2" s="10">
        <v>1884</v>
      </c>
      <c r="CM2" s="10">
        <v>1635</v>
      </c>
      <c r="CO2" s="10">
        <v>1176</v>
      </c>
      <c r="CQ2" s="10">
        <v>1054</v>
      </c>
      <c r="CS2" s="10">
        <v>1270</v>
      </c>
      <c r="CU2" s="10">
        <v>2566</v>
      </c>
      <c r="CW2" s="10">
        <v>1168</v>
      </c>
      <c r="CY2" s="10">
        <v>1071</v>
      </c>
      <c r="DA2" s="10">
        <v>1841</v>
      </c>
      <c r="DC2" s="10">
        <v>848</v>
      </c>
      <c r="DD2" s="10" t="s">
        <v>1718</v>
      </c>
    </row>
    <row r="3" spans="1:108" s="53" customFormat="1" ht="15.75" customHeight="1" thickBot="1">
      <c r="A3" s="119">
        <v>3</v>
      </c>
      <c r="B3" s="591" t="s">
        <v>22</v>
      </c>
      <c r="C3" s="1205" t="s">
        <v>70</v>
      </c>
      <c r="D3" s="2"/>
      <c r="E3" s="543"/>
      <c r="F3" s="624"/>
      <c r="G3" s="652"/>
      <c r="H3" s="611"/>
      <c r="I3" s="611"/>
      <c r="J3" s="611"/>
      <c r="K3" s="611"/>
      <c r="L3" s="611"/>
      <c r="M3" s="611"/>
      <c r="N3" s="611"/>
      <c r="O3" s="611"/>
      <c r="P3" s="611"/>
      <c r="Q3" s="611"/>
      <c r="R3" s="611"/>
      <c r="S3" s="611"/>
      <c r="T3" s="611"/>
      <c r="U3" s="611"/>
      <c r="V3" s="611"/>
      <c r="W3" s="611"/>
      <c r="X3" s="2"/>
      <c r="Y3" s="2"/>
      <c r="Z3" s="2"/>
      <c r="AA3" s="2"/>
      <c r="AB3" s="3"/>
      <c r="AC3" s="3">
        <v>618</v>
      </c>
      <c r="AD3" s="2"/>
      <c r="AE3" s="10" t="s">
        <v>24</v>
      </c>
      <c r="AF3" s="3">
        <v>419</v>
      </c>
      <c r="AG3" s="165">
        <f t="shared" ref="AG3:AI54" si="0">AF3/($AC3)</f>
        <v>0.67799352750809061</v>
      </c>
      <c r="AH3" s="3">
        <v>421</v>
      </c>
      <c r="AI3" s="165">
        <f t="shared" si="0"/>
        <v>0.68122977346278313</v>
      </c>
      <c r="AJ3" s="3">
        <v>429</v>
      </c>
      <c r="AK3" s="165">
        <f t="shared" ref="AK3:AQ3" si="1">AJ3/($AC3)</f>
        <v>0.69417475728155342</v>
      </c>
      <c r="AL3" s="2">
        <v>428</v>
      </c>
      <c r="AM3" s="165">
        <f t="shared" si="1"/>
        <v>0.69255663430420711</v>
      </c>
      <c r="AN3" s="2">
        <v>416</v>
      </c>
      <c r="AO3" s="165">
        <f t="shared" si="1"/>
        <v>0.67313915857605178</v>
      </c>
      <c r="AP3" s="2">
        <v>423</v>
      </c>
      <c r="AQ3" s="165">
        <f t="shared" si="1"/>
        <v>0.68446601941747576</v>
      </c>
      <c r="AR3" s="2">
        <v>406</v>
      </c>
      <c r="AS3" s="165">
        <f t="shared" ref="AS3:AW54" si="2">AR3/($AC3)</f>
        <v>0.65695792880258896</v>
      </c>
      <c r="AT3" s="2">
        <v>418</v>
      </c>
      <c r="AU3" s="165">
        <f t="shared" si="2"/>
        <v>0.6763754045307443</v>
      </c>
      <c r="AV3" s="2">
        <v>413</v>
      </c>
      <c r="AW3" s="165">
        <f t="shared" si="2"/>
        <v>0.66828478964401294</v>
      </c>
      <c r="AY3" s="53">
        <v>426</v>
      </c>
      <c r="AZ3" s="165">
        <f t="shared" ref="AZ3:BB54" si="3">AY3/($AC3)</f>
        <v>0.68932038834951459</v>
      </c>
      <c r="BA3" s="53">
        <v>424</v>
      </c>
      <c r="BB3" s="165">
        <f t="shared" si="3"/>
        <v>0.68608414239482196</v>
      </c>
      <c r="BC3" s="53">
        <v>427</v>
      </c>
      <c r="BE3" s="53">
        <v>439</v>
      </c>
      <c r="BG3" s="53">
        <v>421</v>
      </c>
      <c r="BI3" s="53">
        <v>424</v>
      </c>
      <c r="BK3" s="53">
        <v>423</v>
      </c>
      <c r="BM3" s="53">
        <v>431</v>
      </c>
      <c r="BO3" s="53">
        <v>433</v>
      </c>
      <c r="BQ3" s="53">
        <v>418</v>
      </c>
      <c r="BS3" s="53">
        <v>419</v>
      </c>
      <c r="BU3" s="53">
        <v>422</v>
      </c>
      <c r="BW3" s="53">
        <v>429</v>
      </c>
      <c r="BY3" s="53">
        <v>422</v>
      </c>
      <c r="CA3" s="53">
        <v>338</v>
      </c>
      <c r="CC3" s="53">
        <v>417</v>
      </c>
      <c r="CE3" s="53">
        <v>421</v>
      </c>
      <c r="CG3" s="53">
        <v>415</v>
      </c>
      <c r="CI3" s="53">
        <v>420</v>
      </c>
      <c r="CK3" s="53">
        <v>425</v>
      </c>
      <c r="CM3" s="53">
        <v>432</v>
      </c>
      <c r="CO3" s="53">
        <v>426</v>
      </c>
      <c r="CQ3" s="53">
        <v>429</v>
      </c>
      <c r="CS3" s="53">
        <v>422</v>
      </c>
      <c r="CU3" s="53">
        <v>441</v>
      </c>
      <c r="CW3" s="53">
        <v>434</v>
      </c>
      <c r="CY3" s="53">
        <v>432</v>
      </c>
      <c r="DA3" s="53">
        <v>407</v>
      </c>
      <c r="DC3" s="53">
        <v>416</v>
      </c>
      <c r="DD3" s="53" t="s">
        <v>1718</v>
      </c>
    </row>
    <row r="4" spans="1:108" s="10" customFormat="1" ht="15.75" customHeight="1" thickBot="1">
      <c r="A4" s="119">
        <v>4</v>
      </c>
      <c r="B4" s="120" t="s">
        <v>25</v>
      </c>
      <c r="C4" s="121" t="str">
        <f>E4</f>
        <v>{"username":"Bern.Buchhalter@diartis.ch","password":"HBcc73+ppTX42?E.","fullname":"","team":""}</v>
      </c>
      <c r="D4" s="2"/>
      <c r="E4" s="12" t="str">
        <f>F4&amp;G4&amp;H4&amp;I4&amp;J4&amp;K4&amp;L4&amp;M4&amp;N4&amp;O4&amp;P4&amp;Q4&amp;R4&amp;S4&amp;T4&amp;U4&amp;V4&amp;W4&amp;AA4</f>
        <v>{"username":"Bern.Buchhalter@diartis.ch","password":"HBcc73+ppTX42?E.","fullname":"","team":""}</v>
      </c>
      <c r="F4" s="609" t="s">
        <v>29</v>
      </c>
      <c r="G4" s="611" t="s">
        <v>219</v>
      </c>
      <c r="H4" s="609" t="s">
        <v>31</v>
      </c>
      <c r="I4" s="611" t="s">
        <v>220</v>
      </c>
      <c r="J4" s="609" t="s">
        <v>73</v>
      </c>
      <c r="K4" s="611"/>
      <c r="L4" s="609" t="s">
        <v>75</v>
      </c>
      <c r="M4" s="611"/>
      <c r="N4" s="609" t="s">
        <v>37</v>
      </c>
      <c r="O4" s="611"/>
      <c r="P4" s="609"/>
      <c r="Q4" s="611"/>
      <c r="R4" s="609"/>
      <c r="S4" s="611"/>
      <c r="T4" s="609"/>
      <c r="U4" s="611"/>
      <c r="V4" s="609"/>
      <c r="W4" s="611"/>
      <c r="X4" s="2"/>
      <c r="Y4" s="2"/>
      <c r="Z4" s="2"/>
      <c r="AA4" s="2"/>
      <c r="AB4" s="3"/>
      <c r="AC4" s="3">
        <v>10455</v>
      </c>
      <c r="AD4" s="2"/>
      <c r="AE4" s="2"/>
      <c r="AF4" s="3">
        <v>9437</v>
      </c>
      <c r="AG4" s="165">
        <f t="shared" si="0"/>
        <v>0.90263032042085123</v>
      </c>
      <c r="AH4" s="3">
        <v>10198</v>
      </c>
      <c r="AI4" s="165">
        <f t="shared" si="0"/>
        <v>0.97541846006695365</v>
      </c>
      <c r="AJ4" s="3">
        <v>9584</v>
      </c>
      <c r="AK4" s="165">
        <f t="shared" ref="AK4:AQ4" si="4">AJ4/($AC4)</f>
        <v>0.91669057867049264</v>
      </c>
      <c r="AL4" s="2">
        <v>9145</v>
      </c>
      <c r="AM4" s="165">
        <f t="shared" si="4"/>
        <v>0.87470109995217604</v>
      </c>
      <c r="AN4" s="2">
        <v>9426</v>
      </c>
      <c r="AO4" s="165">
        <f t="shared" si="4"/>
        <v>0.90157819225251079</v>
      </c>
      <c r="AP4" s="2">
        <v>9405</v>
      </c>
      <c r="AQ4" s="165">
        <f t="shared" si="4"/>
        <v>0.8995695839311334</v>
      </c>
      <c r="AR4" s="2">
        <v>7165</v>
      </c>
      <c r="AS4" s="165">
        <f t="shared" si="2"/>
        <v>0.68531802965088473</v>
      </c>
      <c r="AT4" s="2">
        <v>6841</v>
      </c>
      <c r="AU4" s="165">
        <f t="shared" si="2"/>
        <v>0.6543280726924916</v>
      </c>
      <c r="AV4" s="2">
        <v>4376</v>
      </c>
      <c r="AW4" s="165">
        <f t="shared" si="2"/>
        <v>0.41855571496891442</v>
      </c>
      <c r="AY4" s="10">
        <v>7472</v>
      </c>
      <c r="AZ4" s="165">
        <f t="shared" si="3"/>
        <v>0.71468197034911529</v>
      </c>
      <c r="BA4" s="10">
        <v>7456</v>
      </c>
      <c r="BB4" s="165">
        <f t="shared" si="3"/>
        <v>0.71315160210425632</v>
      </c>
      <c r="BC4" s="10">
        <v>7251</v>
      </c>
      <c r="BE4" s="10">
        <v>7698</v>
      </c>
      <c r="BG4" s="10">
        <v>7010</v>
      </c>
      <c r="BI4" s="10">
        <v>6734</v>
      </c>
      <c r="BK4" s="10">
        <v>7434</v>
      </c>
      <c r="BM4" s="10">
        <v>7104</v>
      </c>
      <c r="BO4" s="10">
        <v>6624</v>
      </c>
      <c r="BQ4" s="10">
        <v>6584</v>
      </c>
      <c r="BS4" s="10">
        <v>6985</v>
      </c>
      <c r="BU4" s="10">
        <v>7091</v>
      </c>
      <c r="BW4" s="10">
        <v>6506</v>
      </c>
      <c r="BY4" s="10">
        <v>7465</v>
      </c>
      <c r="CC4" s="10">
        <v>7064</v>
      </c>
      <c r="CE4" s="10">
        <v>10638</v>
      </c>
      <c r="CG4" s="10">
        <v>7392</v>
      </c>
      <c r="CI4" s="10">
        <v>6854</v>
      </c>
      <c r="CK4" s="10">
        <v>6443</v>
      </c>
      <c r="CM4" s="10">
        <v>5962</v>
      </c>
      <c r="CO4" s="10">
        <v>6982</v>
      </c>
      <c r="CQ4" s="10">
        <v>8452</v>
      </c>
      <c r="CS4" s="10">
        <v>8377</v>
      </c>
      <c r="CU4" s="10">
        <v>10903</v>
      </c>
      <c r="CW4" s="10">
        <v>7782</v>
      </c>
      <c r="CY4" s="10">
        <v>7783</v>
      </c>
      <c r="DA4" s="10">
        <v>8110</v>
      </c>
      <c r="DC4" s="10">
        <v>8394</v>
      </c>
      <c r="DD4" s="10" t="s">
        <v>1718</v>
      </c>
    </row>
    <row r="5" spans="1:108" s="10" customFormat="1" ht="15.75" hidden="1" customHeight="1">
      <c r="A5" s="119"/>
      <c r="B5" s="122" t="s">
        <v>77</v>
      </c>
      <c r="C5" s="120" t="str">
        <f>E5</f>
        <v>{"name":p.FamilyName1,"vorname":p.ManFirstName1,"ahvNumber":"","geburtsdatum":""}</v>
      </c>
      <c r="D5" s="2"/>
      <c r="E5" s="12" t="str">
        <f>F5&amp;G5&amp;H5&amp;I5&amp;J5&amp;K5&amp;L5&amp;M5&amp;N5&amp;O5&amp;P5&amp;Q5&amp;R5&amp;S5&amp;T5&amp;U5&amp;V5&amp;W5&amp;AA5</f>
        <v>{"name":p.FamilyName1,"vorname":p.ManFirstName1,"ahvNumber":"","geburtsdatum":""}</v>
      </c>
      <c r="F5" s="146" t="s">
        <v>78</v>
      </c>
      <c r="G5" s="609" t="str">
        <f>G$62</f>
        <v>p.FamilyName1</v>
      </c>
      <c r="H5" s="609" t="s">
        <v>79</v>
      </c>
      <c r="I5" s="609" t="str">
        <f>H$61</f>
        <v>p.ManFirstName1</v>
      </c>
      <c r="J5" s="609" t="s">
        <v>80</v>
      </c>
      <c r="K5" s="611"/>
      <c r="L5" s="609" t="s">
        <v>81</v>
      </c>
      <c r="M5" s="613"/>
      <c r="N5" s="609" t="s">
        <v>37</v>
      </c>
      <c r="O5" s="611"/>
      <c r="P5" s="609"/>
      <c r="Q5" s="611"/>
      <c r="R5" s="609"/>
      <c r="S5" s="611"/>
      <c r="T5" s="609"/>
      <c r="U5" s="611"/>
      <c r="V5" s="609"/>
      <c r="W5" s="611"/>
      <c r="X5" s="2"/>
      <c r="Y5" s="2"/>
      <c r="Z5" s="2"/>
      <c r="AA5" s="2"/>
      <c r="AB5" s="3"/>
      <c r="AD5" s="2"/>
      <c r="AE5" s="2"/>
      <c r="AF5" s="2"/>
      <c r="AG5" s="165" t="e">
        <f t="shared" si="0"/>
        <v>#DIV/0!</v>
      </c>
      <c r="AH5" s="2"/>
      <c r="AI5" s="165" t="e">
        <f t="shared" si="0"/>
        <v>#DIV/0!</v>
      </c>
      <c r="AJ5" s="2"/>
      <c r="AK5" s="165" t="e">
        <f t="shared" ref="AK5:AQ5" si="5">AJ5/($AC5)</f>
        <v>#DIV/0!</v>
      </c>
      <c r="AL5" s="2"/>
      <c r="AM5" s="165" t="e">
        <f t="shared" si="5"/>
        <v>#DIV/0!</v>
      </c>
      <c r="AN5" s="2"/>
      <c r="AO5" s="165" t="e">
        <f t="shared" si="5"/>
        <v>#DIV/0!</v>
      </c>
      <c r="AP5" s="2"/>
      <c r="AQ5" s="165" t="e">
        <f t="shared" si="5"/>
        <v>#DIV/0!</v>
      </c>
      <c r="AS5" s="165" t="e">
        <f t="shared" si="2"/>
        <v>#DIV/0!</v>
      </c>
      <c r="AU5" s="165" t="e">
        <f t="shared" si="2"/>
        <v>#DIV/0!</v>
      </c>
      <c r="AW5" s="165" t="e">
        <f t="shared" si="2"/>
        <v>#DIV/0!</v>
      </c>
      <c r="AZ5" s="165" t="e">
        <f t="shared" si="3"/>
        <v>#DIV/0!</v>
      </c>
      <c r="BB5" s="165" t="e">
        <f t="shared" si="3"/>
        <v>#DIV/0!</v>
      </c>
    </row>
    <row r="6" spans="1:108" s="10" customFormat="1" ht="15.75" hidden="1" customHeight="1">
      <c r="A6" s="119"/>
      <c r="B6" s="120" t="s">
        <v>82</v>
      </c>
      <c r="C6" s="121" t="str">
        <f>E6</f>
        <v>{"name":p.FamilyName1,"vorname":p.ManFirstName1,"ahvNumber":p.AHVNumber1,"language":"Deutsch","zivilstand":"ledig","geburtsdatum":p.BirthdayAdult1,"national":"Schweiz","gender":"männlich","aufenthalt":"</v>
      </c>
      <c r="D6" s="2"/>
      <c r="E6" s="12" t="str">
        <f>F6&amp;G6&amp;H6&amp;I6&amp;J6&amp;K6&amp;L6&amp;M6&amp;N6&amp;O6&amp;P6&amp;Q6&amp;R6&amp;S6&amp;T6&amp;U6&amp;V6&amp;W6&amp;AA6</f>
        <v>{"name":p.FamilyName1,"vorname":p.ManFirstName1,"ahvNumber":p.AHVNumber1,"language":"Deutsch","zivilstand":"ledig","geburtsdatum":p.BirthdayAdult1,"national":"Schweiz","gender":"männlich","aufenthalt":"</v>
      </c>
      <c r="F6" s="146" t="s">
        <v>78</v>
      </c>
      <c r="G6" s="609" t="str">
        <f>G5</f>
        <v>p.FamilyName1</v>
      </c>
      <c r="H6" s="609" t="s">
        <v>79</v>
      </c>
      <c r="I6" s="609" t="str">
        <f>I5</f>
        <v>p.ManFirstName1</v>
      </c>
      <c r="J6" s="609" t="s">
        <v>83</v>
      </c>
      <c r="K6" s="609" t="str">
        <f>I$61</f>
        <v>p.AHVNumber1</v>
      </c>
      <c r="L6" s="609" t="s">
        <v>84</v>
      </c>
      <c r="M6" s="613" t="s">
        <v>85</v>
      </c>
      <c r="N6" s="609" t="s">
        <v>86</v>
      </c>
      <c r="O6" s="611" t="s">
        <v>87</v>
      </c>
      <c r="P6" s="609" t="s">
        <v>88</v>
      </c>
      <c r="Q6" s="614" t="str">
        <f>J61</f>
        <v>p.BirthdayAdult1</v>
      </c>
      <c r="R6" s="609" t="s">
        <v>89</v>
      </c>
      <c r="S6" s="611" t="s">
        <v>90</v>
      </c>
      <c r="T6" s="609" t="s">
        <v>91</v>
      </c>
      <c r="U6" s="611" t="s">
        <v>92</v>
      </c>
      <c r="V6" s="609" t="s">
        <v>93</v>
      </c>
      <c r="W6" s="611"/>
      <c r="X6" s="2" t="s">
        <v>37</v>
      </c>
      <c r="Y6" s="2"/>
      <c r="Z6" s="2"/>
      <c r="AA6" s="2"/>
      <c r="AB6" s="544"/>
      <c r="AD6" s="2"/>
      <c r="AE6" s="2"/>
      <c r="AF6" s="2"/>
      <c r="AG6" s="165" t="e">
        <f t="shared" si="0"/>
        <v>#DIV/0!</v>
      </c>
      <c r="AH6" s="2"/>
      <c r="AI6" s="165" t="e">
        <f t="shared" si="0"/>
        <v>#DIV/0!</v>
      </c>
      <c r="AJ6" s="2"/>
      <c r="AK6" s="165" t="e">
        <f t="shared" ref="AK6:AQ6" si="6">AJ6/($AC6)</f>
        <v>#DIV/0!</v>
      </c>
      <c r="AL6" s="2"/>
      <c r="AM6" s="165" t="e">
        <f t="shared" si="6"/>
        <v>#DIV/0!</v>
      </c>
      <c r="AN6" s="2"/>
      <c r="AO6" s="165" t="e">
        <f t="shared" si="6"/>
        <v>#DIV/0!</v>
      </c>
      <c r="AP6" s="2"/>
      <c r="AQ6" s="165" t="e">
        <f t="shared" si="6"/>
        <v>#DIV/0!</v>
      </c>
      <c r="AS6" s="165" t="e">
        <f t="shared" si="2"/>
        <v>#DIV/0!</v>
      </c>
      <c r="AU6" s="165" t="e">
        <f t="shared" si="2"/>
        <v>#DIV/0!</v>
      </c>
      <c r="AW6" s="165" t="e">
        <f t="shared" si="2"/>
        <v>#DIV/0!</v>
      </c>
      <c r="AZ6" s="165" t="e">
        <f t="shared" si="3"/>
        <v>#DIV/0!</v>
      </c>
      <c r="BB6" s="165" t="e">
        <f t="shared" si="3"/>
        <v>#DIV/0!</v>
      </c>
    </row>
    <row r="7" spans="1:108" s="10" customFormat="1" ht="15.75" hidden="1" customHeight="1">
      <c r="A7" s="119"/>
      <c r="B7" s="120" t="s">
        <v>94</v>
      </c>
      <c r="C7" s="121" t="str">
        <f ca="1">E7</f>
        <v>{"mobile":"079 5696482","privateNumber":"079 5582188","email":"1788abc@gmail.com"}</v>
      </c>
      <c r="D7" s="2"/>
      <c r="E7" s="12" t="str">
        <f ca="1">F7&amp;G7&amp;H7&amp;I7&amp;J7&amp;K7&amp;L7&amp;M7&amp;N7&amp;O7&amp;P7&amp;Q7&amp;R7&amp;S7&amp;T7&amp;U7&amp;V7&amp;W7&amp;AA7</f>
        <v>{"mobile":"079 5696482","privateNumber":"079 5582188","email":"1788abc@gmail.com"}</v>
      </c>
      <c r="F7" s="146" t="s">
        <v>95</v>
      </c>
      <c r="G7" s="611" t="str">
        <f ca="1">"079 "&amp;RANDBETWEEN(5234500,5699999)</f>
        <v>079 5696482</v>
      </c>
      <c r="H7" s="609" t="s">
        <v>96</v>
      </c>
      <c r="I7" s="611" t="str">
        <f ca="1">"079 "&amp;RANDBETWEEN(5234500,5699999)</f>
        <v>079 5582188</v>
      </c>
      <c r="J7" s="609" t="s">
        <v>97</v>
      </c>
      <c r="K7" s="617" t="s">
        <v>264</v>
      </c>
      <c r="L7" s="609" t="s">
        <v>37</v>
      </c>
      <c r="M7" s="611"/>
      <c r="N7" s="609"/>
      <c r="O7" s="611"/>
      <c r="P7" s="609"/>
      <c r="Q7" s="611"/>
      <c r="R7" s="609"/>
      <c r="S7" s="611"/>
      <c r="T7" s="609"/>
      <c r="U7" s="611"/>
      <c r="V7" s="609"/>
      <c r="W7" s="611"/>
      <c r="X7" s="2"/>
      <c r="Y7" s="2"/>
      <c r="Z7" s="2"/>
      <c r="AA7" s="2"/>
      <c r="AB7" s="3"/>
      <c r="AD7" s="2"/>
      <c r="AE7" s="2"/>
      <c r="AF7" s="2"/>
      <c r="AG7" s="165" t="e">
        <f t="shared" si="0"/>
        <v>#DIV/0!</v>
      </c>
      <c r="AH7" s="2"/>
      <c r="AI7" s="165" t="e">
        <f t="shared" si="0"/>
        <v>#DIV/0!</v>
      </c>
      <c r="AJ7" s="2"/>
      <c r="AK7" s="165" t="e">
        <f t="shared" ref="AK7:AQ7" si="7">AJ7/($AC7)</f>
        <v>#DIV/0!</v>
      </c>
      <c r="AL7" s="2"/>
      <c r="AM7" s="165" t="e">
        <f t="shared" si="7"/>
        <v>#DIV/0!</v>
      </c>
      <c r="AN7" s="2"/>
      <c r="AO7" s="165" t="e">
        <f t="shared" si="7"/>
        <v>#DIV/0!</v>
      </c>
      <c r="AP7" s="2"/>
      <c r="AQ7" s="165" t="e">
        <f t="shared" si="7"/>
        <v>#DIV/0!</v>
      </c>
      <c r="AS7" s="165" t="e">
        <f t="shared" si="2"/>
        <v>#DIV/0!</v>
      </c>
      <c r="AU7" s="165" t="e">
        <f t="shared" si="2"/>
        <v>#DIV/0!</v>
      </c>
      <c r="AW7" s="165" t="e">
        <f t="shared" si="2"/>
        <v>#DIV/0!</v>
      </c>
      <c r="AZ7" s="165" t="e">
        <f t="shared" si="3"/>
        <v>#DIV/0!</v>
      </c>
      <c r="BB7" s="165" t="e">
        <f t="shared" si="3"/>
        <v>#DIV/0!</v>
      </c>
    </row>
    <row r="8" spans="1:108" s="10" customFormat="1" ht="19.5" hidden="1" customHeight="1">
      <c r="A8" s="119"/>
      <c r="B8" s="120" t="s">
        <v>99</v>
      </c>
      <c r="C8" s="121" t="str">
        <f ca="1">E8</f>
        <v>{"zusatz":"","strasse":"Strasse_961","houseNumber":"72","ort":"3053 Münchenbuchsee","validDate":"4.11.2021"}</v>
      </c>
      <c r="D8" s="2"/>
      <c r="E8" s="12" t="str">
        <f ca="1">F8&amp;G8&amp;H8&amp;I8&amp;J8&amp;K8&amp;L8&amp;M8&amp;N8&amp;O8&amp;P8&amp;Q8&amp;R8&amp;S8&amp;T8&amp;U8&amp;V8&amp;W8&amp;AA8</f>
        <v>{"zusatz":"","strasse":"Strasse_961","houseNumber":"72","ort":"3053 Münchenbuchsee","validDate":"4.11.2021"}</v>
      </c>
      <c r="F8" s="609" t="s">
        <v>100</v>
      </c>
      <c r="G8" s="611"/>
      <c r="H8" s="609" t="s">
        <v>101</v>
      </c>
      <c r="I8" s="611" t="str">
        <f ca="1">"Strasse_"&amp;RANDBETWEEN(1,1000)</f>
        <v>Strasse_961</v>
      </c>
      <c r="J8" s="609" t="s">
        <v>102</v>
      </c>
      <c r="K8" s="611">
        <f ca="1">RANDBETWEEN(1,100)</f>
        <v>72</v>
      </c>
      <c r="L8" s="609" t="s">
        <v>103</v>
      </c>
      <c r="M8" s="611" t="s">
        <v>104</v>
      </c>
      <c r="N8" s="609" t="s">
        <v>105</v>
      </c>
      <c r="O8" s="614" t="str">
        <f ca="1">TEXT(RANDBETWEEN(1,28)&amp;"."&amp;RANDBETWEEN(1,12)&amp;"."&amp;TEXT(TODAY()-4*365,"YYYY"),"DD.MM.YYYY")</f>
        <v>4.11.2021</v>
      </c>
      <c r="P8" s="609" t="s">
        <v>37</v>
      </c>
      <c r="Q8" s="611"/>
      <c r="R8" s="609"/>
      <c r="S8" s="611"/>
      <c r="T8" s="609"/>
      <c r="U8" s="611"/>
      <c r="V8" s="609"/>
      <c r="W8" s="611"/>
      <c r="X8" s="2"/>
      <c r="Y8" s="2"/>
      <c r="Z8" s="2"/>
      <c r="AA8" s="2"/>
      <c r="AB8" s="3"/>
      <c r="AD8" s="2"/>
      <c r="AE8" s="2"/>
      <c r="AF8" s="2"/>
      <c r="AG8" s="165" t="e">
        <f t="shared" si="0"/>
        <v>#DIV/0!</v>
      </c>
      <c r="AH8" s="2"/>
      <c r="AI8" s="165" t="e">
        <f t="shared" si="0"/>
        <v>#DIV/0!</v>
      </c>
      <c r="AJ8" s="2"/>
      <c r="AK8" s="165" t="e">
        <f t="shared" ref="AK8:AQ8" si="8">AJ8/($AC8)</f>
        <v>#DIV/0!</v>
      </c>
      <c r="AL8" s="2"/>
      <c r="AM8" s="165" t="e">
        <f t="shared" si="8"/>
        <v>#DIV/0!</v>
      </c>
      <c r="AN8" s="2"/>
      <c r="AO8" s="165" t="e">
        <f t="shared" si="8"/>
        <v>#DIV/0!</v>
      </c>
      <c r="AP8" s="2"/>
      <c r="AQ8" s="165" t="e">
        <f t="shared" si="8"/>
        <v>#DIV/0!</v>
      </c>
      <c r="AS8" s="165" t="e">
        <f t="shared" si="2"/>
        <v>#DIV/0!</v>
      </c>
      <c r="AU8" s="165" t="e">
        <f t="shared" si="2"/>
        <v>#DIV/0!</v>
      </c>
      <c r="AW8" s="165" t="e">
        <f t="shared" si="2"/>
        <v>#DIV/0!</v>
      </c>
      <c r="AZ8" s="165" t="e">
        <f t="shared" si="3"/>
        <v>#DIV/0!</v>
      </c>
      <c r="BB8" s="165" t="e">
        <f t="shared" si="3"/>
        <v>#DIV/0!</v>
      </c>
    </row>
    <row r="9" spans="1:108" s="10" customFormat="1" ht="20.25" hidden="1" customHeight="1">
      <c r="A9" s="119"/>
      <c r="B9" s="120" t="s">
        <v>106</v>
      </c>
      <c r="C9" s="121" t="s">
        <v>265</v>
      </c>
      <c r="D9" s="2"/>
      <c r="E9" s="12"/>
      <c r="F9" s="609">
        <v>789</v>
      </c>
      <c r="G9" s="611">
        <v>123456789012</v>
      </c>
      <c r="H9" s="609" t="str">
        <f>"CH00" &amp;TEXT(F9,"00000")&amp;TEXT(G9,"000000000000")</f>
        <v>CH0000789123456789012</v>
      </c>
      <c r="I9" s="625" t="s">
        <v>266</v>
      </c>
      <c r="J9" s="609"/>
      <c r="K9" s="611"/>
      <c r="L9" s="609"/>
      <c r="M9" s="611"/>
      <c r="N9" s="609"/>
      <c r="O9" s="611"/>
      <c r="P9" s="609"/>
      <c r="Q9" s="611"/>
      <c r="R9" s="609"/>
      <c r="S9" s="611"/>
      <c r="T9" s="609"/>
      <c r="U9" s="611"/>
      <c r="V9" s="609"/>
      <c r="W9" s="611"/>
      <c r="X9" s="2"/>
      <c r="Y9" s="2"/>
      <c r="Z9" s="2"/>
      <c r="AA9" s="2"/>
      <c r="AB9" s="2"/>
      <c r="AD9" s="2"/>
      <c r="AE9" s="2"/>
      <c r="AF9" s="2"/>
      <c r="AG9" s="165" t="e">
        <f t="shared" si="0"/>
        <v>#DIV/0!</v>
      </c>
      <c r="AH9" s="2"/>
      <c r="AI9" s="165" t="e">
        <f t="shared" si="0"/>
        <v>#DIV/0!</v>
      </c>
      <c r="AJ9" s="2"/>
      <c r="AK9" s="165" t="e">
        <f t="shared" ref="AK9:AQ9" si="9">AJ9/($AC9)</f>
        <v>#DIV/0!</v>
      </c>
      <c r="AL9" s="2"/>
      <c r="AM9" s="165" t="e">
        <f t="shared" si="9"/>
        <v>#DIV/0!</v>
      </c>
      <c r="AN9" s="2"/>
      <c r="AO9" s="165" t="e">
        <f t="shared" si="9"/>
        <v>#DIV/0!</v>
      </c>
      <c r="AP9" s="2"/>
      <c r="AQ9" s="165" t="e">
        <f t="shared" si="9"/>
        <v>#DIV/0!</v>
      </c>
      <c r="AS9" s="165" t="e">
        <f t="shared" si="2"/>
        <v>#DIV/0!</v>
      </c>
      <c r="AU9" s="165" t="e">
        <f t="shared" si="2"/>
        <v>#DIV/0!</v>
      </c>
      <c r="AW9" s="165" t="e">
        <f t="shared" si="2"/>
        <v>#DIV/0!</v>
      </c>
      <c r="AZ9" s="165" t="e">
        <f t="shared" si="3"/>
        <v>#DIV/0!</v>
      </c>
      <c r="BB9" s="165" t="e">
        <f t="shared" si="3"/>
        <v>#DIV/0!</v>
      </c>
    </row>
    <row r="10" spans="1:108" s="10" customFormat="1" ht="15.75" hidden="1" customHeight="1">
      <c r="A10" s="119"/>
      <c r="B10" s="120" t="s">
        <v>110</v>
      </c>
      <c r="C10" s="121"/>
      <c r="D10" s="2"/>
      <c r="E10" s="12"/>
      <c r="F10" s="609"/>
      <c r="G10" s="611"/>
      <c r="H10" s="609"/>
      <c r="I10" s="611"/>
      <c r="J10" s="609"/>
      <c r="K10" s="611"/>
      <c r="L10" s="609"/>
      <c r="M10" s="611"/>
      <c r="N10" s="609"/>
      <c r="O10" s="611"/>
      <c r="P10" s="609"/>
      <c r="Q10" s="611"/>
      <c r="R10" s="609"/>
      <c r="S10" s="611"/>
      <c r="T10" s="609"/>
      <c r="U10" s="611"/>
      <c r="V10" s="609"/>
      <c r="W10" s="611"/>
      <c r="X10" s="2"/>
      <c r="Y10" s="2"/>
      <c r="Z10" s="2"/>
      <c r="AA10" s="2"/>
      <c r="AB10" s="2"/>
      <c r="AD10" s="2"/>
      <c r="AE10" s="2"/>
      <c r="AF10" s="2"/>
      <c r="AG10" s="165" t="e">
        <f t="shared" si="0"/>
        <v>#DIV/0!</v>
      </c>
      <c r="AH10" s="2"/>
      <c r="AI10" s="165" t="e">
        <f t="shared" si="0"/>
        <v>#DIV/0!</v>
      </c>
      <c r="AJ10" s="2"/>
      <c r="AK10" s="165" t="e">
        <f t="shared" ref="AK10:AQ10" si="10">AJ10/($AC10)</f>
        <v>#DIV/0!</v>
      </c>
      <c r="AL10" s="2"/>
      <c r="AM10" s="165" t="e">
        <f t="shared" si="10"/>
        <v>#DIV/0!</v>
      </c>
      <c r="AN10" s="2"/>
      <c r="AO10" s="165" t="e">
        <f t="shared" si="10"/>
        <v>#DIV/0!</v>
      </c>
      <c r="AP10" s="2"/>
      <c r="AQ10" s="165" t="e">
        <f t="shared" si="10"/>
        <v>#DIV/0!</v>
      </c>
      <c r="AS10" s="165" t="e">
        <f t="shared" si="2"/>
        <v>#DIV/0!</v>
      </c>
      <c r="AU10" s="165" t="e">
        <f t="shared" si="2"/>
        <v>#DIV/0!</v>
      </c>
      <c r="AW10" s="165" t="e">
        <f t="shared" si="2"/>
        <v>#DIV/0!</v>
      </c>
      <c r="AZ10" s="165" t="e">
        <f t="shared" si="3"/>
        <v>#DIV/0!</v>
      </c>
      <c r="BB10" s="165" t="e">
        <f t="shared" si="3"/>
        <v>#DIV/0!</v>
      </c>
    </row>
    <row r="11" spans="1:108" s="10" customFormat="1" ht="36" hidden="1" customHeight="1">
      <c r="A11" s="119"/>
      <c r="B11" s="120" t="s">
        <v>111</v>
      </c>
      <c r="C11" s="121" t="str">
        <f>E11</f>
        <v>{"zust_Gemeinde":"Münchenbuchsee","zust_SozTeam":"Sozialarbeit Bern 1","zust_SozMitarbeiter":"Bern Sozialarbeiterin 1A","zust_SachbTeam":"Sachbearbeitung Bern","zust_SachbMitarbeiter":"Bern Sachbearbeiterin"}</v>
      </c>
      <c r="D11" s="2"/>
      <c r="E11" s="2" t="str">
        <f t="shared" ref="E11:E26" si="11">F11&amp;G11&amp;H11&amp;I11&amp;J11&amp;K11&amp;L11&amp;M11&amp;N11&amp;O11&amp;P11&amp;Q11&amp;R11&amp;S11&amp;T11&amp;U11&amp;V11&amp;W11&amp;AA11</f>
        <v>{"zust_Gemeinde":"Münchenbuchsee","zust_SozTeam":"Sozialarbeit Bern 1","zust_SozMitarbeiter":"Bern Sozialarbeiterin 1A","zust_SachbTeam":"Sachbearbeitung Bern","zust_SachbMitarbeiter":"Bern Sachbearbeiterin"}</v>
      </c>
      <c r="F11" s="609" t="s">
        <v>112</v>
      </c>
      <c r="G11" s="611" t="s">
        <v>113</v>
      </c>
      <c r="H11" s="609" t="s">
        <v>114</v>
      </c>
      <c r="I11" s="611" t="s">
        <v>76</v>
      </c>
      <c r="J11" s="609" t="s">
        <v>115</v>
      </c>
      <c r="K11" s="611" t="s">
        <v>116</v>
      </c>
      <c r="L11" s="609" t="s">
        <v>117</v>
      </c>
      <c r="M11" s="611" t="s">
        <v>118</v>
      </c>
      <c r="N11" s="609" t="s">
        <v>119</v>
      </c>
      <c r="O11" s="611" t="s">
        <v>120</v>
      </c>
      <c r="P11" s="609" t="s">
        <v>37</v>
      </c>
      <c r="Q11" s="611"/>
      <c r="R11" s="609"/>
      <c r="S11" s="611"/>
      <c r="T11" s="609"/>
      <c r="U11" s="611"/>
      <c r="V11" s="609"/>
      <c r="W11" s="611"/>
      <c r="X11" s="2"/>
      <c r="Y11" s="2"/>
      <c r="Z11" s="2"/>
      <c r="AA11" s="2"/>
      <c r="AB11" s="2"/>
      <c r="AD11" s="2"/>
      <c r="AE11" s="2"/>
      <c r="AF11" s="2"/>
      <c r="AG11" s="165" t="e">
        <f t="shared" si="0"/>
        <v>#DIV/0!</v>
      </c>
      <c r="AH11" s="2"/>
      <c r="AI11" s="165" t="e">
        <f t="shared" si="0"/>
        <v>#DIV/0!</v>
      </c>
      <c r="AJ11" s="2"/>
      <c r="AK11" s="165" t="e">
        <f t="shared" ref="AK11:AQ11" si="12">AJ11/($AC11)</f>
        <v>#DIV/0!</v>
      </c>
      <c r="AL11" s="2"/>
      <c r="AM11" s="165" t="e">
        <f t="shared" si="12"/>
        <v>#DIV/0!</v>
      </c>
      <c r="AN11" s="2"/>
      <c r="AO11" s="165" t="e">
        <f t="shared" si="12"/>
        <v>#DIV/0!</v>
      </c>
      <c r="AP11" s="2"/>
      <c r="AQ11" s="165" t="e">
        <f t="shared" si="12"/>
        <v>#DIV/0!</v>
      </c>
      <c r="AS11" s="165" t="e">
        <f t="shared" si="2"/>
        <v>#DIV/0!</v>
      </c>
      <c r="AU11" s="165" t="e">
        <f t="shared" si="2"/>
        <v>#DIV/0!</v>
      </c>
      <c r="AW11" s="165" t="e">
        <f t="shared" si="2"/>
        <v>#DIV/0!</v>
      </c>
      <c r="AZ11" s="165" t="e">
        <f t="shared" si="3"/>
        <v>#DIV/0!</v>
      </c>
      <c r="BB11" s="165" t="e">
        <f t="shared" si="3"/>
        <v>#DIV/0!</v>
      </c>
    </row>
    <row r="12" spans="1:108" s="10" customFormat="1" ht="15.75" hidden="1" customHeight="1">
      <c r="A12" s="119"/>
      <c r="B12" s="120" t="s">
        <v>122</v>
      </c>
      <c r="C12" s="121" t="str">
        <f ca="1">E12</f>
        <v>{"dossierBezeichnung":p.DossierName1,"eroeffnetAm":"04.11.2025","dossierSprache":"Deutsch"}</v>
      </c>
      <c r="D12" s="2"/>
      <c r="E12" s="12" t="str">
        <f t="shared" ca="1" si="11"/>
        <v>{"dossierBezeichnung":p.DossierName1,"eroeffnetAm":"04.11.2025","dossierSprache":"Deutsch"}</v>
      </c>
      <c r="F12" s="609" t="s">
        <v>123</v>
      </c>
      <c r="G12" s="625" t="str">
        <f>G$61</f>
        <v>p.DossierName1</v>
      </c>
      <c r="H12" s="609" t="s">
        <v>124</v>
      </c>
      <c r="I12" s="614" t="str">
        <f ca="1">TEXT(TEXT(TODAY(),"DD")&amp;"."&amp;TEXT(TODAY(),"MM")&amp;"."&amp;TEXT(TODAY(),"YYYY"),"DD.MM.YYYY")</f>
        <v>04.11.2025</v>
      </c>
      <c r="J12" s="609" t="s">
        <v>125</v>
      </c>
      <c r="K12" s="611" t="s">
        <v>85</v>
      </c>
      <c r="L12" s="609" t="s">
        <v>37</v>
      </c>
      <c r="M12" s="611"/>
      <c r="N12" s="609"/>
      <c r="O12" s="611"/>
      <c r="P12" s="609"/>
      <c r="Q12" s="611"/>
      <c r="R12" s="609"/>
      <c r="S12" s="611"/>
      <c r="T12" s="609"/>
      <c r="U12" s="611"/>
      <c r="V12" s="609"/>
      <c r="W12" s="611"/>
      <c r="X12" s="2"/>
      <c r="Y12" s="2"/>
      <c r="Z12" s="2"/>
      <c r="AA12" s="2"/>
      <c r="AB12" s="2"/>
      <c r="AD12" s="2"/>
      <c r="AE12" s="2"/>
      <c r="AF12" s="2"/>
      <c r="AG12" s="165" t="e">
        <f t="shared" si="0"/>
        <v>#DIV/0!</v>
      </c>
      <c r="AH12" s="2"/>
      <c r="AI12" s="165" t="e">
        <f t="shared" si="0"/>
        <v>#DIV/0!</v>
      </c>
      <c r="AJ12" s="2"/>
      <c r="AK12" s="165" t="e">
        <f t="shared" ref="AK12:AQ12" si="13">AJ12/($AC12)</f>
        <v>#DIV/0!</v>
      </c>
      <c r="AL12" s="2"/>
      <c r="AM12" s="165" t="e">
        <f t="shared" si="13"/>
        <v>#DIV/0!</v>
      </c>
      <c r="AN12" s="2"/>
      <c r="AO12" s="165" t="e">
        <f t="shared" si="13"/>
        <v>#DIV/0!</v>
      </c>
      <c r="AP12" s="2"/>
      <c r="AQ12" s="165" t="e">
        <f t="shared" si="13"/>
        <v>#DIV/0!</v>
      </c>
      <c r="AS12" s="165" t="e">
        <f t="shared" si="2"/>
        <v>#DIV/0!</v>
      </c>
      <c r="AU12" s="165" t="e">
        <f t="shared" si="2"/>
        <v>#DIV/0!</v>
      </c>
      <c r="AW12" s="165" t="e">
        <f t="shared" si="2"/>
        <v>#DIV/0!</v>
      </c>
      <c r="AZ12" s="165" t="e">
        <f t="shared" si="3"/>
        <v>#DIV/0!</v>
      </c>
      <c r="BB12" s="165" t="e">
        <f t="shared" si="3"/>
        <v>#DIV/0!</v>
      </c>
    </row>
    <row r="13" spans="1:108" s="10" customFormat="1" ht="18.75" hidden="1" customHeight="1">
      <c r="A13" s="119"/>
      <c r="B13" s="120" t="s">
        <v>127</v>
      </c>
      <c r="C13" s="121" t="str">
        <f>E13</f>
        <v>{"dossierInstitution":p.DossierName1,"klientschaft":`${p.FamilyName1}, ${p.ManFirstName1}`,"buttonBewilligung":"Anfragen","checkStatus":"In Bearbeitung"}</v>
      </c>
      <c r="D13" s="2"/>
      <c r="E13" s="12" t="str">
        <f t="shared" si="11"/>
        <v>{"dossierInstitution":p.DossierName1,"klientschaft":`${p.FamilyName1}, ${p.ManFirstName1}`,"buttonBewilligung":"Anfragen","checkStatus":"In Bearbeitung"}</v>
      </c>
      <c r="F13" s="609" t="s">
        <v>128</v>
      </c>
      <c r="G13" s="625" t="str">
        <f>G12</f>
        <v>p.DossierName1</v>
      </c>
      <c r="H13" s="609" t="s">
        <v>129</v>
      </c>
      <c r="I13" s="609" t="str">
        <f>I23</f>
        <v>${p.FamilyName1}, ${p.ManFirstName1}</v>
      </c>
      <c r="J13" s="609" t="s">
        <v>130</v>
      </c>
      <c r="K13" s="614" t="s">
        <v>131</v>
      </c>
      <c r="L13" s="609" t="s">
        <v>132</v>
      </c>
      <c r="M13" s="609" t="s">
        <v>133</v>
      </c>
      <c r="N13" s="609" t="s">
        <v>37</v>
      </c>
      <c r="O13" s="611"/>
      <c r="P13" s="609"/>
      <c r="Q13" s="611"/>
      <c r="R13" s="609"/>
      <c r="S13" s="611"/>
      <c r="T13" s="609"/>
      <c r="U13" s="611"/>
      <c r="V13" s="609"/>
      <c r="W13" s="611"/>
      <c r="X13" s="2"/>
      <c r="Y13" s="2"/>
      <c r="Z13" s="2"/>
      <c r="AA13" s="2"/>
      <c r="AB13" s="2"/>
      <c r="AD13" s="2"/>
      <c r="AE13" s="2"/>
      <c r="AF13" s="2"/>
      <c r="AG13" s="165" t="e">
        <f t="shared" si="0"/>
        <v>#DIV/0!</v>
      </c>
      <c r="AH13" s="2"/>
      <c r="AI13" s="165" t="e">
        <f t="shared" si="0"/>
        <v>#DIV/0!</v>
      </c>
      <c r="AJ13" s="2"/>
      <c r="AK13" s="165" t="e">
        <f t="shared" ref="AK13:AQ13" si="14">AJ13/($AC13)</f>
        <v>#DIV/0!</v>
      </c>
      <c r="AL13" s="2"/>
      <c r="AM13" s="165" t="e">
        <f t="shared" si="14"/>
        <v>#DIV/0!</v>
      </c>
      <c r="AN13" s="2"/>
      <c r="AO13" s="165" t="e">
        <f t="shared" si="14"/>
        <v>#DIV/0!</v>
      </c>
      <c r="AP13" s="2"/>
      <c r="AQ13" s="165" t="e">
        <f t="shared" si="14"/>
        <v>#DIV/0!</v>
      </c>
      <c r="AS13" s="165" t="e">
        <f t="shared" si="2"/>
        <v>#DIV/0!</v>
      </c>
      <c r="AU13" s="165" t="e">
        <f t="shared" si="2"/>
        <v>#DIV/0!</v>
      </c>
      <c r="AW13" s="165" t="e">
        <f t="shared" si="2"/>
        <v>#DIV/0!</v>
      </c>
      <c r="AZ13" s="165" t="e">
        <f t="shared" si="3"/>
        <v>#DIV/0!</v>
      </c>
      <c r="BB13" s="165" t="e">
        <f t="shared" si="3"/>
        <v>#DIV/0!</v>
      </c>
    </row>
    <row r="14" spans="1:108" s="10" customFormat="1" ht="15.75" hidden="1" customHeight="1">
      <c r="A14" s="119"/>
      <c r="B14" s="120" t="s">
        <v>134</v>
      </c>
      <c r="C14" s="121" t="str">
        <f>E14</f>
        <v>{"username":"Bern.Sachbearbeiterin@diartis.ch","password":"XXxa22?pdTA66-S@"}</v>
      </c>
      <c r="D14" s="2"/>
      <c r="E14" s="12" t="str">
        <f t="shared" si="11"/>
        <v>{"username":"Bern.Sachbearbeiterin@diartis.ch","password":"XXxa22?pdTA66-S@"}</v>
      </c>
      <c r="F14" s="609" t="s">
        <v>29</v>
      </c>
      <c r="G14" s="617" t="s">
        <v>30</v>
      </c>
      <c r="H14" s="609" t="s">
        <v>31</v>
      </c>
      <c r="I14" s="618" t="s">
        <v>32</v>
      </c>
      <c r="J14" s="609" t="s">
        <v>37</v>
      </c>
      <c r="K14" s="614"/>
      <c r="L14" s="609"/>
      <c r="M14" s="611"/>
      <c r="N14" s="609"/>
      <c r="O14" s="611"/>
      <c r="P14" s="609"/>
      <c r="Q14" s="611"/>
      <c r="R14" s="609"/>
      <c r="S14" s="611"/>
      <c r="T14" s="609"/>
      <c r="U14" s="611"/>
      <c r="V14" s="609"/>
      <c r="W14" s="611"/>
      <c r="X14" s="2"/>
      <c r="Y14" s="2"/>
      <c r="Z14" s="2"/>
      <c r="AA14" s="2"/>
      <c r="AB14" s="2"/>
      <c r="AD14" s="2"/>
      <c r="AE14" s="2"/>
      <c r="AF14" s="2"/>
      <c r="AG14" s="165" t="e">
        <f t="shared" si="0"/>
        <v>#DIV/0!</v>
      </c>
      <c r="AH14" s="2"/>
      <c r="AI14" s="165" t="e">
        <f t="shared" si="0"/>
        <v>#DIV/0!</v>
      </c>
      <c r="AJ14" s="2"/>
      <c r="AK14" s="165" t="e">
        <f t="shared" ref="AK14:AQ14" si="15">AJ14/($AC14)</f>
        <v>#DIV/0!</v>
      </c>
      <c r="AL14" s="2"/>
      <c r="AM14" s="165" t="e">
        <f t="shared" si="15"/>
        <v>#DIV/0!</v>
      </c>
      <c r="AN14" s="2"/>
      <c r="AO14" s="165" t="e">
        <f t="shared" si="15"/>
        <v>#DIV/0!</v>
      </c>
      <c r="AP14" s="2"/>
      <c r="AQ14" s="165" t="e">
        <f t="shared" si="15"/>
        <v>#DIV/0!</v>
      </c>
      <c r="AS14" s="165" t="e">
        <f t="shared" si="2"/>
        <v>#DIV/0!</v>
      </c>
      <c r="AU14" s="165" t="e">
        <f t="shared" si="2"/>
        <v>#DIV/0!</v>
      </c>
      <c r="AW14" s="165" t="e">
        <f t="shared" si="2"/>
        <v>#DIV/0!</v>
      </c>
      <c r="AZ14" s="165" t="e">
        <f t="shared" si="3"/>
        <v>#DIV/0!</v>
      </c>
      <c r="BB14" s="165" t="e">
        <f t="shared" si="3"/>
        <v>#DIV/0!</v>
      </c>
    </row>
    <row r="15" spans="1:108" s="10" customFormat="1" ht="15.75" hidden="1" customHeight="1">
      <c r="A15" s="119"/>
      <c r="B15" s="120" t="s">
        <v>127</v>
      </c>
      <c r="C15" s="121" t="str">
        <f>E15</f>
        <v>{"dossierInstitution":p.DossierName1,"klientschaft":`${p.FamilyName1}, ${p.ManFirstName1}`,"buttonBewilligung":"Bewilligen","checkStatus":"Bewilligt"}</v>
      </c>
      <c r="D15" s="2"/>
      <c r="E15" s="12" t="str">
        <f t="shared" si="11"/>
        <v>{"dossierInstitution":p.DossierName1,"klientschaft":`${p.FamilyName1}, ${p.ManFirstName1}`,"buttonBewilligung":"Bewilligen","checkStatus":"Bewilligt"}</v>
      </c>
      <c r="F15" s="609" t="s">
        <v>128</v>
      </c>
      <c r="G15" s="625" t="str">
        <f>'001b'!$G$12</f>
        <v>p.DossierName1</v>
      </c>
      <c r="H15" s="609" t="s">
        <v>129</v>
      </c>
      <c r="I15" s="609" t="str">
        <f>I23</f>
        <v>${p.FamilyName1}, ${p.ManFirstName1}</v>
      </c>
      <c r="J15" s="609" t="s">
        <v>130</v>
      </c>
      <c r="K15" s="614" t="s">
        <v>136</v>
      </c>
      <c r="L15" s="609" t="s">
        <v>132</v>
      </c>
      <c r="M15" s="609" t="s">
        <v>137</v>
      </c>
      <c r="N15" s="609" t="s">
        <v>37</v>
      </c>
      <c r="O15" s="611"/>
      <c r="P15" s="609"/>
      <c r="Q15" s="611"/>
      <c r="R15" s="609"/>
      <c r="S15" s="611"/>
      <c r="T15" s="609"/>
      <c r="U15" s="611"/>
      <c r="V15" s="609"/>
      <c r="W15" s="611"/>
      <c r="X15" s="2"/>
      <c r="Y15" s="2"/>
      <c r="Z15" s="2"/>
      <c r="AA15" s="2"/>
      <c r="AB15" s="2"/>
      <c r="AD15" s="2"/>
      <c r="AE15" s="2"/>
      <c r="AF15" s="2"/>
      <c r="AG15" s="165" t="e">
        <f t="shared" si="0"/>
        <v>#DIV/0!</v>
      </c>
      <c r="AH15" s="2"/>
      <c r="AI15" s="165" t="e">
        <f t="shared" si="0"/>
        <v>#DIV/0!</v>
      </c>
      <c r="AJ15" s="2"/>
      <c r="AK15" s="165" t="e">
        <f t="shared" ref="AK15:AQ15" si="16">AJ15/($AC15)</f>
        <v>#DIV/0!</v>
      </c>
      <c r="AL15" s="2"/>
      <c r="AM15" s="165" t="e">
        <f t="shared" si="16"/>
        <v>#DIV/0!</v>
      </c>
      <c r="AN15" s="2"/>
      <c r="AO15" s="165" t="e">
        <f t="shared" si="16"/>
        <v>#DIV/0!</v>
      </c>
      <c r="AP15" s="2"/>
      <c r="AQ15" s="165" t="e">
        <f t="shared" si="16"/>
        <v>#DIV/0!</v>
      </c>
      <c r="AS15" s="165" t="e">
        <f t="shared" si="2"/>
        <v>#DIV/0!</v>
      </c>
      <c r="AU15" s="165" t="e">
        <f t="shared" si="2"/>
        <v>#DIV/0!</v>
      </c>
      <c r="AW15" s="165" t="e">
        <f t="shared" si="2"/>
        <v>#DIV/0!</v>
      </c>
      <c r="AZ15" s="165" t="e">
        <f t="shared" si="3"/>
        <v>#DIV/0!</v>
      </c>
      <c r="BB15" s="165" t="e">
        <f t="shared" si="3"/>
        <v>#DIV/0!</v>
      </c>
    </row>
    <row r="16" spans="1:108" ht="15.75" hidden="1" customHeight="1">
      <c r="A16" s="119"/>
      <c r="B16" s="120" t="s">
        <v>134</v>
      </c>
      <c r="C16" s="594" t="s">
        <v>138</v>
      </c>
      <c r="E16" s="2" t="str">
        <f t="shared" si="11"/>
        <v>{"username":"Bern.Sachbearbeiterin@diartis.ch","password":"XXxa22?pdTA66-S@"}</v>
      </c>
      <c r="F16" s="609" t="s">
        <v>29</v>
      </c>
      <c r="G16" s="624" t="s">
        <v>30</v>
      </c>
      <c r="H16" s="609" t="s">
        <v>31</v>
      </c>
      <c r="I16" s="624" t="s">
        <v>32</v>
      </c>
      <c r="J16" s="609" t="s">
        <v>37</v>
      </c>
      <c r="AD16" s="2"/>
      <c r="AE16" s="2"/>
      <c r="AG16" s="165" t="e">
        <f t="shared" si="0"/>
        <v>#DIV/0!</v>
      </c>
      <c r="AI16" s="165" t="e">
        <f t="shared" si="0"/>
        <v>#DIV/0!</v>
      </c>
      <c r="AK16" s="165" t="e">
        <f t="shared" ref="AK16:AQ16" si="17">AJ16/($AC16)</f>
        <v>#DIV/0!</v>
      </c>
      <c r="AM16" s="165" t="e">
        <f t="shared" si="17"/>
        <v>#DIV/0!</v>
      </c>
      <c r="AO16" s="165" t="e">
        <f t="shared" si="17"/>
        <v>#DIV/0!</v>
      </c>
      <c r="AQ16" s="165" t="e">
        <f t="shared" si="17"/>
        <v>#DIV/0!</v>
      </c>
      <c r="AS16" s="165" t="e">
        <f t="shared" si="2"/>
        <v>#DIV/0!</v>
      </c>
      <c r="AU16" s="165" t="e">
        <f t="shared" si="2"/>
        <v>#DIV/0!</v>
      </c>
      <c r="AW16" s="165" t="e">
        <f t="shared" si="2"/>
        <v>#DIV/0!</v>
      </c>
      <c r="AZ16" s="165" t="e">
        <f t="shared" si="3"/>
        <v>#DIV/0!</v>
      </c>
      <c r="BB16" s="165" t="e">
        <f t="shared" si="3"/>
        <v>#DIV/0!</v>
      </c>
    </row>
    <row r="17" spans="1:54" s="10" customFormat="1" ht="15.75" hidden="1" customHeight="1">
      <c r="A17" s="119"/>
      <c r="B17" s="591" t="s">
        <v>139</v>
      </c>
      <c r="C17" s="595" t="str">
        <f t="shared" ref="C17:C26" si="18">E17</f>
        <v>{"searchDossierOrKlient":p.DossierName1,"resultType":"Dossiers"}</v>
      </c>
      <c r="D17" s="2"/>
      <c r="E17" s="12" t="str">
        <f t="shared" si="11"/>
        <v>{"searchDossierOrKlient":p.DossierName1,"resultType":"Dossiers"}</v>
      </c>
      <c r="F17" s="609" t="s">
        <v>140</v>
      </c>
      <c r="G17" s="625" t="str">
        <f>'001b'!$G$12</f>
        <v>p.DossierName1</v>
      </c>
      <c r="H17" s="609" t="s">
        <v>141</v>
      </c>
      <c r="I17" s="611" t="s">
        <v>142</v>
      </c>
      <c r="J17" s="609" t="s">
        <v>37</v>
      </c>
      <c r="K17" s="611"/>
      <c r="L17" s="609"/>
      <c r="M17" s="611"/>
      <c r="N17" s="609"/>
      <c r="O17" s="611"/>
      <c r="P17" s="609"/>
      <c r="Q17" s="611"/>
      <c r="R17" s="609"/>
      <c r="S17" s="611"/>
      <c r="T17" s="609"/>
      <c r="U17" s="611"/>
      <c r="V17" s="609"/>
      <c r="W17" s="611"/>
      <c r="X17" s="2"/>
      <c r="Y17" s="2"/>
      <c r="Z17" s="2"/>
      <c r="AA17" s="2"/>
      <c r="AB17" s="2"/>
      <c r="AD17" s="2"/>
      <c r="AE17" s="2"/>
      <c r="AF17" s="2"/>
      <c r="AG17" s="165" t="e">
        <f t="shared" si="0"/>
        <v>#DIV/0!</v>
      </c>
      <c r="AH17" s="2"/>
      <c r="AI17" s="165" t="e">
        <f t="shared" si="0"/>
        <v>#DIV/0!</v>
      </c>
      <c r="AJ17" s="2"/>
      <c r="AK17" s="165" t="e">
        <f t="shared" ref="AK17:AQ17" si="19">AJ17/($AC17)</f>
        <v>#DIV/0!</v>
      </c>
      <c r="AL17" s="2"/>
      <c r="AM17" s="165" t="e">
        <f t="shared" si="19"/>
        <v>#DIV/0!</v>
      </c>
      <c r="AN17" s="2"/>
      <c r="AO17" s="165" t="e">
        <f t="shared" si="19"/>
        <v>#DIV/0!</v>
      </c>
      <c r="AP17" s="2"/>
      <c r="AQ17" s="165" t="e">
        <f t="shared" si="19"/>
        <v>#DIV/0!</v>
      </c>
      <c r="AS17" s="165" t="e">
        <f t="shared" si="2"/>
        <v>#DIV/0!</v>
      </c>
      <c r="AU17" s="165" t="e">
        <f t="shared" si="2"/>
        <v>#DIV/0!</v>
      </c>
      <c r="AW17" s="165" t="e">
        <f t="shared" si="2"/>
        <v>#DIV/0!</v>
      </c>
      <c r="AZ17" s="165" t="e">
        <f t="shared" si="3"/>
        <v>#DIV/0!</v>
      </c>
      <c r="BB17" s="165" t="e">
        <f t="shared" si="3"/>
        <v>#DIV/0!</v>
      </c>
    </row>
    <row r="18" spans="1:54" s="10" customFormat="1" ht="15.75" hidden="1" customHeight="1">
      <c r="A18" s="119"/>
      <c r="B18" s="591" t="s">
        <v>143</v>
      </c>
      <c r="C18" s="121" t="str">
        <f t="shared" si="18"/>
        <v>{"vermieter":"Graber Immobilien, 3000 Bern","wohnungsgrosse":"4 Zimmer","mietkosten":1200,"nebenkosten":100}</v>
      </c>
      <c r="D18" s="2"/>
      <c r="E18" s="12" t="str">
        <f t="shared" si="11"/>
        <v>{"vermieter":"Graber Immobilien, 3000 Bern","wohnungsgrosse":"4 Zimmer","mietkosten":1200,"nebenkosten":100}</v>
      </c>
      <c r="F18" s="609" t="s">
        <v>144</v>
      </c>
      <c r="G18" s="609" t="s">
        <v>267</v>
      </c>
      <c r="H18" s="609" t="s">
        <v>146</v>
      </c>
      <c r="I18" s="611" t="s">
        <v>147</v>
      </c>
      <c r="J18" s="609" t="s">
        <v>148</v>
      </c>
      <c r="K18" s="611">
        <v>1200</v>
      </c>
      <c r="L18" s="609" t="s">
        <v>149</v>
      </c>
      <c r="M18" s="611">
        <v>100</v>
      </c>
      <c r="N18" s="609" t="s">
        <v>109</v>
      </c>
      <c r="O18" s="611"/>
      <c r="P18" s="609"/>
      <c r="Q18" s="611"/>
      <c r="R18" s="609"/>
      <c r="S18" s="611"/>
      <c r="T18" s="609"/>
      <c r="U18" s="611"/>
      <c r="V18" s="609"/>
      <c r="W18" s="611"/>
      <c r="X18" s="2"/>
      <c r="Y18" s="2"/>
      <c r="Z18" s="2"/>
      <c r="AA18" s="2"/>
      <c r="AB18" s="2"/>
      <c r="AD18" s="2"/>
      <c r="AE18" s="2"/>
      <c r="AF18" s="2"/>
      <c r="AG18" s="165" t="e">
        <f t="shared" si="0"/>
        <v>#DIV/0!</v>
      </c>
      <c r="AH18" s="2"/>
      <c r="AI18" s="165" t="e">
        <f t="shared" si="0"/>
        <v>#DIV/0!</v>
      </c>
      <c r="AJ18" s="2"/>
      <c r="AK18" s="165" t="e">
        <f t="shared" ref="AK18:AQ18" si="20">AJ18/($AC18)</f>
        <v>#DIV/0!</v>
      </c>
      <c r="AL18" s="2"/>
      <c r="AM18" s="165" t="e">
        <f t="shared" si="20"/>
        <v>#DIV/0!</v>
      </c>
      <c r="AN18" s="2"/>
      <c r="AO18" s="165" t="e">
        <f t="shared" si="20"/>
        <v>#DIV/0!</v>
      </c>
      <c r="AP18" s="2"/>
      <c r="AQ18" s="165" t="e">
        <f t="shared" si="20"/>
        <v>#DIV/0!</v>
      </c>
      <c r="AS18" s="165" t="e">
        <f t="shared" si="2"/>
        <v>#DIV/0!</v>
      </c>
      <c r="AU18" s="165" t="e">
        <f t="shared" si="2"/>
        <v>#DIV/0!</v>
      </c>
      <c r="AW18" s="165" t="e">
        <f t="shared" si="2"/>
        <v>#DIV/0!</v>
      </c>
      <c r="AZ18" s="165" t="e">
        <f t="shared" si="3"/>
        <v>#DIV/0!</v>
      </c>
      <c r="BB18" s="165" t="e">
        <f t="shared" si="3"/>
        <v>#DIV/0!</v>
      </c>
    </row>
    <row r="19" spans="1:54" s="10" customFormat="1" ht="15.75" hidden="1" customHeight="1">
      <c r="A19" s="119"/>
      <c r="B19" s="120" t="s">
        <v>150</v>
      </c>
      <c r="C19" s="121" t="str">
        <f t="shared" ca="1" si="18"/>
        <v>{"name":p.FamilyName1,"vorname":p.WomanFirstName1,"geburtsdatum":p.BirthdayAdult2,"ahvNumber":p.AHVNumber2,"personInhausltVon":"01.11.2024","inHauslt":"Übernehmen","ereignis":"Eheschliessung"}</v>
      </c>
      <c r="D19" s="2"/>
      <c r="E19" s="12" t="str">
        <f t="shared" ca="1" si="11"/>
        <v>{"name":p.FamilyName1,"vorname":p.WomanFirstName1,"geburtsdatum":p.BirthdayAdult2,"ahvNumber":p.AHVNumber2,"personInhausltVon":"01.11.2024","inHauslt":"Übernehmen","ereignis":"Eheschliessung"}</v>
      </c>
      <c r="F19" s="609" t="s">
        <v>78</v>
      </c>
      <c r="G19" s="609" t="str">
        <f>G6</f>
        <v>p.FamilyName1</v>
      </c>
      <c r="H19" s="609" t="s">
        <v>79</v>
      </c>
      <c r="I19" s="609" t="str">
        <f>H62</f>
        <v>p.WomanFirstName1</v>
      </c>
      <c r="J19" s="609" t="s">
        <v>151</v>
      </c>
      <c r="K19" s="614" t="str">
        <f>J62</f>
        <v>p.BirthdayAdult2</v>
      </c>
      <c r="L19" s="609" t="s">
        <v>83</v>
      </c>
      <c r="M19" s="609" t="str">
        <f>I62</f>
        <v>p.AHVNumber2</v>
      </c>
      <c r="N19" s="609" t="s">
        <v>152</v>
      </c>
      <c r="O19" s="614" t="str">
        <f ca="1">"01."&amp;MONTH(TODAY())&amp;".2024"</f>
        <v>01.11.2024</v>
      </c>
      <c r="P19" s="609" t="s">
        <v>153</v>
      </c>
      <c r="Q19" s="611" t="s">
        <v>154</v>
      </c>
      <c r="R19" s="609" t="s">
        <v>155</v>
      </c>
      <c r="S19" s="611" t="s">
        <v>156</v>
      </c>
      <c r="T19" s="609" t="s">
        <v>37</v>
      </c>
      <c r="U19" s="611"/>
      <c r="V19" s="609"/>
      <c r="W19" s="611"/>
      <c r="X19" s="2"/>
      <c r="Y19" s="2"/>
      <c r="Z19" s="2"/>
      <c r="AA19" s="2"/>
      <c r="AB19" s="544"/>
      <c r="AD19" s="2"/>
      <c r="AE19" s="2"/>
      <c r="AF19" s="2"/>
      <c r="AG19" s="165" t="e">
        <f t="shared" si="0"/>
        <v>#DIV/0!</v>
      </c>
      <c r="AH19" s="2"/>
      <c r="AI19" s="165" t="e">
        <f t="shared" si="0"/>
        <v>#DIV/0!</v>
      </c>
      <c r="AJ19" s="2"/>
      <c r="AK19" s="165" t="e">
        <f t="shared" ref="AK19:AQ19" si="21">AJ19/($AC19)</f>
        <v>#DIV/0!</v>
      </c>
      <c r="AL19" s="2"/>
      <c r="AM19" s="165" t="e">
        <f t="shared" si="21"/>
        <v>#DIV/0!</v>
      </c>
      <c r="AN19" s="2"/>
      <c r="AO19" s="165" t="e">
        <f t="shared" si="21"/>
        <v>#DIV/0!</v>
      </c>
      <c r="AP19" s="2"/>
      <c r="AQ19" s="165" t="e">
        <f t="shared" si="21"/>
        <v>#DIV/0!</v>
      </c>
      <c r="AS19" s="165" t="e">
        <f t="shared" si="2"/>
        <v>#DIV/0!</v>
      </c>
      <c r="AU19" s="165" t="e">
        <f t="shared" si="2"/>
        <v>#DIV/0!</v>
      </c>
      <c r="AW19" s="165" t="e">
        <f t="shared" si="2"/>
        <v>#DIV/0!</v>
      </c>
      <c r="AZ19" s="165" t="e">
        <f t="shared" si="3"/>
        <v>#DIV/0!</v>
      </c>
      <c r="BB19" s="165" t="e">
        <f t="shared" si="3"/>
        <v>#DIV/0!</v>
      </c>
    </row>
    <row r="20" spans="1:54" s="10" customFormat="1" ht="15.75" hidden="1" customHeight="1">
      <c r="A20" s="119"/>
      <c r="B20" s="120" t="s">
        <v>150</v>
      </c>
      <c r="C20" s="121" t="str">
        <f t="shared" ca="1" si="18"/>
        <v>{"name":p.FamilyName1,"vorname":p.GirlFirstName1,"geburtsdatum":p.BirthdayKid1,"ahvNumber":p.AHVNumber3,"personInhausltVon":"01.11.2024","inHauslt":"Übernehmen","ereignis":"Geburt"}</v>
      </c>
      <c r="D20" s="2"/>
      <c r="E20" s="12" t="str">
        <f t="shared" ca="1" si="11"/>
        <v>{"name":p.FamilyName1,"vorname":p.GirlFirstName1,"geburtsdatum":p.BirthdayKid1,"ahvNumber":p.AHVNumber3,"personInhausltVon":"01.11.2024","inHauslt":"Übernehmen","ereignis":"Geburt"}</v>
      </c>
      <c r="F20" s="609" t="s">
        <v>78</v>
      </c>
      <c r="G20" s="609" t="str">
        <f>G19</f>
        <v>p.FamilyName1</v>
      </c>
      <c r="H20" s="609" t="s">
        <v>79</v>
      </c>
      <c r="I20" s="609" t="str">
        <f>H63</f>
        <v>p.GirlFirstName1</v>
      </c>
      <c r="J20" s="609" t="s">
        <v>151</v>
      </c>
      <c r="K20" s="614" t="str">
        <f>J63</f>
        <v>p.BirthdayKid1</v>
      </c>
      <c r="L20" s="609" t="s">
        <v>83</v>
      </c>
      <c r="M20" s="609" t="str">
        <f>I63</f>
        <v>p.AHVNumber3</v>
      </c>
      <c r="N20" s="609" t="s">
        <v>152</v>
      </c>
      <c r="O20" s="614" t="str">
        <f ca="1">"01."&amp;MONTH(TODAY())&amp;".2024"</f>
        <v>01.11.2024</v>
      </c>
      <c r="P20" s="609" t="s">
        <v>153</v>
      </c>
      <c r="Q20" s="611" t="s">
        <v>154</v>
      </c>
      <c r="R20" s="609" t="s">
        <v>155</v>
      </c>
      <c r="S20" s="611" t="s">
        <v>157</v>
      </c>
      <c r="T20" s="609" t="s">
        <v>37</v>
      </c>
      <c r="U20" s="611"/>
      <c r="V20" s="609"/>
      <c r="W20" s="611"/>
      <c r="X20" s="2"/>
      <c r="Y20" s="2"/>
      <c r="Z20" s="2"/>
      <c r="AA20" s="2"/>
      <c r="AB20" s="544"/>
      <c r="AD20" s="2"/>
      <c r="AE20" s="2"/>
      <c r="AF20" s="2"/>
      <c r="AG20" s="165" t="e">
        <f t="shared" si="0"/>
        <v>#DIV/0!</v>
      </c>
      <c r="AH20" s="2"/>
      <c r="AI20" s="165" t="e">
        <f t="shared" si="0"/>
        <v>#DIV/0!</v>
      </c>
      <c r="AJ20" s="2"/>
      <c r="AK20" s="165" t="e">
        <f t="shared" ref="AK20:AQ20" si="22">AJ20/($AC20)</f>
        <v>#DIV/0!</v>
      </c>
      <c r="AL20" s="2"/>
      <c r="AM20" s="165" t="e">
        <f t="shared" si="22"/>
        <v>#DIV/0!</v>
      </c>
      <c r="AN20" s="2"/>
      <c r="AO20" s="165" t="e">
        <f t="shared" si="22"/>
        <v>#DIV/0!</v>
      </c>
      <c r="AP20" s="2"/>
      <c r="AQ20" s="165" t="e">
        <f t="shared" si="22"/>
        <v>#DIV/0!</v>
      </c>
      <c r="AS20" s="165" t="e">
        <f t="shared" si="2"/>
        <v>#DIV/0!</v>
      </c>
      <c r="AU20" s="165" t="e">
        <f t="shared" si="2"/>
        <v>#DIV/0!</v>
      </c>
      <c r="AW20" s="165" t="e">
        <f t="shared" si="2"/>
        <v>#DIV/0!</v>
      </c>
      <c r="AZ20" s="165" t="e">
        <f t="shared" si="3"/>
        <v>#DIV/0!</v>
      </c>
      <c r="BB20" s="165" t="e">
        <f t="shared" si="3"/>
        <v>#DIV/0!</v>
      </c>
    </row>
    <row r="21" spans="1:54" s="10" customFormat="1" ht="15.75" hidden="1" customHeight="1">
      <c r="A21" s="119"/>
      <c r="B21" s="120" t="s">
        <v>150</v>
      </c>
      <c r="C21" s="121" t="str">
        <f t="shared" ca="1" si="18"/>
        <v>{"name":p.FamilyName1,"vorname":p.ManFirstName2,"geburtsdatum":p.BirthdayKid2,"ahvNumber":p.AHVNumber4,"personInhausltVon":"01.11.2024","inHauslt":"Übernehmen","ereignis":"Geburt"}</v>
      </c>
      <c r="D21" s="2"/>
      <c r="E21" s="12" t="str">
        <f t="shared" ca="1" si="11"/>
        <v>{"name":p.FamilyName1,"vorname":p.ManFirstName2,"geburtsdatum":p.BirthdayKid2,"ahvNumber":p.AHVNumber4,"personInhausltVon":"01.11.2024","inHauslt":"Übernehmen","ereignis":"Geburt"}</v>
      </c>
      <c r="F21" s="609" t="s">
        <v>78</v>
      </c>
      <c r="G21" s="609" t="str">
        <f>G20</f>
        <v>p.FamilyName1</v>
      </c>
      <c r="H21" s="609" t="s">
        <v>79</v>
      </c>
      <c r="I21" s="609" t="str">
        <f>H64</f>
        <v>p.ManFirstName2</v>
      </c>
      <c r="J21" s="609" t="s">
        <v>151</v>
      </c>
      <c r="K21" s="614" t="str">
        <f>J64</f>
        <v>p.BirthdayKid2</v>
      </c>
      <c r="L21" s="609" t="s">
        <v>83</v>
      </c>
      <c r="M21" s="609" t="str">
        <f>I64</f>
        <v>p.AHVNumber4</v>
      </c>
      <c r="N21" s="609" t="s">
        <v>152</v>
      </c>
      <c r="O21" s="614" t="str">
        <f ca="1">"01."&amp;MONTH(TODAY())&amp;".2024"</f>
        <v>01.11.2024</v>
      </c>
      <c r="P21" s="609" t="s">
        <v>153</v>
      </c>
      <c r="Q21" s="611" t="s">
        <v>154</v>
      </c>
      <c r="R21" s="609" t="s">
        <v>155</v>
      </c>
      <c r="S21" s="611" t="s">
        <v>157</v>
      </c>
      <c r="T21" s="609" t="s">
        <v>37</v>
      </c>
      <c r="U21" s="611"/>
      <c r="V21" s="609"/>
      <c r="W21" s="611"/>
      <c r="X21" s="2"/>
      <c r="Y21" s="2"/>
      <c r="Z21" s="2"/>
      <c r="AA21" s="2"/>
      <c r="AB21" s="544"/>
      <c r="AD21" s="2"/>
      <c r="AE21" s="2"/>
      <c r="AF21" s="2"/>
      <c r="AG21" s="165" t="e">
        <f t="shared" si="0"/>
        <v>#DIV/0!</v>
      </c>
      <c r="AH21" s="2"/>
      <c r="AI21" s="165" t="e">
        <f t="shared" si="0"/>
        <v>#DIV/0!</v>
      </c>
      <c r="AJ21" s="2"/>
      <c r="AK21" s="165" t="e">
        <f t="shared" ref="AK21:AQ21" si="23">AJ21/($AC21)</f>
        <v>#DIV/0!</v>
      </c>
      <c r="AL21" s="2"/>
      <c r="AM21" s="165" t="e">
        <f t="shared" si="23"/>
        <v>#DIV/0!</v>
      </c>
      <c r="AN21" s="2"/>
      <c r="AO21" s="165" t="e">
        <f t="shared" si="23"/>
        <v>#DIV/0!</v>
      </c>
      <c r="AP21" s="2"/>
      <c r="AQ21" s="165" t="e">
        <f t="shared" si="23"/>
        <v>#DIV/0!</v>
      </c>
      <c r="AS21" s="165" t="e">
        <f t="shared" si="2"/>
        <v>#DIV/0!</v>
      </c>
      <c r="AU21" s="165" t="e">
        <f t="shared" si="2"/>
        <v>#DIV/0!</v>
      </c>
      <c r="AW21" s="165" t="e">
        <f t="shared" si="2"/>
        <v>#DIV/0!</v>
      </c>
      <c r="AZ21" s="165" t="e">
        <f t="shared" si="3"/>
        <v>#DIV/0!</v>
      </c>
      <c r="BB21" s="165" t="e">
        <f t="shared" si="3"/>
        <v>#DIV/0!</v>
      </c>
    </row>
    <row r="22" spans="1:54" s="10" customFormat="1" ht="15.75" hidden="1" customHeight="1">
      <c r="A22" s="119"/>
      <c r="B22" s="591" t="s">
        <v>143</v>
      </c>
      <c r="C22" s="121" t="str">
        <f t="shared" si="18"/>
        <v>{"vermieter":"Graber Immobilien, 3000 Bern","wohnungsgrosse":"4 Zimmer","mietkosten":3000,"nebenkosten":300}</v>
      </c>
      <c r="D22" s="2"/>
      <c r="E22" s="12" t="str">
        <f t="shared" si="11"/>
        <v>{"vermieter":"Graber Immobilien, 3000 Bern","wohnungsgrosse":"4 Zimmer","mietkosten":3000,"nebenkosten":300}</v>
      </c>
      <c r="F22" s="609" t="s">
        <v>144</v>
      </c>
      <c r="G22" s="609" t="s">
        <v>267</v>
      </c>
      <c r="H22" s="609" t="s">
        <v>146</v>
      </c>
      <c r="I22" s="611" t="s">
        <v>147</v>
      </c>
      <c r="J22" s="609" t="s">
        <v>148</v>
      </c>
      <c r="K22" s="611">
        <v>3000</v>
      </c>
      <c r="L22" s="609" t="s">
        <v>149</v>
      </c>
      <c r="M22" s="611">
        <v>300</v>
      </c>
      <c r="N22" s="609" t="s">
        <v>109</v>
      </c>
      <c r="O22" s="611"/>
      <c r="P22" s="609"/>
      <c r="Q22" s="611"/>
      <c r="R22" s="609"/>
      <c r="S22" s="611"/>
      <c r="T22" s="609"/>
      <c r="U22" s="611"/>
      <c r="V22" s="609"/>
      <c r="W22" s="611"/>
      <c r="X22" s="2"/>
      <c r="Y22" s="2"/>
      <c r="Z22" s="2"/>
      <c r="AA22" s="2"/>
      <c r="AB22" s="2"/>
      <c r="AD22" s="2"/>
      <c r="AE22" s="2"/>
      <c r="AF22" s="2"/>
      <c r="AG22" s="165" t="e">
        <f t="shared" si="0"/>
        <v>#DIV/0!</v>
      </c>
      <c r="AH22" s="2"/>
      <c r="AI22" s="165" t="e">
        <f t="shared" si="0"/>
        <v>#DIV/0!</v>
      </c>
      <c r="AJ22" s="2"/>
      <c r="AK22" s="165" t="e">
        <f t="shared" ref="AK22:AQ22" si="24">AJ22/($AC22)</f>
        <v>#DIV/0!</v>
      </c>
      <c r="AL22" s="2"/>
      <c r="AM22" s="165" t="e">
        <f t="shared" si="24"/>
        <v>#DIV/0!</v>
      </c>
      <c r="AN22" s="2"/>
      <c r="AO22" s="165" t="e">
        <f t="shared" si="24"/>
        <v>#DIV/0!</v>
      </c>
      <c r="AP22" s="2"/>
      <c r="AQ22" s="165" t="e">
        <f t="shared" si="24"/>
        <v>#DIV/0!</v>
      </c>
      <c r="AS22" s="165" t="e">
        <f t="shared" si="2"/>
        <v>#DIV/0!</v>
      </c>
      <c r="AU22" s="165" t="e">
        <f t="shared" si="2"/>
        <v>#DIV/0!</v>
      </c>
      <c r="AW22" s="165" t="e">
        <f t="shared" si="2"/>
        <v>#DIV/0!</v>
      </c>
      <c r="AZ22" s="165" t="e">
        <f t="shared" si="3"/>
        <v>#DIV/0!</v>
      </c>
      <c r="BB22" s="165" t="e">
        <f t="shared" si="3"/>
        <v>#DIV/0!</v>
      </c>
    </row>
    <row r="23" spans="1:54" s="10" customFormat="1" ht="15.75" hidden="1" customHeight="1">
      <c r="A23" s="119"/>
      <c r="B23" s="596" t="s">
        <v>158</v>
      </c>
      <c r="C23" s="121" t="str">
        <f t="shared" si="18"/>
        <v>{"dossier":p.DossierName1,"klientschaft":`${p.FamilyName1}, ${p.ManFirstName1}`}</v>
      </c>
      <c r="D23" s="2"/>
      <c r="E23" s="12" t="str">
        <f t="shared" si="11"/>
        <v>{"dossier":p.DossierName1,"klientschaft":`${p.FamilyName1}, ${p.ManFirstName1}`}</v>
      </c>
      <c r="F23" s="609" t="s">
        <v>159</v>
      </c>
      <c r="G23" s="625" t="str">
        <f>G12</f>
        <v>p.DossierName1</v>
      </c>
      <c r="H23" s="609" t="s">
        <v>129</v>
      </c>
      <c r="I23" s="609" t="str">
        <f>"${"&amp;$G$5&amp;"}, ${"&amp;$I$5&amp;"}"</f>
        <v>${p.FamilyName1}, ${p.ManFirstName1}</v>
      </c>
      <c r="J23" s="609" t="s">
        <v>160</v>
      </c>
      <c r="K23" s="611"/>
      <c r="L23" s="609"/>
      <c r="M23" s="611"/>
      <c r="N23" s="609"/>
      <c r="O23" s="611"/>
      <c r="P23" s="609"/>
      <c r="Q23" s="611"/>
      <c r="R23" s="609"/>
      <c r="S23" s="611"/>
      <c r="T23" s="609"/>
      <c r="U23" s="611"/>
      <c r="V23" s="609"/>
      <c r="W23" s="611"/>
      <c r="X23" s="2"/>
      <c r="Y23" s="2"/>
      <c r="Z23" s="2"/>
      <c r="AA23" s="2"/>
      <c r="AB23" s="2"/>
      <c r="AD23" s="2"/>
      <c r="AE23" s="2"/>
      <c r="AF23" s="2"/>
      <c r="AG23" s="165" t="e">
        <f t="shared" si="0"/>
        <v>#DIV/0!</v>
      </c>
      <c r="AH23" s="2"/>
      <c r="AI23" s="165" t="e">
        <f t="shared" si="0"/>
        <v>#DIV/0!</v>
      </c>
      <c r="AJ23" s="2"/>
      <c r="AK23" s="165" t="e">
        <f t="shared" ref="AK23:AQ23" si="25">AJ23/($AC23)</f>
        <v>#DIV/0!</v>
      </c>
      <c r="AL23" s="2"/>
      <c r="AM23" s="165" t="e">
        <f t="shared" si="25"/>
        <v>#DIV/0!</v>
      </c>
      <c r="AN23" s="2"/>
      <c r="AO23" s="165" t="e">
        <f t="shared" si="25"/>
        <v>#DIV/0!</v>
      </c>
      <c r="AP23" s="2"/>
      <c r="AQ23" s="165" t="e">
        <f t="shared" si="25"/>
        <v>#DIV/0!</v>
      </c>
      <c r="AS23" s="165" t="e">
        <f t="shared" si="2"/>
        <v>#DIV/0!</v>
      </c>
      <c r="AU23" s="165" t="e">
        <f t="shared" si="2"/>
        <v>#DIV/0!</v>
      </c>
      <c r="AW23" s="165" t="e">
        <f t="shared" si="2"/>
        <v>#DIV/0!</v>
      </c>
      <c r="AZ23" s="165" t="e">
        <f t="shared" si="3"/>
        <v>#DIV/0!</v>
      </c>
      <c r="BB23" s="165" t="e">
        <f t="shared" si="3"/>
        <v>#DIV/0!</v>
      </c>
    </row>
    <row r="24" spans="1:54" s="10" customFormat="1" ht="15.75" hidden="1" customHeight="1">
      <c r="A24" s="119"/>
      <c r="B24" s="595" t="s">
        <v>161</v>
      </c>
      <c r="C24" s="121" t="str">
        <f t="shared" si="18"/>
        <v>{"panelTitle":"Erwerbssituation / Einnahmen","zahlbarDurch":"BKW Energie AG, 3013 Bern","pensumm":"100","betrag":"1000","gueltigVon":"01.01.2024","gueltigBis":"31.12.2024","checkbox":"x"}</v>
      </c>
      <c r="D24" s="2"/>
      <c r="E24" s="12" t="str">
        <f t="shared" si="11"/>
        <v>{"panelTitle":"Erwerbssituation / Einnahmen","zahlbarDurch":"BKW Energie AG, 3013 Bern","pensumm":"100","betrag":"1000","gueltigVon":"01.01.2024","gueltigBis":"31.12.2024","checkbox":"x"}</v>
      </c>
      <c r="F24" s="619" t="s">
        <v>268</v>
      </c>
      <c r="G24" s="611" t="s">
        <v>269</v>
      </c>
      <c r="H24" s="609" t="s">
        <v>176</v>
      </c>
      <c r="I24" s="611" t="s">
        <v>270</v>
      </c>
      <c r="J24" s="609" t="s">
        <v>165</v>
      </c>
      <c r="K24" s="611">
        <v>100</v>
      </c>
      <c r="L24" s="609" t="s">
        <v>166</v>
      </c>
      <c r="M24" s="611">
        <v>1000</v>
      </c>
      <c r="N24" s="609" t="s">
        <v>167</v>
      </c>
      <c r="O24" s="613" t="s">
        <v>271</v>
      </c>
      <c r="P24" s="611" t="s">
        <v>168</v>
      </c>
      <c r="Q24" s="613" t="s">
        <v>223</v>
      </c>
      <c r="R24" s="609" t="s">
        <v>169</v>
      </c>
      <c r="S24" s="611" t="s">
        <v>170</v>
      </c>
      <c r="T24" s="609" t="s">
        <v>37</v>
      </c>
      <c r="U24" s="611"/>
      <c r="V24" s="609"/>
      <c r="W24" s="611"/>
      <c r="X24" s="2"/>
      <c r="Y24" s="2"/>
      <c r="Z24" s="2"/>
      <c r="AA24" s="2"/>
      <c r="AB24" s="2"/>
      <c r="AD24" s="2"/>
      <c r="AE24" s="2"/>
      <c r="AF24" s="2"/>
      <c r="AG24" s="165" t="e">
        <f t="shared" si="0"/>
        <v>#DIV/0!</v>
      </c>
      <c r="AH24" s="2"/>
      <c r="AI24" s="165" t="e">
        <f t="shared" si="0"/>
        <v>#DIV/0!</v>
      </c>
      <c r="AJ24" s="2"/>
      <c r="AK24" s="165" t="e">
        <f t="shared" ref="AK24:AQ24" si="26">AJ24/($AC24)</f>
        <v>#DIV/0!</v>
      </c>
      <c r="AL24" s="2"/>
      <c r="AM24" s="165" t="e">
        <f t="shared" si="26"/>
        <v>#DIV/0!</v>
      </c>
      <c r="AN24" s="2"/>
      <c r="AO24" s="165" t="e">
        <f t="shared" si="26"/>
        <v>#DIV/0!</v>
      </c>
      <c r="AP24" s="2"/>
      <c r="AQ24" s="165" t="e">
        <f t="shared" si="26"/>
        <v>#DIV/0!</v>
      </c>
      <c r="AS24" s="165" t="e">
        <f t="shared" si="2"/>
        <v>#DIV/0!</v>
      </c>
      <c r="AU24" s="165" t="e">
        <f t="shared" si="2"/>
        <v>#DIV/0!</v>
      </c>
      <c r="AW24" s="165" t="e">
        <f t="shared" si="2"/>
        <v>#DIV/0!</v>
      </c>
      <c r="AZ24" s="165" t="e">
        <f t="shared" si="3"/>
        <v>#DIV/0!</v>
      </c>
      <c r="BB24" s="165" t="e">
        <f t="shared" si="3"/>
        <v>#DIV/0!</v>
      </c>
    </row>
    <row r="25" spans="1:54" s="10" customFormat="1" ht="15.75" hidden="1" customHeight="1">
      <c r="A25" s="119"/>
      <c r="B25" s="596" t="s">
        <v>139</v>
      </c>
      <c r="C25" s="121" t="str">
        <f t="shared" si="18"/>
        <v>{"searchDossierOrKlient":p.DossierName1,"resultType":"Dossiers"}</v>
      </c>
      <c r="D25" s="2"/>
      <c r="E25" s="12" t="str">
        <f t="shared" si="11"/>
        <v>{"searchDossierOrKlient":p.DossierName1,"resultType":"Dossiers"}</v>
      </c>
      <c r="F25" s="609" t="s">
        <v>140</v>
      </c>
      <c r="G25" s="614" t="str">
        <f>'001b'!$G$12</f>
        <v>p.DossierName1</v>
      </c>
      <c r="H25" s="609" t="s">
        <v>141</v>
      </c>
      <c r="I25" s="611" t="s">
        <v>142</v>
      </c>
      <c r="J25" s="609" t="s">
        <v>37</v>
      </c>
      <c r="K25" s="611"/>
      <c r="L25" s="609"/>
      <c r="M25" s="611"/>
      <c r="N25" s="609"/>
      <c r="O25" s="611"/>
      <c r="P25" s="609"/>
      <c r="Q25" s="611"/>
      <c r="R25" s="609"/>
      <c r="S25" s="611"/>
      <c r="T25" s="609"/>
      <c r="U25" s="611"/>
      <c r="V25" s="609"/>
      <c r="W25" s="611"/>
      <c r="X25" s="2"/>
      <c r="Y25" s="2"/>
      <c r="Z25" s="2"/>
      <c r="AA25" s="2"/>
      <c r="AB25" s="2"/>
      <c r="AD25" s="2"/>
      <c r="AE25" s="2"/>
      <c r="AF25" s="2"/>
      <c r="AG25" s="165" t="e">
        <f t="shared" si="0"/>
        <v>#DIV/0!</v>
      </c>
      <c r="AH25" s="2"/>
      <c r="AI25" s="165" t="e">
        <f t="shared" si="0"/>
        <v>#DIV/0!</v>
      </c>
      <c r="AJ25" s="2"/>
      <c r="AK25" s="165" t="e">
        <f t="shared" ref="AK25:AQ25" si="27">AJ25/($AC25)</f>
        <v>#DIV/0!</v>
      </c>
      <c r="AL25" s="2"/>
      <c r="AM25" s="165" t="e">
        <f t="shared" si="27"/>
        <v>#DIV/0!</v>
      </c>
      <c r="AN25" s="2"/>
      <c r="AO25" s="165" t="e">
        <f t="shared" si="27"/>
        <v>#DIV/0!</v>
      </c>
      <c r="AP25" s="2"/>
      <c r="AQ25" s="165" t="e">
        <f t="shared" si="27"/>
        <v>#DIV/0!</v>
      </c>
      <c r="AS25" s="165" t="e">
        <f t="shared" si="2"/>
        <v>#DIV/0!</v>
      </c>
      <c r="AU25" s="165" t="e">
        <f t="shared" si="2"/>
        <v>#DIV/0!</v>
      </c>
      <c r="AW25" s="165" t="e">
        <f t="shared" si="2"/>
        <v>#DIV/0!</v>
      </c>
      <c r="AZ25" s="165" t="e">
        <f t="shared" si="3"/>
        <v>#DIV/0!</v>
      </c>
      <c r="BB25" s="165" t="e">
        <f t="shared" si="3"/>
        <v>#DIV/0!</v>
      </c>
    </row>
    <row r="26" spans="1:54" s="10" customFormat="1" ht="15.75" hidden="1" customHeight="1">
      <c r="A26" s="119"/>
      <c r="B26" s="120" t="s">
        <v>180</v>
      </c>
      <c r="C26" s="121" t="str">
        <f t="shared" ca="1" si="18"/>
        <v>{"entscheidVom":"04.11.2025","begrundung":"Gar keine Begründung","unterstutzungab":"01.11.2025"}</v>
      </c>
      <c r="D26" s="2"/>
      <c r="E26" s="12" t="str">
        <f t="shared" ca="1" si="11"/>
        <v>{"entscheidVom":"04.11.2025","begrundung":"Gar keine Begründung","unterstutzungab":"01.11.2025"}</v>
      </c>
      <c r="F26" s="609" t="s">
        <v>181</v>
      </c>
      <c r="G26" s="614" t="str">
        <f ca="1">TEXT(TEXT(TODAY(),"DD")&amp;"."&amp;TEXT(TODAY(),"MM")&amp;"."&amp;TEXT(TODAY(),"YYYY"),"DD.MM.YYYY")</f>
        <v>04.11.2025</v>
      </c>
      <c r="H26" s="609" t="s">
        <v>182</v>
      </c>
      <c r="I26" s="611" t="s">
        <v>183</v>
      </c>
      <c r="J26" s="609" t="s">
        <v>184</v>
      </c>
      <c r="K26" s="614" t="str">
        <f ca="1">TEXT(TEXT(1,"DD")&amp;"."&amp;TEXT(TODAY(),"MM")&amp;"."&amp;TEXT(TODAY(),"YYYY"),"DD.MM.YYYY")</f>
        <v>01.11.2025</v>
      </c>
      <c r="L26" s="609" t="s">
        <v>37</v>
      </c>
      <c r="M26" s="611"/>
      <c r="N26" s="609"/>
      <c r="O26" s="611"/>
      <c r="P26" s="609"/>
      <c r="Q26" s="611"/>
      <c r="R26" s="609"/>
      <c r="S26" s="611"/>
      <c r="T26" s="609"/>
      <c r="U26" s="611"/>
      <c r="V26" s="609"/>
      <c r="W26" s="611"/>
      <c r="X26" s="2"/>
      <c r="Y26" s="2"/>
      <c r="Z26" s="2"/>
      <c r="AA26" s="2"/>
      <c r="AB26" s="2"/>
      <c r="AD26" s="2"/>
      <c r="AE26" s="2"/>
      <c r="AF26" s="2"/>
      <c r="AG26" s="165" t="e">
        <f t="shared" si="0"/>
        <v>#DIV/0!</v>
      </c>
      <c r="AH26" s="2"/>
      <c r="AI26" s="165" t="e">
        <f t="shared" si="0"/>
        <v>#DIV/0!</v>
      </c>
      <c r="AJ26" s="2"/>
      <c r="AK26" s="165" t="e">
        <f t="shared" ref="AK26:AQ26" si="28">AJ26/($AC26)</f>
        <v>#DIV/0!</v>
      </c>
      <c r="AL26" s="2"/>
      <c r="AM26" s="165" t="e">
        <f t="shared" si="28"/>
        <v>#DIV/0!</v>
      </c>
      <c r="AN26" s="2"/>
      <c r="AO26" s="165" t="e">
        <f t="shared" si="28"/>
        <v>#DIV/0!</v>
      </c>
      <c r="AP26" s="2"/>
      <c r="AQ26" s="165" t="e">
        <f t="shared" si="28"/>
        <v>#DIV/0!</v>
      </c>
      <c r="AS26" s="165" t="e">
        <f t="shared" si="2"/>
        <v>#DIV/0!</v>
      </c>
      <c r="AU26" s="165" t="e">
        <f t="shared" si="2"/>
        <v>#DIV/0!</v>
      </c>
      <c r="AW26" s="165" t="e">
        <f t="shared" si="2"/>
        <v>#DIV/0!</v>
      </c>
      <c r="AZ26" s="165" t="e">
        <f t="shared" si="3"/>
        <v>#DIV/0!</v>
      </c>
      <c r="BB26" s="165" t="e">
        <f t="shared" si="3"/>
        <v>#DIV/0!</v>
      </c>
    </row>
    <row r="27" spans="1:54" s="53" customFormat="1" ht="15.75" hidden="1" customHeight="1">
      <c r="A27" s="119"/>
      <c r="B27" s="591" t="s">
        <v>22</v>
      </c>
      <c r="C27" s="1205" t="s">
        <v>272</v>
      </c>
      <c r="D27" s="2"/>
      <c r="E27" s="543"/>
      <c r="F27" s="624"/>
      <c r="G27" s="652"/>
      <c r="H27" s="611"/>
      <c r="I27" s="611"/>
      <c r="J27" s="611"/>
      <c r="K27" s="611"/>
      <c r="L27" s="611"/>
      <c r="M27" s="611"/>
      <c r="N27" s="611"/>
      <c r="O27" s="611"/>
      <c r="P27" s="611"/>
      <c r="Q27" s="611"/>
      <c r="R27" s="611"/>
      <c r="S27" s="611"/>
      <c r="T27" s="611"/>
      <c r="U27" s="611"/>
      <c r="V27" s="611"/>
      <c r="W27" s="611"/>
      <c r="X27" s="2"/>
      <c r="Y27" s="2"/>
      <c r="Z27" s="2"/>
      <c r="AA27" s="2"/>
      <c r="AB27" s="2"/>
      <c r="AD27" s="2"/>
      <c r="AE27" s="2"/>
      <c r="AF27" s="2"/>
      <c r="AG27" s="165" t="e">
        <f t="shared" si="0"/>
        <v>#DIV/0!</v>
      </c>
      <c r="AH27" s="2"/>
      <c r="AI27" s="165" t="e">
        <f t="shared" si="0"/>
        <v>#DIV/0!</v>
      </c>
      <c r="AJ27" s="2"/>
      <c r="AK27" s="165" t="e">
        <f t="shared" ref="AK27:AQ27" si="29">AJ27/($AC27)</f>
        <v>#DIV/0!</v>
      </c>
      <c r="AL27" s="2"/>
      <c r="AM27" s="165" t="e">
        <f t="shared" si="29"/>
        <v>#DIV/0!</v>
      </c>
      <c r="AN27" s="2"/>
      <c r="AO27" s="165" t="e">
        <f t="shared" si="29"/>
        <v>#DIV/0!</v>
      </c>
      <c r="AP27" s="2"/>
      <c r="AQ27" s="165" t="e">
        <f t="shared" si="29"/>
        <v>#DIV/0!</v>
      </c>
      <c r="AS27" s="165" t="e">
        <f t="shared" si="2"/>
        <v>#DIV/0!</v>
      </c>
      <c r="AU27" s="165" t="e">
        <f t="shared" si="2"/>
        <v>#DIV/0!</v>
      </c>
      <c r="AW27" s="165" t="e">
        <f t="shared" si="2"/>
        <v>#DIV/0!</v>
      </c>
      <c r="AZ27" s="165" t="e">
        <f t="shared" si="3"/>
        <v>#DIV/0!</v>
      </c>
      <c r="BB27" s="165" t="e">
        <f t="shared" si="3"/>
        <v>#DIV/0!</v>
      </c>
    </row>
    <row r="28" spans="1:54" s="10" customFormat="1" ht="15.75" hidden="1" customHeight="1">
      <c r="A28" s="119"/>
      <c r="B28" s="120" t="s">
        <v>185</v>
      </c>
      <c r="C28" s="121" t="str">
        <f ca="1">E28</f>
        <v>{"ubernahmeWohnkostenCFH":"100","uebernahmeWohnkostenVon":"01.11.2025","uebernahmeWohnkostenBis":"27.5.2026","uebernahemBegruendung":"Die Wohnungen sind teuer hier"}</v>
      </c>
      <c r="D28" s="2"/>
      <c r="E28" s="12" t="str">
        <f ca="1">F28&amp;G28&amp;H28&amp;I28&amp;J28&amp;K28&amp;L28&amp;M28&amp;N28&amp;O28&amp;P28&amp;Q28&amp;R28&amp;S28&amp;T28&amp;U28&amp;V28&amp;W28&amp;AA28</f>
        <v>{"ubernahmeWohnkostenCFH":"100","uebernahmeWohnkostenVon":"01.11.2025","uebernahmeWohnkostenBis":"27.5.2026","uebernahemBegruendung":"Die Wohnungen sind teuer hier"}</v>
      </c>
      <c r="F28" s="609" t="s">
        <v>186</v>
      </c>
      <c r="G28" s="611">
        <v>100</v>
      </c>
      <c r="H28" s="611" t="s">
        <v>187</v>
      </c>
      <c r="I28" s="614" t="str">
        <f ca="1">"01."&amp;MONTH(TODAY())&amp;"."&amp;YEAR(TODAY())</f>
        <v>01.11.2025</v>
      </c>
      <c r="J28" s="611" t="s">
        <v>188</v>
      </c>
      <c r="K28" s="614" t="str">
        <f ca="1">"27."&amp;MONTH(TODAY()+180)&amp;"."&amp;YEAR(TODAY()+180)</f>
        <v>27.5.2026</v>
      </c>
      <c r="L28" s="609" t="s">
        <v>189</v>
      </c>
      <c r="M28" s="611" t="s">
        <v>190</v>
      </c>
      <c r="N28" s="609" t="s">
        <v>37</v>
      </c>
      <c r="O28" s="611"/>
      <c r="P28" s="611"/>
      <c r="Q28" s="611"/>
      <c r="R28" s="611"/>
      <c r="S28" s="611"/>
      <c r="T28" s="611"/>
      <c r="U28" s="611"/>
      <c r="V28" s="611"/>
      <c r="W28" s="611"/>
      <c r="X28" s="2"/>
      <c r="Y28" s="2"/>
      <c r="Z28" s="2"/>
      <c r="AA28" s="2"/>
      <c r="AB28" s="2"/>
      <c r="AD28" s="2"/>
      <c r="AE28" s="2"/>
      <c r="AF28" s="2"/>
      <c r="AG28" s="165" t="e">
        <f t="shared" si="0"/>
        <v>#DIV/0!</v>
      </c>
      <c r="AH28" s="2"/>
      <c r="AI28" s="165" t="e">
        <f t="shared" si="0"/>
        <v>#DIV/0!</v>
      </c>
      <c r="AJ28" s="2"/>
      <c r="AK28" s="165" t="e">
        <f t="shared" ref="AK28:AQ28" si="30">AJ28/($AC28)</f>
        <v>#DIV/0!</v>
      </c>
      <c r="AL28" s="2"/>
      <c r="AM28" s="165" t="e">
        <f t="shared" si="30"/>
        <v>#DIV/0!</v>
      </c>
      <c r="AN28" s="2"/>
      <c r="AO28" s="165" t="e">
        <f t="shared" si="30"/>
        <v>#DIV/0!</v>
      </c>
      <c r="AP28" s="2"/>
      <c r="AQ28" s="165" t="e">
        <f t="shared" si="30"/>
        <v>#DIV/0!</v>
      </c>
      <c r="AS28" s="165" t="e">
        <f t="shared" si="2"/>
        <v>#DIV/0!</v>
      </c>
      <c r="AU28" s="165" t="e">
        <f t="shared" si="2"/>
        <v>#DIV/0!</v>
      </c>
      <c r="AW28" s="165" t="e">
        <f t="shared" si="2"/>
        <v>#DIV/0!</v>
      </c>
      <c r="AZ28" s="165" t="e">
        <f t="shared" si="3"/>
        <v>#DIV/0!</v>
      </c>
      <c r="BB28" s="165" t="e">
        <f t="shared" si="3"/>
        <v>#DIV/0!</v>
      </c>
    </row>
    <row r="29" spans="1:54" s="53" customFormat="1" ht="15.75" hidden="1" customHeight="1">
      <c r="A29" s="119"/>
      <c r="B29" s="591" t="s">
        <v>22</v>
      </c>
      <c r="C29" s="1205" t="s">
        <v>126</v>
      </c>
      <c r="D29" s="2"/>
      <c r="E29" s="543"/>
      <c r="F29" s="624"/>
      <c r="G29" s="652"/>
      <c r="H29" s="611"/>
      <c r="I29" s="611"/>
      <c r="J29" s="611"/>
      <c r="K29" s="611"/>
      <c r="L29" s="611"/>
      <c r="M29" s="611"/>
      <c r="N29" s="611"/>
      <c r="O29" s="611"/>
      <c r="P29" s="611"/>
      <c r="Q29" s="611"/>
      <c r="R29" s="611"/>
      <c r="S29" s="611"/>
      <c r="T29" s="611"/>
      <c r="U29" s="611"/>
      <c r="V29" s="611"/>
      <c r="W29" s="611"/>
      <c r="X29" s="2"/>
      <c r="Y29" s="2"/>
      <c r="Z29" s="2"/>
      <c r="AA29" s="2"/>
      <c r="AB29" s="2"/>
      <c r="AD29" s="2"/>
      <c r="AE29" s="2"/>
      <c r="AF29" s="2"/>
      <c r="AG29" s="165" t="e">
        <f t="shared" si="0"/>
        <v>#DIV/0!</v>
      </c>
      <c r="AH29" s="2"/>
      <c r="AI29" s="165" t="e">
        <f t="shared" si="0"/>
        <v>#DIV/0!</v>
      </c>
      <c r="AJ29" s="2"/>
      <c r="AK29" s="165" t="e">
        <f t="shared" ref="AK29:AQ29" si="31">AJ29/($AC29)</f>
        <v>#DIV/0!</v>
      </c>
      <c r="AL29" s="2"/>
      <c r="AM29" s="165" t="e">
        <f t="shared" si="31"/>
        <v>#DIV/0!</v>
      </c>
      <c r="AN29" s="2"/>
      <c r="AO29" s="165" t="e">
        <f t="shared" si="31"/>
        <v>#DIV/0!</v>
      </c>
      <c r="AP29" s="2"/>
      <c r="AQ29" s="165" t="e">
        <f t="shared" si="31"/>
        <v>#DIV/0!</v>
      </c>
      <c r="AS29" s="165" t="e">
        <f t="shared" si="2"/>
        <v>#DIV/0!</v>
      </c>
      <c r="AU29" s="165" t="e">
        <f t="shared" si="2"/>
        <v>#DIV/0!</v>
      </c>
      <c r="AW29" s="165" t="e">
        <f t="shared" si="2"/>
        <v>#DIV/0!</v>
      </c>
      <c r="AZ29" s="165" t="e">
        <f t="shared" si="3"/>
        <v>#DIV/0!</v>
      </c>
      <c r="BB29" s="165" t="e">
        <f t="shared" si="3"/>
        <v>#DIV/0!</v>
      </c>
    </row>
    <row r="30" spans="1:54" s="10" customFormat="1" ht="15.75" hidden="1" customHeight="1">
      <c r="A30" s="119"/>
      <c r="B30" s="120" t="s">
        <v>191</v>
      </c>
      <c r="C30" s="121" t="str">
        <f ca="1">E30</f>
        <v>{"lEvonDate":"04.11.2025","lEbisDate":"04.11.2026","checkStatus":"In Bearbeitung"}</v>
      </c>
      <c r="D30" s="2"/>
      <c r="E30" s="12" t="str">
        <f ca="1">F30&amp;G30&amp;H30&amp;I30&amp;J30&amp;K30&amp;L30&amp;M30&amp;N30&amp;O30&amp;P30&amp;Q30&amp;R30&amp;S30&amp;T30&amp;U30&amp;V30&amp;W30&amp;AA30</f>
        <v>{"lEvonDate":"04.11.2025","lEbisDate":"04.11.2026","checkStatus":"In Bearbeitung"}</v>
      </c>
      <c r="F30" s="609" t="s">
        <v>192</v>
      </c>
      <c r="G30" s="614" t="str">
        <f ca="1">TEXT(TEXT(TODAY(),"DD")&amp;"."&amp;TEXT(TODAY(),"MM")&amp;"."&amp;TEXT(TODAY(),"YYYY"),"DD.MM.YYYY")</f>
        <v>04.11.2025</v>
      </c>
      <c r="H30" s="609" t="s">
        <v>193</v>
      </c>
      <c r="I30" s="614" t="str">
        <f ca="1">TEXT(TEXT(TODAY(),"DD")&amp;"."&amp;TEXT(TODAY(),"MM")&amp;"."&amp;TEXT(TODAY()+360,"YYYY"),"DD.MM.YYYY")</f>
        <v>04.11.2026</v>
      </c>
      <c r="J30" s="609" t="s">
        <v>132</v>
      </c>
      <c r="K30" s="611" t="s">
        <v>133</v>
      </c>
      <c r="L30" s="609" t="s">
        <v>37</v>
      </c>
      <c r="M30" s="611"/>
      <c r="N30" s="609"/>
      <c r="O30" s="611"/>
      <c r="P30" s="609"/>
      <c r="Q30" s="611"/>
      <c r="R30" s="609"/>
      <c r="S30" s="611"/>
      <c r="T30" s="609"/>
      <c r="U30" s="611"/>
      <c r="V30" s="609"/>
      <c r="W30" s="611"/>
      <c r="X30" s="2"/>
      <c r="Y30" s="2"/>
      <c r="Z30" s="2"/>
      <c r="AA30" s="2"/>
      <c r="AB30" s="2"/>
      <c r="AD30" s="2"/>
      <c r="AE30" s="2"/>
      <c r="AF30" s="2"/>
      <c r="AG30" s="165" t="e">
        <f t="shared" si="0"/>
        <v>#DIV/0!</v>
      </c>
      <c r="AH30" s="2"/>
      <c r="AI30" s="165" t="e">
        <f t="shared" si="0"/>
        <v>#DIV/0!</v>
      </c>
      <c r="AJ30" s="2"/>
      <c r="AK30" s="165" t="e">
        <f t="shared" ref="AK30:AQ30" si="32">AJ30/($AC30)</f>
        <v>#DIV/0!</v>
      </c>
      <c r="AL30" s="2"/>
      <c r="AM30" s="165" t="e">
        <f t="shared" si="32"/>
        <v>#DIV/0!</v>
      </c>
      <c r="AN30" s="2"/>
      <c r="AO30" s="165" t="e">
        <f t="shared" si="32"/>
        <v>#DIV/0!</v>
      </c>
      <c r="AP30" s="2"/>
      <c r="AQ30" s="165" t="e">
        <f t="shared" si="32"/>
        <v>#DIV/0!</v>
      </c>
      <c r="AS30" s="165" t="e">
        <f t="shared" si="2"/>
        <v>#DIV/0!</v>
      </c>
      <c r="AU30" s="165" t="e">
        <f t="shared" si="2"/>
        <v>#DIV/0!</v>
      </c>
      <c r="AW30" s="165" t="e">
        <f t="shared" si="2"/>
        <v>#DIV/0!</v>
      </c>
      <c r="AZ30" s="165" t="e">
        <f t="shared" si="3"/>
        <v>#DIV/0!</v>
      </c>
      <c r="BB30" s="165" t="e">
        <f t="shared" si="3"/>
        <v>#DIV/0!</v>
      </c>
    </row>
    <row r="31" spans="1:54" s="53" customFormat="1" ht="15.75" hidden="1" customHeight="1">
      <c r="A31" s="119"/>
      <c r="B31" s="591" t="s">
        <v>22</v>
      </c>
      <c r="C31" s="1205" t="s">
        <v>126</v>
      </c>
      <c r="D31" s="2"/>
      <c r="E31" s="543"/>
      <c r="F31" s="624"/>
      <c r="G31" s="652"/>
      <c r="H31" s="611"/>
      <c r="I31" s="611"/>
      <c r="J31" s="611"/>
      <c r="K31" s="611"/>
      <c r="L31" s="611"/>
      <c r="M31" s="611"/>
      <c r="N31" s="611"/>
      <c r="O31" s="611"/>
      <c r="P31" s="611"/>
      <c r="Q31" s="611"/>
      <c r="R31" s="611"/>
      <c r="S31" s="611"/>
      <c r="T31" s="611"/>
      <c r="U31" s="611"/>
      <c r="V31" s="611"/>
      <c r="W31" s="611"/>
      <c r="X31" s="2"/>
      <c r="Y31" s="2"/>
      <c r="Z31" s="2"/>
      <c r="AA31" s="2"/>
      <c r="AB31" s="2"/>
      <c r="AD31" s="2"/>
      <c r="AE31" s="2"/>
      <c r="AF31" s="2"/>
      <c r="AG31" s="165" t="e">
        <f t="shared" si="0"/>
        <v>#DIV/0!</v>
      </c>
      <c r="AH31" s="2"/>
      <c r="AI31" s="165" t="e">
        <f t="shared" si="0"/>
        <v>#DIV/0!</v>
      </c>
      <c r="AJ31" s="2"/>
      <c r="AK31" s="165" t="e">
        <f t="shared" ref="AK31:AQ31" si="33">AJ31/($AC31)</f>
        <v>#DIV/0!</v>
      </c>
      <c r="AL31" s="2"/>
      <c r="AM31" s="165" t="e">
        <f t="shared" si="33"/>
        <v>#DIV/0!</v>
      </c>
      <c r="AN31" s="2"/>
      <c r="AO31" s="165" t="e">
        <f t="shared" si="33"/>
        <v>#DIV/0!</v>
      </c>
      <c r="AP31" s="2"/>
      <c r="AQ31" s="165" t="e">
        <f t="shared" si="33"/>
        <v>#DIV/0!</v>
      </c>
      <c r="AS31" s="165" t="e">
        <f t="shared" si="2"/>
        <v>#DIV/0!</v>
      </c>
      <c r="AU31" s="165" t="e">
        <f t="shared" si="2"/>
        <v>#DIV/0!</v>
      </c>
      <c r="AW31" s="165" t="e">
        <f t="shared" si="2"/>
        <v>#DIV/0!</v>
      </c>
      <c r="AZ31" s="165" t="e">
        <f t="shared" si="3"/>
        <v>#DIV/0!</v>
      </c>
      <c r="BB31" s="165" t="e">
        <f t="shared" si="3"/>
        <v>#DIV/0!</v>
      </c>
    </row>
    <row r="32" spans="1:54" s="10" customFormat="1" ht="15.75" hidden="1" customHeight="1">
      <c r="A32" s="119"/>
      <c r="B32" s="120" t="s">
        <v>134</v>
      </c>
      <c r="C32" s="121" t="str">
        <f t="shared" ref="C32:C45" si="34">E32</f>
        <v>{"username":"Bern.Sachbearbeiterin@diartis.ch","password":"XXxa22?pdTA66-S@"}</v>
      </c>
      <c r="D32" s="2"/>
      <c r="E32" s="12" t="str">
        <f t="shared" ref="E32:E47" si="35">F32&amp;G32&amp;H32&amp;I32&amp;J32&amp;K32&amp;L32&amp;M32&amp;N32&amp;O32&amp;P32&amp;Q32&amp;R32&amp;S32&amp;T32&amp;U32&amp;V32&amp;W32&amp;AA32</f>
        <v>{"username":"Bern.Sachbearbeiterin@diartis.ch","password":"XXxa22?pdTA66-S@"}</v>
      </c>
      <c r="F32" s="609" t="s">
        <v>29</v>
      </c>
      <c r="G32" s="617" t="s">
        <v>30</v>
      </c>
      <c r="H32" s="609" t="s">
        <v>31</v>
      </c>
      <c r="I32" s="618" t="s">
        <v>32</v>
      </c>
      <c r="J32" s="609" t="s">
        <v>37</v>
      </c>
      <c r="K32" s="614"/>
      <c r="L32" s="609"/>
      <c r="M32" s="611"/>
      <c r="N32" s="609"/>
      <c r="O32" s="611"/>
      <c r="P32" s="609"/>
      <c r="Q32" s="611"/>
      <c r="R32" s="609"/>
      <c r="S32" s="611"/>
      <c r="T32" s="609"/>
      <c r="U32" s="611"/>
      <c r="V32" s="609"/>
      <c r="W32" s="611"/>
      <c r="X32" s="2"/>
      <c r="Y32" s="2"/>
      <c r="Z32" s="2"/>
      <c r="AA32" s="2"/>
      <c r="AB32" s="2"/>
      <c r="AD32" s="2"/>
      <c r="AE32" s="2"/>
      <c r="AF32" s="2"/>
      <c r="AG32" s="165" t="e">
        <f t="shared" si="0"/>
        <v>#DIV/0!</v>
      </c>
      <c r="AH32" s="2"/>
      <c r="AI32" s="165" t="e">
        <f t="shared" si="0"/>
        <v>#DIV/0!</v>
      </c>
      <c r="AJ32" s="2"/>
      <c r="AK32" s="165" t="e">
        <f t="shared" ref="AK32:AQ32" si="36">AJ32/($AC32)</f>
        <v>#DIV/0!</v>
      </c>
      <c r="AL32" s="2"/>
      <c r="AM32" s="165" t="e">
        <f t="shared" si="36"/>
        <v>#DIV/0!</v>
      </c>
      <c r="AN32" s="2"/>
      <c r="AO32" s="165" t="e">
        <f t="shared" si="36"/>
        <v>#DIV/0!</v>
      </c>
      <c r="AP32" s="2"/>
      <c r="AQ32" s="165" t="e">
        <f t="shared" si="36"/>
        <v>#DIV/0!</v>
      </c>
      <c r="AS32" s="165" t="e">
        <f t="shared" si="2"/>
        <v>#DIV/0!</v>
      </c>
      <c r="AU32" s="165" t="e">
        <f t="shared" si="2"/>
        <v>#DIV/0!</v>
      </c>
      <c r="AW32" s="165" t="e">
        <f t="shared" si="2"/>
        <v>#DIV/0!</v>
      </c>
      <c r="AZ32" s="165" t="e">
        <f t="shared" si="3"/>
        <v>#DIV/0!</v>
      </c>
      <c r="BB32" s="165" t="e">
        <f t="shared" si="3"/>
        <v>#DIV/0!</v>
      </c>
    </row>
    <row r="33" spans="1:54" s="53" customFormat="1" ht="15.75" hidden="1" customHeight="1">
      <c r="A33" s="119"/>
      <c r="B33" s="591" t="s">
        <v>22</v>
      </c>
      <c r="C33" s="1205" t="s">
        <v>126</v>
      </c>
      <c r="D33" s="2"/>
      <c r="E33" s="543"/>
      <c r="F33" s="624"/>
      <c r="G33" s="652"/>
      <c r="H33" s="611"/>
      <c r="I33" s="611"/>
      <c r="J33" s="611"/>
      <c r="K33" s="611"/>
      <c r="L33" s="611"/>
      <c r="M33" s="611"/>
      <c r="N33" s="611"/>
      <c r="O33" s="611"/>
      <c r="P33" s="611"/>
      <c r="Q33" s="611"/>
      <c r="R33" s="611"/>
      <c r="S33" s="611"/>
      <c r="T33" s="611"/>
      <c r="U33" s="611"/>
      <c r="V33" s="611"/>
      <c r="W33" s="611"/>
      <c r="X33" s="2"/>
      <c r="Y33" s="2"/>
      <c r="Z33" s="2"/>
      <c r="AA33" s="2"/>
      <c r="AB33" s="2"/>
      <c r="AD33" s="2"/>
      <c r="AE33" s="2"/>
      <c r="AF33" s="2"/>
      <c r="AG33" s="165" t="e">
        <f t="shared" si="0"/>
        <v>#DIV/0!</v>
      </c>
      <c r="AH33" s="2"/>
      <c r="AI33" s="165" t="e">
        <f t="shared" si="0"/>
        <v>#DIV/0!</v>
      </c>
      <c r="AJ33" s="2"/>
      <c r="AK33" s="165" t="e">
        <f t="shared" ref="AK33:AQ33" si="37">AJ33/($AC33)</f>
        <v>#DIV/0!</v>
      </c>
      <c r="AL33" s="2"/>
      <c r="AM33" s="165" t="e">
        <f t="shared" si="37"/>
        <v>#DIV/0!</v>
      </c>
      <c r="AN33" s="2"/>
      <c r="AO33" s="165" t="e">
        <f t="shared" si="37"/>
        <v>#DIV/0!</v>
      </c>
      <c r="AP33" s="2"/>
      <c r="AQ33" s="165" t="e">
        <f t="shared" si="37"/>
        <v>#DIV/0!</v>
      </c>
      <c r="AS33" s="165" t="e">
        <f t="shared" si="2"/>
        <v>#DIV/0!</v>
      </c>
      <c r="AU33" s="165" t="e">
        <f t="shared" si="2"/>
        <v>#DIV/0!</v>
      </c>
      <c r="AW33" s="165" t="e">
        <f t="shared" si="2"/>
        <v>#DIV/0!</v>
      </c>
      <c r="AZ33" s="165" t="e">
        <f t="shared" si="3"/>
        <v>#DIV/0!</v>
      </c>
      <c r="BB33" s="165" t="e">
        <f t="shared" si="3"/>
        <v>#DIV/0!</v>
      </c>
    </row>
    <row r="34" spans="1:54" s="10" customFormat="1" ht="15.75" hidden="1" customHeight="1">
      <c r="A34" s="119"/>
      <c r="B34" s="120" t="s">
        <v>273</v>
      </c>
      <c r="C34" s="121" t="str">
        <f>E34</f>
        <v>{"dossier":p.DossierName1,"buttonName":"Prüfung OK","checkStatus":"In Bearbeitung"}</v>
      </c>
      <c r="D34" s="2"/>
      <c r="E34" s="12" t="str">
        <f t="shared" si="35"/>
        <v>{"dossier":p.DossierName1,"buttonName":"Prüfung OK","checkStatus":"In Bearbeitung"}</v>
      </c>
      <c r="F34" s="609" t="s">
        <v>159</v>
      </c>
      <c r="G34" s="625" t="str">
        <f>'001b'!$G$12</f>
        <v>p.DossierName1</v>
      </c>
      <c r="H34" s="609" t="s">
        <v>198</v>
      </c>
      <c r="I34" s="611" t="s">
        <v>199</v>
      </c>
      <c r="J34" s="609" t="s">
        <v>132</v>
      </c>
      <c r="K34" s="611" t="s">
        <v>133</v>
      </c>
      <c r="L34" s="609" t="s">
        <v>37</v>
      </c>
      <c r="M34" s="611"/>
      <c r="N34" s="609"/>
      <c r="O34" s="611"/>
      <c r="P34" s="609"/>
      <c r="Q34" s="611"/>
      <c r="R34" s="609"/>
      <c r="S34" s="611"/>
      <c r="T34" s="609"/>
      <c r="U34" s="611"/>
      <c r="V34" s="609"/>
      <c r="W34" s="611"/>
      <c r="X34" s="2"/>
      <c r="Y34" s="2"/>
      <c r="Z34" s="2"/>
      <c r="AA34" s="2"/>
      <c r="AB34" s="2"/>
      <c r="AD34" s="2"/>
      <c r="AE34" s="2"/>
      <c r="AF34" s="2"/>
      <c r="AG34" s="165" t="e">
        <f t="shared" si="0"/>
        <v>#DIV/0!</v>
      </c>
      <c r="AH34" s="2"/>
      <c r="AI34" s="165" t="e">
        <f t="shared" si="0"/>
        <v>#DIV/0!</v>
      </c>
      <c r="AJ34" s="2"/>
      <c r="AK34" s="165" t="e">
        <f t="shared" ref="AK34:AQ34" si="38">AJ34/($AC34)</f>
        <v>#DIV/0!</v>
      </c>
      <c r="AL34" s="2"/>
      <c r="AM34" s="165" t="e">
        <f t="shared" si="38"/>
        <v>#DIV/0!</v>
      </c>
      <c r="AN34" s="2"/>
      <c r="AO34" s="165" t="e">
        <f t="shared" si="38"/>
        <v>#DIV/0!</v>
      </c>
      <c r="AP34" s="2"/>
      <c r="AQ34" s="165" t="e">
        <f t="shared" si="38"/>
        <v>#DIV/0!</v>
      </c>
      <c r="AS34" s="165" t="e">
        <f t="shared" si="2"/>
        <v>#DIV/0!</v>
      </c>
      <c r="AU34" s="165" t="e">
        <f t="shared" si="2"/>
        <v>#DIV/0!</v>
      </c>
      <c r="AW34" s="165" t="e">
        <f t="shared" si="2"/>
        <v>#DIV/0!</v>
      </c>
      <c r="AZ34" s="165" t="e">
        <f t="shared" si="3"/>
        <v>#DIV/0!</v>
      </c>
      <c r="BB34" s="165" t="e">
        <f t="shared" si="3"/>
        <v>#DIV/0!</v>
      </c>
    </row>
    <row r="35" spans="1:54" s="10" customFormat="1" ht="15.75" hidden="1" customHeight="1">
      <c r="A35" s="119"/>
      <c r="B35" s="120" t="s">
        <v>134</v>
      </c>
      <c r="C35" s="121" t="str">
        <f t="shared" si="34"/>
        <v>{"username":"aventis-gemeinde-ma@diartis.ch","password":"#xFymiADPk7wJG/FWMz"}</v>
      </c>
      <c r="D35" s="2"/>
      <c r="E35" s="12" t="str">
        <f t="shared" si="35"/>
        <v>{"username":"aventis-gemeinde-ma@diartis.ch","password":"#xFymiADPk7wJG/FWMz"}</v>
      </c>
      <c r="F35" s="609" t="s">
        <v>29</v>
      </c>
      <c r="G35" s="617" t="s">
        <v>195</v>
      </c>
      <c r="H35" s="609" t="s">
        <v>31</v>
      </c>
      <c r="I35" s="618" t="s">
        <v>196</v>
      </c>
      <c r="J35" s="609" t="s">
        <v>37</v>
      </c>
      <c r="K35" s="614"/>
      <c r="L35" s="609"/>
      <c r="M35" s="611"/>
      <c r="N35" s="609"/>
      <c r="O35" s="611"/>
      <c r="P35" s="609"/>
      <c r="Q35" s="611"/>
      <c r="R35" s="609"/>
      <c r="S35" s="611"/>
      <c r="T35" s="609"/>
      <c r="U35" s="611"/>
      <c r="V35" s="609"/>
      <c r="W35" s="611"/>
      <c r="X35" s="2"/>
      <c r="Y35" s="2"/>
      <c r="Z35" s="2"/>
      <c r="AA35" s="2"/>
      <c r="AB35" s="2"/>
      <c r="AD35" s="2"/>
      <c r="AE35" s="2"/>
      <c r="AF35" s="2"/>
      <c r="AG35" s="165" t="e">
        <f t="shared" si="0"/>
        <v>#DIV/0!</v>
      </c>
      <c r="AH35" s="2"/>
      <c r="AI35" s="165" t="e">
        <f t="shared" si="0"/>
        <v>#DIV/0!</v>
      </c>
      <c r="AJ35" s="2"/>
      <c r="AK35" s="165" t="e">
        <f t="shared" ref="AK35:AQ35" si="39">AJ35/($AC35)</f>
        <v>#DIV/0!</v>
      </c>
      <c r="AL35" s="2"/>
      <c r="AM35" s="165" t="e">
        <f t="shared" si="39"/>
        <v>#DIV/0!</v>
      </c>
      <c r="AN35" s="2"/>
      <c r="AO35" s="165" t="e">
        <f t="shared" si="39"/>
        <v>#DIV/0!</v>
      </c>
      <c r="AP35" s="2"/>
      <c r="AQ35" s="165" t="e">
        <f t="shared" si="39"/>
        <v>#DIV/0!</v>
      </c>
      <c r="AS35" s="165" t="e">
        <f t="shared" si="2"/>
        <v>#DIV/0!</v>
      </c>
      <c r="AU35" s="165" t="e">
        <f t="shared" si="2"/>
        <v>#DIV/0!</v>
      </c>
      <c r="AW35" s="165" t="e">
        <f t="shared" si="2"/>
        <v>#DIV/0!</v>
      </c>
      <c r="AZ35" s="165" t="e">
        <f t="shared" si="3"/>
        <v>#DIV/0!</v>
      </c>
      <c r="BB35" s="165" t="e">
        <f t="shared" si="3"/>
        <v>#DIV/0!</v>
      </c>
    </row>
    <row r="36" spans="1:54" s="53" customFormat="1" ht="15.75" hidden="1" customHeight="1">
      <c r="A36" s="119"/>
      <c r="B36" s="591" t="s">
        <v>22</v>
      </c>
      <c r="C36" s="1205" t="s">
        <v>70</v>
      </c>
      <c r="D36" s="2"/>
      <c r="E36" s="543"/>
      <c r="F36" s="624"/>
      <c r="G36" s="652"/>
      <c r="H36" s="611"/>
      <c r="I36" s="611"/>
      <c r="J36" s="611"/>
      <c r="K36" s="611"/>
      <c r="L36" s="611"/>
      <c r="M36" s="611"/>
      <c r="N36" s="611"/>
      <c r="O36" s="611"/>
      <c r="P36" s="611"/>
      <c r="Q36" s="611"/>
      <c r="R36" s="611"/>
      <c r="S36" s="611"/>
      <c r="T36" s="611"/>
      <c r="U36" s="611"/>
      <c r="V36" s="611"/>
      <c r="W36" s="611"/>
      <c r="X36" s="2"/>
      <c r="Y36" s="2"/>
      <c r="Z36" s="2"/>
      <c r="AA36" s="2"/>
      <c r="AB36" s="2"/>
      <c r="AD36" s="2"/>
      <c r="AE36" s="2"/>
      <c r="AF36" s="2"/>
      <c r="AG36" s="165" t="e">
        <f t="shared" si="0"/>
        <v>#DIV/0!</v>
      </c>
      <c r="AH36" s="2"/>
      <c r="AI36" s="165" t="e">
        <f t="shared" si="0"/>
        <v>#DIV/0!</v>
      </c>
      <c r="AJ36" s="2"/>
      <c r="AK36" s="165" t="e">
        <f t="shared" ref="AK36:AQ36" si="40">AJ36/($AC36)</f>
        <v>#DIV/0!</v>
      </c>
      <c r="AL36" s="2"/>
      <c r="AM36" s="165" t="e">
        <f t="shared" si="40"/>
        <v>#DIV/0!</v>
      </c>
      <c r="AN36" s="2"/>
      <c r="AO36" s="165" t="e">
        <f t="shared" si="40"/>
        <v>#DIV/0!</v>
      </c>
      <c r="AP36" s="2"/>
      <c r="AQ36" s="165" t="e">
        <f t="shared" si="40"/>
        <v>#DIV/0!</v>
      </c>
      <c r="AS36" s="165" t="e">
        <f t="shared" si="2"/>
        <v>#DIV/0!</v>
      </c>
      <c r="AU36" s="165" t="e">
        <f t="shared" si="2"/>
        <v>#DIV/0!</v>
      </c>
      <c r="AW36" s="165" t="e">
        <f t="shared" si="2"/>
        <v>#DIV/0!</v>
      </c>
      <c r="AZ36" s="165" t="e">
        <f t="shared" si="3"/>
        <v>#DIV/0!</v>
      </c>
      <c r="BB36" s="165" t="e">
        <f t="shared" si="3"/>
        <v>#DIV/0!</v>
      </c>
    </row>
    <row r="37" spans="1:54" s="10" customFormat="1" ht="15.75" hidden="1" customHeight="1">
      <c r="A37" s="119"/>
      <c r="B37" s="120" t="s">
        <v>273</v>
      </c>
      <c r="C37" s="121" t="str">
        <f t="shared" si="34"/>
        <v>{"dossier":p.DossierName1,"buttonName":"Bewilligen","checkStatus":"Bewilligt"}</v>
      </c>
      <c r="D37" s="2"/>
      <c r="E37" s="12" t="str">
        <f t="shared" si="35"/>
        <v>{"dossier":p.DossierName1,"buttonName":"Bewilligen","checkStatus":"Bewilligt"}</v>
      </c>
      <c r="F37" s="609" t="s">
        <v>159</v>
      </c>
      <c r="G37" s="625" t="str">
        <f>'001b'!$G$12</f>
        <v>p.DossierName1</v>
      </c>
      <c r="H37" s="609" t="s">
        <v>198</v>
      </c>
      <c r="I37" s="611" t="s">
        <v>136</v>
      </c>
      <c r="J37" s="609" t="s">
        <v>132</v>
      </c>
      <c r="K37" s="609" t="s">
        <v>137</v>
      </c>
      <c r="L37" s="609" t="s">
        <v>37</v>
      </c>
      <c r="M37" s="611"/>
      <c r="N37" s="609"/>
      <c r="O37" s="611"/>
      <c r="P37" s="609"/>
      <c r="Q37" s="611"/>
      <c r="R37" s="609"/>
      <c r="S37" s="611"/>
      <c r="T37" s="609"/>
      <c r="U37" s="611"/>
      <c r="V37" s="609"/>
      <c r="W37" s="611"/>
      <c r="X37" s="2"/>
      <c r="Y37" s="2"/>
      <c r="Z37" s="2"/>
      <c r="AA37" s="2"/>
      <c r="AB37" s="2"/>
      <c r="AD37" s="2"/>
      <c r="AE37" s="2"/>
      <c r="AF37" s="2"/>
      <c r="AG37" s="165" t="e">
        <f t="shared" si="0"/>
        <v>#DIV/0!</v>
      </c>
      <c r="AH37" s="2"/>
      <c r="AI37" s="165" t="e">
        <f t="shared" si="0"/>
        <v>#DIV/0!</v>
      </c>
      <c r="AJ37" s="2"/>
      <c r="AK37" s="165" t="e">
        <f t="shared" ref="AK37:AQ37" si="41">AJ37/($AC37)</f>
        <v>#DIV/0!</v>
      </c>
      <c r="AL37" s="2"/>
      <c r="AM37" s="165" t="e">
        <f t="shared" si="41"/>
        <v>#DIV/0!</v>
      </c>
      <c r="AN37" s="2"/>
      <c r="AO37" s="165" t="e">
        <f t="shared" si="41"/>
        <v>#DIV/0!</v>
      </c>
      <c r="AP37" s="2"/>
      <c r="AQ37" s="165" t="e">
        <f t="shared" si="41"/>
        <v>#DIV/0!</v>
      </c>
      <c r="AS37" s="165" t="e">
        <f t="shared" si="2"/>
        <v>#DIV/0!</v>
      </c>
      <c r="AU37" s="165" t="e">
        <f t="shared" si="2"/>
        <v>#DIV/0!</v>
      </c>
      <c r="AW37" s="165" t="e">
        <f t="shared" si="2"/>
        <v>#DIV/0!</v>
      </c>
      <c r="AZ37" s="165" t="e">
        <f t="shared" si="3"/>
        <v>#DIV/0!</v>
      </c>
      <c r="BB37" s="165" t="e">
        <f t="shared" si="3"/>
        <v>#DIV/0!</v>
      </c>
    </row>
    <row r="38" spans="1:54" s="10" customFormat="1" ht="15.75" hidden="1" customHeight="1">
      <c r="A38" s="119"/>
      <c r="B38" s="120" t="s">
        <v>134</v>
      </c>
      <c r="C38" s="121" t="str">
        <f t="shared" si="34"/>
        <v>{"username":"Bern.Sachbearbeiterin@diartis.ch","password":"XXxa22?pdTA66-S@"}</v>
      </c>
      <c r="D38" s="2"/>
      <c r="E38" s="12" t="str">
        <f t="shared" si="35"/>
        <v>{"username":"Bern.Sachbearbeiterin@diartis.ch","password":"XXxa22?pdTA66-S@"}</v>
      </c>
      <c r="F38" s="609" t="s">
        <v>29</v>
      </c>
      <c r="G38" s="617" t="s">
        <v>30</v>
      </c>
      <c r="H38" s="609" t="s">
        <v>31</v>
      </c>
      <c r="I38" s="618" t="s">
        <v>32</v>
      </c>
      <c r="J38" s="609" t="s">
        <v>37</v>
      </c>
      <c r="K38" s="614"/>
      <c r="L38" s="609"/>
      <c r="M38" s="611"/>
      <c r="N38" s="609"/>
      <c r="O38" s="611"/>
      <c r="P38" s="609"/>
      <c r="Q38" s="611"/>
      <c r="R38" s="609"/>
      <c r="S38" s="611"/>
      <c r="T38" s="609"/>
      <c r="U38" s="611"/>
      <c r="V38" s="609"/>
      <c r="W38" s="611"/>
      <c r="X38" s="2"/>
      <c r="Y38" s="2"/>
      <c r="Z38" s="2"/>
      <c r="AA38" s="2"/>
      <c r="AB38" s="2"/>
      <c r="AD38" s="2"/>
      <c r="AE38" s="2"/>
      <c r="AF38" s="2"/>
      <c r="AG38" s="165" t="e">
        <f t="shared" si="0"/>
        <v>#DIV/0!</v>
      </c>
      <c r="AH38" s="2"/>
      <c r="AI38" s="165" t="e">
        <f t="shared" si="0"/>
        <v>#DIV/0!</v>
      </c>
      <c r="AJ38" s="2"/>
      <c r="AK38" s="165" t="e">
        <f t="shared" ref="AK38:AQ38" si="42">AJ38/($AC38)</f>
        <v>#DIV/0!</v>
      </c>
      <c r="AL38" s="2"/>
      <c r="AM38" s="165" t="e">
        <f t="shared" si="42"/>
        <v>#DIV/0!</v>
      </c>
      <c r="AN38" s="2"/>
      <c r="AO38" s="165" t="e">
        <f t="shared" si="42"/>
        <v>#DIV/0!</v>
      </c>
      <c r="AP38" s="2"/>
      <c r="AQ38" s="165" t="e">
        <f t="shared" si="42"/>
        <v>#DIV/0!</v>
      </c>
      <c r="AS38" s="165" t="e">
        <f t="shared" si="2"/>
        <v>#DIV/0!</v>
      </c>
      <c r="AU38" s="165" t="e">
        <f t="shared" si="2"/>
        <v>#DIV/0!</v>
      </c>
      <c r="AW38" s="165" t="e">
        <f t="shared" si="2"/>
        <v>#DIV/0!</v>
      </c>
      <c r="AZ38" s="165" t="e">
        <f t="shared" si="3"/>
        <v>#DIV/0!</v>
      </c>
      <c r="BB38" s="165" t="e">
        <f t="shared" si="3"/>
        <v>#DIV/0!</v>
      </c>
    </row>
    <row r="39" spans="1:54" s="10" customFormat="1" ht="15.75" hidden="1" customHeight="1">
      <c r="A39" s="119"/>
      <c r="B39" s="122" t="s">
        <v>274</v>
      </c>
      <c r="C39" s="121" t="str">
        <f>E39</f>
        <v>{"dossierInstitution":p.DossierName1,"verwendungPeriode":"Dezember 2024","status":"Zu bezahlen"}</v>
      </c>
      <c r="D39" s="2"/>
      <c r="E39" s="12" t="str">
        <f>F39&amp;G39&amp;H39&amp;I39&amp;J39&amp;K39&amp;L39&amp;M39&amp;N39&amp;O39&amp;P39&amp;Q39&amp;R39&amp;S39&amp;T39&amp;U39&amp;V39&amp;W39&amp;AA39</f>
        <v>{"dossierInstitution":p.DossierName1,"verwendungPeriode":"Dezember 2024","status":"Zu bezahlen"}</v>
      </c>
      <c r="F39" s="609" t="s">
        <v>128</v>
      </c>
      <c r="G39" s="625" t="str">
        <f>'001b'!$G$12</f>
        <v>p.DossierName1</v>
      </c>
      <c r="H39" s="609" t="s">
        <v>275</v>
      </c>
      <c r="I39" s="613" t="s">
        <v>243</v>
      </c>
      <c r="J39" s="609" t="s">
        <v>202</v>
      </c>
      <c r="K39" s="614" t="s">
        <v>203</v>
      </c>
      <c r="L39" s="609" t="s">
        <v>37</v>
      </c>
      <c r="M39" s="611"/>
      <c r="N39" s="609"/>
      <c r="O39" s="609"/>
      <c r="P39" s="611"/>
      <c r="Q39" s="611"/>
      <c r="R39" s="611"/>
      <c r="S39" s="611"/>
      <c r="T39" s="611"/>
      <c r="U39" s="611"/>
      <c r="V39" s="611"/>
      <c r="W39" s="611"/>
      <c r="X39" s="2"/>
      <c r="Y39" s="2"/>
      <c r="Z39" s="2"/>
      <c r="AA39" s="2"/>
      <c r="AB39" s="2"/>
      <c r="AD39" s="2"/>
      <c r="AE39" s="2"/>
      <c r="AF39" s="2"/>
      <c r="AG39" s="165" t="e">
        <f t="shared" si="0"/>
        <v>#DIV/0!</v>
      </c>
      <c r="AH39" s="2"/>
      <c r="AI39" s="165" t="e">
        <f t="shared" si="0"/>
        <v>#DIV/0!</v>
      </c>
      <c r="AJ39" s="2"/>
      <c r="AK39" s="165" t="e">
        <f t="shared" ref="AK39:AQ39" si="43">AJ39/($AC39)</f>
        <v>#DIV/0!</v>
      </c>
      <c r="AL39" s="2"/>
      <c r="AM39" s="165" t="e">
        <f t="shared" si="43"/>
        <v>#DIV/0!</v>
      </c>
      <c r="AN39" s="2"/>
      <c r="AO39" s="165" t="e">
        <f t="shared" si="43"/>
        <v>#DIV/0!</v>
      </c>
      <c r="AP39" s="2"/>
      <c r="AQ39" s="165" t="e">
        <f t="shared" si="43"/>
        <v>#DIV/0!</v>
      </c>
      <c r="AS39" s="165" t="e">
        <f t="shared" si="2"/>
        <v>#DIV/0!</v>
      </c>
      <c r="AU39" s="165" t="e">
        <f t="shared" si="2"/>
        <v>#DIV/0!</v>
      </c>
      <c r="AW39" s="165" t="e">
        <f t="shared" si="2"/>
        <v>#DIV/0!</v>
      </c>
      <c r="AZ39" s="165" t="e">
        <f t="shared" si="3"/>
        <v>#DIV/0!</v>
      </c>
      <c r="BB39" s="165" t="e">
        <f t="shared" si="3"/>
        <v>#DIV/0!</v>
      </c>
    </row>
    <row r="40" spans="1:54" s="10" customFormat="1" ht="15.75" hidden="1" customHeight="1">
      <c r="A40" s="119"/>
      <c r="B40" s="122" t="s">
        <v>274</v>
      </c>
      <c r="C40" s="121" t="str">
        <f>E40</f>
        <v>{"dossierInstitution":p.DossierName1,"verwendungPeriode":"November 2024","status":"Zu bezahlen"}</v>
      </c>
      <c r="D40" s="2"/>
      <c r="E40" s="12" t="str">
        <f>F40&amp;G40&amp;H40&amp;I40&amp;J40&amp;K40&amp;L40&amp;M40&amp;N40&amp;O40&amp;P40&amp;Q40&amp;R40&amp;S40&amp;T40&amp;U40&amp;V40&amp;W40&amp;AA40</f>
        <v>{"dossierInstitution":p.DossierName1,"verwendungPeriode":"November 2024","status":"Zu bezahlen"}</v>
      </c>
      <c r="F40" s="609" t="s">
        <v>128</v>
      </c>
      <c r="G40" s="625" t="str">
        <f>'001b'!$G$12</f>
        <v>p.DossierName1</v>
      </c>
      <c r="H40" s="609" t="s">
        <v>275</v>
      </c>
      <c r="I40" s="613" t="s">
        <v>242</v>
      </c>
      <c r="J40" s="609" t="s">
        <v>202</v>
      </c>
      <c r="K40" s="614" t="s">
        <v>203</v>
      </c>
      <c r="L40" s="609" t="s">
        <v>37</v>
      </c>
      <c r="M40" s="611"/>
      <c r="N40" s="609"/>
      <c r="O40" s="609"/>
      <c r="P40" s="611"/>
      <c r="Q40" s="611"/>
      <c r="R40" s="611"/>
      <c r="S40" s="611"/>
      <c r="T40" s="611"/>
      <c r="U40" s="611"/>
      <c r="V40" s="611"/>
      <c r="W40" s="611"/>
      <c r="X40" s="2"/>
      <c r="Y40" s="2"/>
      <c r="Z40" s="2"/>
      <c r="AA40" s="2"/>
      <c r="AB40" s="2"/>
      <c r="AD40" s="2"/>
      <c r="AE40" s="2"/>
      <c r="AF40" s="2"/>
      <c r="AG40" s="165" t="e">
        <f t="shared" si="0"/>
        <v>#DIV/0!</v>
      </c>
      <c r="AH40" s="2"/>
      <c r="AI40" s="165" t="e">
        <f t="shared" si="0"/>
        <v>#DIV/0!</v>
      </c>
      <c r="AJ40" s="2"/>
      <c r="AK40" s="165" t="e">
        <f t="shared" ref="AK40:AQ40" si="44">AJ40/($AC40)</f>
        <v>#DIV/0!</v>
      </c>
      <c r="AL40" s="2"/>
      <c r="AM40" s="165" t="e">
        <f t="shared" si="44"/>
        <v>#DIV/0!</v>
      </c>
      <c r="AN40" s="2"/>
      <c r="AO40" s="165" t="e">
        <f t="shared" si="44"/>
        <v>#DIV/0!</v>
      </c>
      <c r="AP40" s="2"/>
      <c r="AQ40" s="165" t="e">
        <f t="shared" si="44"/>
        <v>#DIV/0!</v>
      </c>
      <c r="AS40" s="165" t="e">
        <f t="shared" si="2"/>
        <v>#DIV/0!</v>
      </c>
      <c r="AU40" s="165" t="e">
        <f t="shared" si="2"/>
        <v>#DIV/0!</v>
      </c>
      <c r="AW40" s="165" t="e">
        <f t="shared" si="2"/>
        <v>#DIV/0!</v>
      </c>
      <c r="AZ40" s="165" t="e">
        <f t="shared" si="3"/>
        <v>#DIV/0!</v>
      </c>
      <c r="BB40" s="165" t="e">
        <f t="shared" si="3"/>
        <v>#DIV/0!</v>
      </c>
    </row>
    <row r="41" spans="1:54" s="10" customFormat="1" ht="15.75" hidden="1" customHeight="1">
      <c r="A41" s="119"/>
      <c r="B41" s="122" t="s">
        <v>274</v>
      </c>
      <c r="C41" s="121" t="str">
        <f>E41</f>
        <v>{"dossierInstitution":p.DossierName1,"verwendungPeriode":"Oktober 2024","status":"Zu bezahlen"}</v>
      </c>
      <c r="D41" s="2"/>
      <c r="E41" s="12" t="str">
        <f>F41&amp;G41&amp;H41&amp;I41&amp;J41&amp;K41&amp;L41&amp;M41&amp;N41&amp;O41&amp;P41&amp;Q41&amp;R41&amp;S41&amp;T41&amp;U41&amp;V41&amp;W41&amp;AA41</f>
        <v>{"dossierInstitution":p.DossierName1,"verwendungPeriode":"Oktober 2024","status":"Zu bezahlen"}</v>
      </c>
      <c r="F41" s="609" t="s">
        <v>128</v>
      </c>
      <c r="G41" s="625" t="str">
        <f>'001b'!$G$12</f>
        <v>p.DossierName1</v>
      </c>
      <c r="H41" s="609" t="s">
        <v>275</v>
      </c>
      <c r="I41" s="613" t="s">
        <v>241</v>
      </c>
      <c r="J41" s="609" t="s">
        <v>202</v>
      </c>
      <c r="K41" s="614" t="s">
        <v>203</v>
      </c>
      <c r="L41" s="609" t="s">
        <v>37</v>
      </c>
      <c r="M41" s="611"/>
      <c r="N41" s="609"/>
      <c r="O41" s="609"/>
      <c r="P41" s="611"/>
      <c r="Q41" s="611"/>
      <c r="R41" s="611"/>
      <c r="S41" s="611"/>
      <c r="T41" s="611"/>
      <c r="U41" s="611"/>
      <c r="V41" s="611"/>
      <c r="W41" s="611"/>
      <c r="X41" s="2"/>
      <c r="Y41" s="2"/>
      <c r="Z41" s="2"/>
      <c r="AA41" s="2"/>
      <c r="AB41" s="2"/>
      <c r="AD41" s="2"/>
      <c r="AE41" s="2"/>
      <c r="AF41" s="2"/>
      <c r="AG41" s="165" t="e">
        <f t="shared" si="0"/>
        <v>#DIV/0!</v>
      </c>
      <c r="AH41" s="2"/>
      <c r="AI41" s="165" t="e">
        <f t="shared" si="0"/>
        <v>#DIV/0!</v>
      </c>
      <c r="AJ41" s="2"/>
      <c r="AK41" s="165" t="e">
        <f t="shared" ref="AK41:AQ41" si="45">AJ41/($AC41)</f>
        <v>#DIV/0!</v>
      </c>
      <c r="AL41" s="2"/>
      <c r="AM41" s="165" t="e">
        <f t="shared" si="45"/>
        <v>#DIV/0!</v>
      </c>
      <c r="AN41" s="2"/>
      <c r="AO41" s="165" t="e">
        <f t="shared" si="45"/>
        <v>#DIV/0!</v>
      </c>
      <c r="AP41" s="2"/>
      <c r="AQ41" s="165" t="e">
        <f t="shared" si="45"/>
        <v>#DIV/0!</v>
      </c>
      <c r="AS41" s="165" t="e">
        <f t="shared" si="2"/>
        <v>#DIV/0!</v>
      </c>
      <c r="AU41" s="165" t="e">
        <f t="shared" si="2"/>
        <v>#DIV/0!</v>
      </c>
      <c r="AW41" s="165" t="e">
        <f t="shared" si="2"/>
        <v>#DIV/0!</v>
      </c>
      <c r="AZ41" s="165" t="e">
        <f t="shared" si="3"/>
        <v>#DIV/0!</v>
      </c>
      <c r="BB41" s="165" t="e">
        <f t="shared" si="3"/>
        <v>#DIV/0!</v>
      </c>
    </row>
    <row r="42" spans="1:54" s="10" customFormat="1" ht="15.75" hidden="1" customHeight="1">
      <c r="A42" s="119"/>
      <c r="B42" s="122" t="s">
        <v>274</v>
      </c>
      <c r="C42" s="121" t="str">
        <f t="shared" si="34"/>
        <v>{"dossierInstitution":p.DossierName1,"verwendungPeriode":"September 2024","status":"Zu bezahlen"}</v>
      </c>
      <c r="D42" s="2"/>
      <c r="E42" s="12" t="str">
        <f t="shared" si="35"/>
        <v>{"dossierInstitution":p.DossierName1,"verwendungPeriode":"September 2024","status":"Zu bezahlen"}</v>
      </c>
      <c r="F42" s="609" t="s">
        <v>128</v>
      </c>
      <c r="G42" s="625" t="str">
        <f>'001b'!$G$12</f>
        <v>p.DossierName1</v>
      </c>
      <c r="H42" s="609" t="s">
        <v>275</v>
      </c>
      <c r="I42" s="613" t="s">
        <v>276</v>
      </c>
      <c r="J42" s="609" t="s">
        <v>202</v>
      </c>
      <c r="K42" s="614" t="s">
        <v>203</v>
      </c>
      <c r="L42" s="609" t="s">
        <v>37</v>
      </c>
      <c r="M42" s="611"/>
      <c r="N42" s="609"/>
      <c r="O42" s="609"/>
      <c r="P42" s="611"/>
      <c r="Q42" s="611"/>
      <c r="R42" s="611"/>
      <c r="S42" s="611"/>
      <c r="T42" s="611"/>
      <c r="U42" s="611"/>
      <c r="V42" s="611"/>
      <c r="W42" s="611"/>
      <c r="X42" s="2"/>
      <c r="Y42" s="2"/>
      <c r="Z42" s="2"/>
      <c r="AA42" s="2"/>
      <c r="AB42" s="2"/>
      <c r="AD42" s="2"/>
      <c r="AE42" s="2"/>
      <c r="AF42" s="2"/>
      <c r="AG42" s="165" t="e">
        <f t="shared" si="0"/>
        <v>#DIV/0!</v>
      </c>
      <c r="AH42" s="2"/>
      <c r="AI42" s="165" t="e">
        <f t="shared" si="0"/>
        <v>#DIV/0!</v>
      </c>
      <c r="AJ42" s="2"/>
      <c r="AK42" s="165" t="e">
        <f t="shared" ref="AK42:AQ42" si="46">AJ42/($AC42)</f>
        <v>#DIV/0!</v>
      </c>
      <c r="AL42" s="2"/>
      <c r="AM42" s="165" t="e">
        <f t="shared" si="46"/>
        <v>#DIV/0!</v>
      </c>
      <c r="AN42" s="2"/>
      <c r="AO42" s="165" t="e">
        <f t="shared" si="46"/>
        <v>#DIV/0!</v>
      </c>
      <c r="AP42" s="2"/>
      <c r="AQ42" s="165" t="e">
        <f t="shared" si="46"/>
        <v>#DIV/0!</v>
      </c>
      <c r="AS42" s="165" t="e">
        <f t="shared" si="2"/>
        <v>#DIV/0!</v>
      </c>
      <c r="AU42" s="165" t="e">
        <f t="shared" si="2"/>
        <v>#DIV/0!</v>
      </c>
      <c r="AW42" s="165" t="e">
        <f t="shared" si="2"/>
        <v>#DIV/0!</v>
      </c>
      <c r="AZ42" s="165" t="e">
        <f t="shared" si="3"/>
        <v>#DIV/0!</v>
      </c>
      <c r="BB42" s="165" t="e">
        <f t="shared" si="3"/>
        <v>#DIV/0!</v>
      </c>
    </row>
    <row r="43" spans="1:54" s="10" customFormat="1" ht="15.75" hidden="1" customHeight="1">
      <c r="A43" s="119"/>
      <c r="B43" s="122" t="s">
        <v>274</v>
      </c>
      <c r="C43" s="121" t="str">
        <f t="shared" si="34"/>
        <v>{"dossierInstitution":p.DossierName1,"verwendungPeriode":"August 2024","status":"Zu bezahlen"}</v>
      </c>
      <c r="D43" s="2"/>
      <c r="E43" s="12" t="str">
        <f t="shared" si="35"/>
        <v>{"dossierInstitution":p.DossierName1,"verwendungPeriode":"August 2024","status":"Zu bezahlen"}</v>
      </c>
      <c r="F43" s="609" t="s">
        <v>128</v>
      </c>
      <c r="G43" s="625" t="str">
        <f>'001b'!$G$12</f>
        <v>p.DossierName1</v>
      </c>
      <c r="H43" s="609" t="s">
        <v>275</v>
      </c>
      <c r="I43" s="613" t="s">
        <v>277</v>
      </c>
      <c r="J43" s="609" t="s">
        <v>202</v>
      </c>
      <c r="K43" s="614" t="s">
        <v>203</v>
      </c>
      <c r="L43" s="609" t="s">
        <v>37</v>
      </c>
      <c r="M43" s="611"/>
      <c r="N43" s="609"/>
      <c r="O43" s="609"/>
      <c r="P43" s="611"/>
      <c r="Q43" s="611"/>
      <c r="R43" s="611"/>
      <c r="S43" s="611"/>
      <c r="T43" s="611"/>
      <c r="U43" s="611"/>
      <c r="V43" s="611"/>
      <c r="W43" s="611"/>
      <c r="X43" s="2"/>
      <c r="Y43" s="2"/>
      <c r="Z43" s="2"/>
      <c r="AA43" s="2"/>
      <c r="AB43" s="2"/>
      <c r="AD43" s="2"/>
      <c r="AE43" s="2"/>
      <c r="AF43" s="2"/>
      <c r="AG43" s="165" t="e">
        <f t="shared" si="0"/>
        <v>#DIV/0!</v>
      </c>
      <c r="AH43" s="2"/>
      <c r="AI43" s="165" t="e">
        <f t="shared" si="0"/>
        <v>#DIV/0!</v>
      </c>
      <c r="AJ43" s="2"/>
      <c r="AK43" s="165" t="e">
        <f t="shared" ref="AK43:AQ43" si="47">AJ43/($AC43)</f>
        <v>#DIV/0!</v>
      </c>
      <c r="AL43" s="2"/>
      <c r="AM43" s="165" t="e">
        <f t="shared" si="47"/>
        <v>#DIV/0!</v>
      </c>
      <c r="AN43" s="2"/>
      <c r="AO43" s="165" t="e">
        <f t="shared" si="47"/>
        <v>#DIV/0!</v>
      </c>
      <c r="AP43" s="2"/>
      <c r="AQ43" s="165" t="e">
        <f t="shared" si="47"/>
        <v>#DIV/0!</v>
      </c>
      <c r="AS43" s="165" t="e">
        <f t="shared" si="2"/>
        <v>#DIV/0!</v>
      </c>
      <c r="AU43" s="165" t="e">
        <f t="shared" si="2"/>
        <v>#DIV/0!</v>
      </c>
      <c r="AW43" s="165" t="e">
        <f t="shared" si="2"/>
        <v>#DIV/0!</v>
      </c>
      <c r="AZ43" s="165" t="e">
        <f t="shared" si="3"/>
        <v>#DIV/0!</v>
      </c>
      <c r="BB43" s="165" t="e">
        <f t="shared" si="3"/>
        <v>#DIV/0!</v>
      </c>
    </row>
    <row r="44" spans="1:54" s="10" customFormat="1" ht="15.75" hidden="1" customHeight="1">
      <c r="A44" s="119"/>
      <c r="B44" s="122" t="s">
        <v>274</v>
      </c>
      <c r="C44" s="121" t="str">
        <f t="shared" si="34"/>
        <v>{"dossierInstitution":p.DossierName1,"verwendungPeriode":"Juli 2024","status":"Zu bezahlen"}</v>
      </c>
      <c r="D44" s="2"/>
      <c r="E44" s="12" t="str">
        <f t="shared" si="35"/>
        <v>{"dossierInstitution":p.DossierName1,"verwendungPeriode":"Juli 2024","status":"Zu bezahlen"}</v>
      </c>
      <c r="F44" s="609" t="s">
        <v>128</v>
      </c>
      <c r="G44" s="625" t="str">
        <f>'001b'!$G$12</f>
        <v>p.DossierName1</v>
      </c>
      <c r="H44" s="609" t="s">
        <v>275</v>
      </c>
      <c r="I44" s="613" t="s">
        <v>278</v>
      </c>
      <c r="J44" s="609" t="s">
        <v>202</v>
      </c>
      <c r="K44" s="614" t="s">
        <v>203</v>
      </c>
      <c r="L44" s="609" t="s">
        <v>37</v>
      </c>
      <c r="M44" s="611"/>
      <c r="N44" s="609"/>
      <c r="O44" s="609"/>
      <c r="P44" s="611"/>
      <c r="Q44" s="611"/>
      <c r="R44" s="611"/>
      <c r="S44" s="611"/>
      <c r="T44" s="611"/>
      <c r="U44" s="611"/>
      <c r="V44" s="611"/>
      <c r="W44" s="611"/>
      <c r="X44" s="2"/>
      <c r="Y44" s="2"/>
      <c r="Z44" s="2"/>
      <c r="AA44" s="2"/>
      <c r="AB44" s="2"/>
      <c r="AD44" s="2"/>
      <c r="AE44" s="2"/>
      <c r="AF44" s="2"/>
      <c r="AG44" s="165" t="e">
        <f t="shared" si="0"/>
        <v>#DIV/0!</v>
      </c>
      <c r="AH44" s="2"/>
      <c r="AI44" s="165" t="e">
        <f t="shared" si="0"/>
        <v>#DIV/0!</v>
      </c>
      <c r="AJ44" s="2"/>
      <c r="AK44" s="165" t="e">
        <f t="shared" ref="AK44:AQ44" si="48">AJ44/($AC44)</f>
        <v>#DIV/0!</v>
      </c>
      <c r="AL44" s="2"/>
      <c r="AM44" s="165" t="e">
        <f t="shared" si="48"/>
        <v>#DIV/0!</v>
      </c>
      <c r="AN44" s="2"/>
      <c r="AO44" s="165" t="e">
        <f t="shared" si="48"/>
        <v>#DIV/0!</v>
      </c>
      <c r="AP44" s="2"/>
      <c r="AQ44" s="165" t="e">
        <f t="shared" si="48"/>
        <v>#DIV/0!</v>
      </c>
      <c r="AS44" s="165" t="e">
        <f t="shared" si="2"/>
        <v>#DIV/0!</v>
      </c>
      <c r="AU44" s="165" t="e">
        <f t="shared" si="2"/>
        <v>#DIV/0!</v>
      </c>
      <c r="AW44" s="165" t="e">
        <f t="shared" si="2"/>
        <v>#DIV/0!</v>
      </c>
      <c r="AZ44" s="165" t="e">
        <f t="shared" si="3"/>
        <v>#DIV/0!</v>
      </c>
      <c r="BB44" s="165" t="e">
        <f t="shared" si="3"/>
        <v>#DIV/0!</v>
      </c>
    </row>
    <row r="45" spans="1:54" s="10" customFormat="1" ht="15.75" hidden="1" customHeight="1">
      <c r="A45" s="119"/>
      <c r="B45" s="122" t="s">
        <v>274</v>
      </c>
      <c r="C45" s="121" t="str">
        <f t="shared" si="34"/>
        <v>{"dossierInstitution":p.DossierName1,"verwendungPeriode":"Januar 2025","status":"Zu bezahlen"}</v>
      </c>
      <c r="D45" s="2"/>
      <c r="E45" s="12" t="str">
        <f t="shared" si="35"/>
        <v>{"dossierInstitution":p.DossierName1,"verwendungPeriode":"Januar 2025","status":"Zu bezahlen"}</v>
      </c>
      <c r="F45" s="609" t="s">
        <v>128</v>
      </c>
      <c r="G45" s="625" t="str">
        <f>'001b'!$G$12</f>
        <v>p.DossierName1</v>
      </c>
      <c r="H45" s="609" t="s">
        <v>275</v>
      </c>
      <c r="I45" s="613" t="s">
        <v>244</v>
      </c>
      <c r="J45" s="609" t="s">
        <v>202</v>
      </c>
      <c r="K45" s="614" t="s">
        <v>203</v>
      </c>
      <c r="L45" s="609" t="s">
        <v>37</v>
      </c>
      <c r="M45" s="611"/>
      <c r="N45" s="609"/>
      <c r="O45" s="609"/>
      <c r="P45" s="611"/>
      <c r="Q45" s="611"/>
      <c r="R45" s="611"/>
      <c r="S45" s="611"/>
      <c r="T45" s="611"/>
      <c r="U45" s="611"/>
      <c r="V45" s="611"/>
      <c r="W45" s="611"/>
      <c r="X45" s="2"/>
      <c r="Y45" s="2"/>
      <c r="Z45" s="2"/>
      <c r="AA45" s="2"/>
      <c r="AB45" s="2"/>
      <c r="AD45" s="2"/>
      <c r="AE45" s="2"/>
      <c r="AF45" s="2"/>
      <c r="AG45" s="165" t="e">
        <f t="shared" si="0"/>
        <v>#DIV/0!</v>
      </c>
      <c r="AH45" s="2"/>
      <c r="AI45" s="165" t="e">
        <f t="shared" si="0"/>
        <v>#DIV/0!</v>
      </c>
      <c r="AJ45" s="2"/>
      <c r="AK45" s="165" t="e">
        <f t="shared" ref="AK45:AQ45" si="49">AJ45/($AC45)</f>
        <v>#DIV/0!</v>
      </c>
      <c r="AL45" s="2"/>
      <c r="AM45" s="165" t="e">
        <f t="shared" si="49"/>
        <v>#DIV/0!</v>
      </c>
      <c r="AN45" s="2"/>
      <c r="AO45" s="165" t="e">
        <f t="shared" si="49"/>
        <v>#DIV/0!</v>
      </c>
      <c r="AP45" s="2"/>
      <c r="AQ45" s="165" t="e">
        <f t="shared" si="49"/>
        <v>#DIV/0!</v>
      </c>
      <c r="AS45" s="165" t="e">
        <f t="shared" si="2"/>
        <v>#DIV/0!</v>
      </c>
      <c r="AU45" s="165" t="e">
        <f t="shared" si="2"/>
        <v>#DIV/0!</v>
      </c>
      <c r="AW45" s="165" t="e">
        <f t="shared" si="2"/>
        <v>#DIV/0!</v>
      </c>
      <c r="AZ45" s="165" t="e">
        <f t="shared" si="3"/>
        <v>#DIV/0!</v>
      </c>
      <c r="BB45" s="165" t="e">
        <f t="shared" si="3"/>
        <v>#DIV/0!</v>
      </c>
    </row>
    <row r="46" spans="1:54" s="10" customFormat="1" ht="15.75" hidden="1" customHeight="1">
      <c r="A46" s="119"/>
      <c r="B46" s="122" t="s">
        <v>205</v>
      </c>
      <c r="C46" s="121" t="str">
        <f ca="1">E46</f>
        <v>{"haftungsType":"Einseitige Solidarhaftung erfassen","haftungDurch":`${p.FamilyName1}, ${p.ManFirstName1}`,"haftungVon":"01.11.2024","haftungBis":"31.12.2024","haftungFuer":`${p.FamilyName1}, ${p.WomanFirstName1}`,"person1":"","person2":""}</v>
      </c>
      <c r="D46" s="2"/>
      <c r="E46" s="12" t="str">
        <f t="shared" ca="1" si="35"/>
        <v>{"haftungsType":"Einseitige Solidarhaftung erfassen","haftungDurch":`${p.FamilyName1}, ${p.ManFirstName1}`,"haftungVon":"01.11.2024","haftungBis":"31.12.2024","haftungFuer":`${p.FamilyName1}, ${p.WomanFirstName1}`,"person1":"","person2":""}</v>
      </c>
      <c r="F46" s="609" t="s">
        <v>206</v>
      </c>
      <c r="G46" s="611" t="s">
        <v>207</v>
      </c>
      <c r="H46" s="609" t="s">
        <v>208</v>
      </c>
      <c r="I46" s="611" t="str">
        <f>I23</f>
        <v>${p.FamilyName1}, ${p.ManFirstName1}</v>
      </c>
      <c r="J46" s="609" t="s">
        <v>209</v>
      </c>
      <c r="K46" s="614" t="str">
        <f ca="1">"01."&amp;MONTH(TODAY())&amp;".2024"</f>
        <v>01.11.2024</v>
      </c>
      <c r="L46" s="609" t="s">
        <v>210</v>
      </c>
      <c r="M46" s="613" t="s">
        <v>223</v>
      </c>
      <c r="N46" s="609" t="s">
        <v>211</v>
      </c>
      <c r="O46" s="611" t="str">
        <f>"${"&amp;$G$5&amp;"}, ${"&amp;$H$62&amp;"}"</f>
        <v>${p.FamilyName1}, ${p.WomanFirstName1}</v>
      </c>
      <c r="P46" s="609" t="s">
        <v>212</v>
      </c>
      <c r="Q46" s="614"/>
      <c r="R46" s="609" t="s">
        <v>213</v>
      </c>
      <c r="S46" s="611"/>
      <c r="T46" s="611" t="s">
        <v>37</v>
      </c>
      <c r="U46" s="611"/>
      <c r="V46" s="609"/>
      <c r="W46" s="611"/>
      <c r="X46" s="2"/>
      <c r="Y46" s="2"/>
      <c r="Z46" s="2"/>
      <c r="AA46" s="2"/>
      <c r="AB46" s="2"/>
      <c r="AD46" s="2"/>
      <c r="AE46" s="2"/>
      <c r="AF46" s="2"/>
      <c r="AG46" s="165" t="e">
        <f t="shared" si="0"/>
        <v>#DIV/0!</v>
      </c>
      <c r="AH46" s="2"/>
      <c r="AI46" s="165" t="e">
        <f t="shared" si="0"/>
        <v>#DIV/0!</v>
      </c>
      <c r="AJ46" s="2"/>
      <c r="AK46" s="165" t="e">
        <f t="shared" ref="AK46:AQ46" si="50">AJ46/($AC46)</f>
        <v>#DIV/0!</v>
      </c>
      <c r="AL46" s="2"/>
      <c r="AM46" s="165" t="e">
        <f t="shared" si="50"/>
        <v>#DIV/0!</v>
      </c>
      <c r="AN46" s="2"/>
      <c r="AO46" s="165" t="e">
        <f t="shared" si="50"/>
        <v>#DIV/0!</v>
      </c>
      <c r="AP46" s="2"/>
      <c r="AQ46" s="165" t="e">
        <f t="shared" si="50"/>
        <v>#DIV/0!</v>
      </c>
      <c r="AS46" s="165" t="e">
        <f t="shared" si="2"/>
        <v>#DIV/0!</v>
      </c>
      <c r="AU46" s="165" t="e">
        <f t="shared" si="2"/>
        <v>#DIV/0!</v>
      </c>
      <c r="AW46" s="165" t="e">
        <f t="shared" si="2"/>
        <v>#DIV/0!</v>
      </c>
      <c r="AZ46" s="165" t="e">
        <f t="shared" si="3"/>
        <v>#DIV/0!</v>
      </c>
      <c r="BB46" s="165" t="e">
        <f t="shared" si="3"/>
        <v>#DIV/0!</v>
      </c>
    </row>
    <row r="47" spans="1:54" s="10" customFormat="1" ht="15.75" hidden="1" customHeight="1">
      <c r="A47" s="119"/>
      <c r="B47" s="122" t="s">
        <v>205</v>
      </c>
      <c r="C47" s="121" t="str">
        <f ca="1">E47</f>
        <v>{"haftungsType":"Einzelhaftung erfassen","haftungDurch":`${p.FamilyName1}, ${p.ManFirstName1}`,"haftungVon":"01.11.2024","haftungBis":"31.12.2024","haftungFuer":`${p.FamilyName1}, ${p.GirlFirstName1}`,"person1":"","person2":""}</v>
      </c>
      <c r="D47" s="2"/>
      <c r="E47" s="12" t="str">
        <f t="shared" ca="1" si="35"/>
        <v>{"haftungsType":"Einzelhaftung erfassen","haftungDurch":`${p.FamilyName1}, ${p.ManFirstName1}`,"haftungVon":"01.11.2024","haftungBis":"31.12.2024","haftungFuer":`${p.FamilyName1}, ${p.GirlFirstName1}`,"person1":"","person2":""}</v>
      </c>
      <c r="F47" s="609" t="s">
        <v>206</v>
      </c>
      <c r="G47" s="611" t="s">
        <v>214</v>
      </c>
      <c r="H47" s="609" t="s">
        <v>208</v>
      </c>
      <c r="I47" s="611" t="str">
        <f>I23</f>
        <v>${p.FamilyName1}, ${p.ManFirstName1}</v>
      </c>
      <c r="J47" s="609" t="s">
        <v>209</v>
      </c>
      <c r="K47" s="614" t="str">
        <f ca="1">"01."&amp;MONTH(TODAY())&amp;".2024"</f>
        <v>01.11.2024</v>
      </c>
      <c r="L47" s="609" t="s">
        <v>210</v>
      </c>
      <c r="M47" s="613" t="s">
        <v>223</v>
      </c>
      <c r="N47" s="609" t="s">
        <v>211</v>
      </c>
      <c r="O47" s="611" t="str">
        <f>"${"&amp;$G$5&amp;"}, ${"&amp;$H$63&amp;"}"</f>
        <v>${p.FamilyName1}, ${p.GirlFirstName1}</v>
      </c>
      <c r="P47" s="609" t="s">
        <v>212</v>
      </c>
      <c r="Q47" s="614"/>
      <c r="R47" s="609" t="s">
        <v>213</v>
      </c>
      <c r="S47" s="611"/>
      <c r="T47" s="611" t="s">
        <v>37</v>
      </c>
      <c r="U47" s="611"/>
      <c r="V47" s="609"/>
      <c r="W47" s="611"/>
      <c r="X47" s="2"/>
      <c r="Y47" s="2"/>
      <c r="Z47" s="2"/>
      <c r="AA47" s="2"/>
      <c r="AB47" s="545"/>
      <c r="AD47" s="2"/>
      <c r="AE47" s="2"/>
      <c r="AF47" s="2"/>
      <c r="AG47" s="165" t="e">
        <f t="shared" si="0"/>
        <v>#DIV/0!</v>
      </c>
      <c r="AH47" s="2"/>
      <c r="AI47" s="165" t="e">
        <f t="shared" si="0"/>
        <v>#DIV/0!</v>
      </c>
      <c r="AJ47" s="2"/>
      <c r="AK47" s="165" t="e">
        <f t="shared" ref="AK47:AQ47" si="51">AJ47/($AC47)</f>
        <v>#DIV/0!</v>
      </c>
      <c r="AL47" s="2"/>
      <c r="AM47" s="165" t="e">
        <f t="shared" si="51"/>
        <v>#DIV/0!</v>
      </c>
      <c r="AN47" s="2"/>
      <c r="AO47" s="165" t="e">
        <f t="shared" si="51"/>
        <v>#DIV/0!</v>
      </c>
      <c r="AP47" s="2"/>
      <c r="AQ47" s="165" t="e">
        <f t="shared" si="51"/>
        <v>#DIV/0!</v>
      </c>
      <c r="AS47" s="165" t="e">
        <f t="shared" si="2"/>
        <v>#DIV/0!</v>
      </c>
      <c r="AU47" s="165" t="e">
        <f t="shared" si="2"/>
        <v>#DIV/0!</v>
      </c>
      <c r="AW47" s="165" t="e">
        <f t="shared" si="2"/>
        <v>#DIV/0!</v>
      </c>
      <c r="AZ47" s="165" t="e">
        <f t="shared" si="3"/>
        <v>#DIV/0!</v>
      </c>
      <c r="BB47" s="165" t="e">
        <f t="shared" si="3"/>
        <v>#DIV/0!</v>
      </c>
    </row>
    <row r="48" spans="1:54" s="53" customFormat="1" ht="15.75" hidden="1" customHeight="1">
      <c r="A48" s="119"/>
      <c r="B48" s="591" t="s">
        <v>22</v>
      </c>
      <c r="C48" s="1205" t="s">
        <v>126</v>
      </c>
      <c r="D48" s="2"/>
      <c r="E48" s="543"/>
      <c r="F48" s="624"/>
      <c r="G48" s="611"/>
      <c r="H48" s="611"/>
      <c r="I48" s="611"/>
      <c r="J48" s="611"/>
      <c r="K48" s="611"/>
      <c r="L48" s="611"/>
      <c r="M48" s="611"/>
      <c r="N48" s="611"/>
      <c r="O48" s="611"/>
      <c r="P48" s="611"/>
      <c r="Q48" s="611"/>
      <c r="R48" s="611"/>
      <c r="S48" s="611"/>
      <c r="T48" s="611"/>
      <c r="U48" s="611"/>
      <c r="V48" s="611"/>
      <c r="W48" s="611"/>
      <c r="X48" s="2"/>
      <c r="Y48" s="2"/>
      <c r="Z48" s="2"/>
      <c r="AA48" s="2"/>
      <c r="AB48" s="2"/>
      <c r="AD48" s="2"/>
      <c r="AE48" s="2"/>
      <c r="AF48" s="2"/>
      <c r="AG48" s="165" t="e">
        <f t="shared" si="0"/>
        <v>#DIV/0!</v>
      </c>
      <c r="AH48" s="2"/>
      <c r="AI48" s="165" t="e">
        <f t="shared" si="0"/>
        <v>#DIV/0!</v>
      </c>
      <c r="AJ48" s="2"/>
      <c r="AK48" s="165" t="e">
        <f t="shared" ref="AK48:AQ48" si="52">AJ48/($AC48)</f>
        <v>#DIV/0!</v>
      </c>
      <c r="AL48" s="2"/>
      <c r="AM48" s="165" t="e">
        <f t="shared" si="52"/>
        <v>#DIV/0!</v>
      </c>
      <c r="AN48" s="2"/>
      <c r="AO48" s="165" t="e">
        <f t="shared" si="52"/>
        <v>#DIV/0!</v>
      </c>
      <c r="AP48" s="2"/>
      <c r="AQ48" s="165" t="e">
        <f t="shared" si="52"/>
        <v>#DIV/0!</v>
      </c>
      <c r="AS48" s="165" t="e">
        <f t="shared" si="2"/>
        <v>#DIV/0!</v>
      </c>
      <c r="AU48" s="165" t="e">
        <f t="shared" si="2"/>
        <v>#DIV/0!</v>
      </c>
      <c r="AW48" s="165" t="e">
        <f t="shared" si="2"/>
        <v>#DIV/0!</v>
      </c>
      <c r="AZ48" s="165" t="e">
        <f t="shared" si="3"/>
        <v>#DIV/0!</v>
      </c>
      <c r="BB48" s="165" t="e">
        <f t="shared" si="3"/>
        <v>#DIV/0!</v>
      </c>
    </row>
    <row r="49" spans="1:108" s="10" customFormat="1" ht="15.75" hidden="1" customHeight="1">
      <c r="A49" s="119"/>
      <c r="B49" s="122" t="s">
        <v>216</v>
      </c>
      <c r="C49" s="121"/>
      <c r="D49" s="2"/>
      <c r="E49" s="12"/>
      <c r="F49" s="609"/>
      <c r="G49" s="611"/>
      <c r="H49" s="609"/>
      <c r="I49" s="611"/>
      <c r="J49" s="609"/>
      <c r="K49" s="611"/>
      <c r="L49" s="609"/>
      <c r="M49" s="613"/>
      <c r="N49" s="609"/>
      <c r="O49" s="609"/>
      <c r="P49" s="609"/>
      <c r="Q49" s="614"/>
      <c r="R49" s="609"/>
      <c r="S49" s="611"/>
      <c r="T49" s="611"/>
      <c r="U49" s="611"/>
      <c r="V49" s="609"/>
      <c r="W49" s="611"/>
      <c r="X49" s="2"/>
      <c r="Y49" s="2"/>
      <c r="Z49" s="2"/>
      <c r="AA49" s="2"/>
      <c r="AB49" s="545"/>
      <c r="AD49" s="2"/>
      <c r="AE49" s="2"/>
      <c r="AF49" s="2"/>
      <c r="AG49" s="165" t="e">
        <f t="shared" si="0"/>
        <v>#DIV/0!</v>
      </c>
      <c r="AH49" s="2"/>
      <c r="AI49" s="165" t="e">
        <f t="shared" si="0"/>
        <v>#DIV/0!</v>
      </c>
      <c r="AJ49" s="2"/>
      <c r="AK49" s="165" t="e">
        <f t="shared" ref="AK49:AQ49" si="53">AJ49/($AC49)</f>
        <v>#DIV/0!</v>
      </c>
      <c r="AL49" s="2"/>
      <c r="AM49" s="165" t="e">
        <f t="shared" si="53"/>
        <v>#DIV/0!</v>
      </c>
      <c r="AN49" s="2"/>
      <c r="AO49" s="165" t="e">
        <f t="shared" si="53"/>
        <v>#DIV/0!</v>
      </c>
      <c r="AP49" s="2"/>
      <c r="AQ49" s="165" t="e">
        <f t="shared" si="53"/>
        <v>#DIV/0!</v>
      </c>
      <c r="AS49" s="165" t="e">
        <f t="shared" si="2"/>
        <v>#DIV/0!</v>
      </c>
      <c r="AU49" s="165" t="e">
        <f t="shared" si="2"/>
        <v>#DIV/0!</v>
      </c>
      <c r="AW49" s="165" t="e">
        <f t="shared" si="2"/>
        <v>#DIV/0!</v>
      </c>
      <c r="AZ49" s="165" t="e">
        <f t="shared" si="3"/>
        <v>#DIV/0!</v>
      </c>
      <c r="BB49" s="165" t="e">
        <f t="shared" si="3"/>
        <v>#DIV/0!</v>
      </c>
    </row>
    <row r="50" spans="1:108" s="53" customFormat="1" ht="15.75" hidden="1" customHeight="1">
      <c r="A50" s="119"/>
      <c r="B50" s="591" t="s">
        <v>22</v>
      </c>
      <c r="C50" s="1205" t="s">
        <v>126</v>
      </c>
      <c r="D50" s="2"/>
      <c r="E50" s="543"/>
      <c r="F50" s="624"/>
      <c r="G50" s="611"/>
      <c r="H50" s="611"/>
      <c r="I50" s="611"/>
      <c r="J50" s="611"/>
      <c r="K50" s="611"/>
      <c r="L50" s="611"/>
      <c r="M50" s="611"/>
      <c r="N50" s="611"/>
      <c r="O50" s="611"/>
      <c r="P50" s="611"/>
      <c r="Q50" s="611"/>
      <c r="R50" s="611"/>
      <c r="S50" s="611"/>
      <c r="T50" s="611"/>
      <c r="U50" s="611"/>
      <c r="V50" s="611"/>
      <c r="W50" s="611"/>
      <c r="X50" s="2"/>
      <c r="Y50" s="2"/>
      <c r="Z50" s="2"/>
      <c r="AA50" s="2"/>
      <c r="AB50" s="2"/>
      <c r="AD50" s="2"/>
      <c r="AE50" s="2"/>
      <c r="AF50" s="2"/>
      <c r="AG50" s="165" t="e">
        <f t="shared" si="0"/>
        <v>#DIV/0!</v>
      </c>
      <c r="AH50" s="2"/>
      <c r="AI50" s="165" t="e">
        <f t="shared" si="0"/>
        <v>#DIV/0!</v>
      </c>
      <c r="AJ50" s="2"/>
      <c r="AK50" s="165" t="e">
        <f t="shared" ref="AK50:AQ50" si="54">AJ50/($AC50)</f>
        <v>#DIV/0!</v>
      </c>
      <c r="AL50" s="2"/>
      <c r="AM50" s="165" t="e">
        <f t="shared" si="54"/>
        <v>#DIV/0!</v>
      </c>
      <c r="AN50" s="2"/>
      <c r="AO50" s="165" t="e">
        <f t="shared" si="54"/>
        <v>#DIV/0!</v>
      </c>
      <c r="AP50" s="2"/>
      <c r="AQ50" s="165" t="e">
        <f t="shared" si="54"/>
        <v>#DIV/0!</v>
      </c>
      <c r="AS50" s="165" t="e">
        <f t="shared" si="2"/>
        <v>#DIV/0!</v>
      </c>
      <c r="AU50" s="165" t="e">
        <f t="shared" si="2"/>
        <v>#DIV/0!</v>
      </c>
      <c r="AW50" s="165" t="e">
        <f t="shared" si="2"/>
        <v>#DIV/0!</v>
      </c>
      <c r="AZ50" s="165" t="e">
        <f t="shared" si="3"/>
        <v>#DIV/0!</v>
      </c>
      <c r="BB50" s="165" t="e">
        <f t="shared" si="3"/>
        <v>#DIV/0!</v>
      </c>
    </row>
    <row r="51" spans="1:108" s="10" customFormat="1" ht="15.75" hidden="1" customHeight="1">
      <c r="A51" s="119"/>
      <c r="B51" s="591" t="s">
        <v>139</v>
      </c>
      <c r="C51" s="595" t="str">
        <f>E51</f>
        <v>{"searchDossierOrKlient":p.DossierName1,"resultType":"Dossiers"}</v>
      </c>
      <c r="D51" s="2"/>
      <c r="E51" s="12" t="str">
        <f>F51&amp;G51&amp;H51&amp;I51&amp;J51&amp;K51&amp;L51&amp;M51&amp;N51&amp;O51&amp;P51&amp;Q51&amp;R51&amp;S51&amp;T51&amp;U51&amp;V51&amp;W51&amp;AA51</f>
        <v>{"searchDossierOrKlient":p.DossierName1,"resultType":"Dossiers"}</v>
      </c>
      <c r="F51" s="609" t="s">
        <v>140</v>
      </c>
      <c r="G51" s="625" t="str">
        <f>'001b'!$G$12</f>
        <v>p.DossierName1</v>
      </c>
      <c r="H51" s="609" t="s">
        <v>141</v>
      </c>
      <c r="I51" s="611" t="s">
        <v>142</v>
      </c>
      <c r="J51" s="609" t="s">
        <v>37</v>
      </c>
      <c r="K51" s="611"/>
      <c r="L51" s="609"/>
      <c r="M51" s="611"/>
      <c r="N51" s="609"/>
      <c r="O51" s="611"/>
      <c r="P51" s="609"/>
      <c r="Q51" s="611"/>
      <c r="R51" s="609"/>
      <c r="S51" s="611"/>
      <c r="T51" s="609"/>
      <c r="U51" s="611"/>
      <c r="V51" s="609"/>
      <c r="W51" s="611"/>
      <c r="X51" s="2"/>
      <c r="Y51" s="2"/>
      <c r="Z51" s="2"/>
      <c r="AA51" s="2"/>
      <c r="AB51" s="2"/>
      <c r="AD51" s="2"/>
      <c r="AE51" s="2"/>
      <c r="AF51" s="2"/>
      <c r="AG51" s="165" t="e">
        <f t="shared" si="0"/>
        <v>#DIV/0!</v>
      </c>
      <c r="AH51" s="2"/>
      <c r="AI51" s="165" t="e">
        <f t="shared" si="0"/>
        <v>#DIV/0!</v>
      </c>
      <c r="AJ51" s="2"/>
      <c r="AK51" s="165" t="e">
        <f t="shared" ref="AK51:AQ51" si="55">AJ51/($AC51)</f>
        <v>#DIV/0!</v>
      </c>
      <c r="AL51" s="2"/>
      <c r="AM51" s="165" t="e">
        <f t="shared" si="55"/>
        <v>#DIV/0!</v>
      </c>
      <c r="AN51" s="2"/>
      <c r="AO51" s="165" t="e">
        <f t="shared" si="55"/>
        <v>#DIV/0!</v>
      </c>
      <c r="AP51" s="2"/>
      <c r="AQ51" s="165" t="e">
        <f t="shared" si="55"/>
        <v>#DIV/0!</v>
      </c>
      <c r="AS51" s="165" t="e">
        <f t="shared" si="2"/>
        <v>#DIV/0!</v>
      </c>
      <c r="AU51" s="165" t="e">
        <f t="shared" si="2"/>
        <v>#DIV/0!</v>
      </c>
      <c r="AW51" s="165" t="e">
        <f t="shared" si="2"/>
        <v>#DIV/0!</v>
      </c>
      <c r="AZ51" s="165" t="e">
        <f t="shared" si="3"/>
        <v>#DIV/0!</v>
      </c>
      <c r="BB51" s="165" t="e">
        <f t="shared" si="3"/>
        <v>#DIV/0!</v>
      </c>
    </row>
    <row r="52" spans="1:108" s="10" customFormat="1" ht="15.75" hidden="1" customHeight="1">
      <c r="A52" s="119"/>
      <c r="B52" s="596" t="s">
        <v>217</v>
      </c>
      <c r="C52" s="595" t="str">
        <f>E52</f>
        <v>{"dossierInstitution":p.DossierName1,"freigegebeneZahlungen":"7"}</v>
      </c>
      <c r="D52" s="2"/>
      <c r="E52" s="12" t="str">
        <f>F52&amp;G52&amp;H52&amp;I52&amp;J52&amp;K52&amp;L52&amp;M52&amp;N52&amp;O52&amp;P52&amp;Q52&amp;R52&amp;S52&amp;T52&amp;U52&amp;V52&amp;W52&amp;AA52</f>
        <v>{"dossierInstitution":p.DossierName1,"freigegebeneZahlungen":"7"}</v>
      </c>
      <c r="F52" s="619" t="s">
        <v>128</v>
      </c>
      <c r="G52" s="625" t="str">
        <f>'001b'!$G$12</f>
        <v>p.DossierName1</v>
      </c>
      <c r="H52" s="609" t="s">
        <v>218</v>
      </c>
      <c r="I52" s="609">
        <v>7</v>
      </c>
      <c r="J52" s="609" t="s">
        <v>37</v>
      </c>
      <c r="K52" s="611"/>
      <c r="L52" s="609"/>
      <c r="M52" s="611"/>
      <c r="N52" s="609"/>
      <c r="O52" s="611"/>
      <c r="P52" s="609"/>
      <c r="Q52" s="611"/>
      <c r="R52" s="609"/>
      <c r="S52" s="611"/>
      <c r="T52" s="609"/>
      <c r="U52" s="611"/>
      <c r="V52" s="609"/>
      <c r="W52" s="611"/>
      <c r="X52" s="2"/>
      <c r="Y52" s="2"/>
      <c r="Z52" s="2"/>
      <c r="AA52" s="2"/>
      <c r="AB52" s="2"/>
      <c r="AD52" s="2"/>
      <c r="AE52" s="2"/>
      <c r="AF52" s="2"/>
      <c r="AG52" s="165" t="e">
        <f t="shared" si="0"/>
        <v>#DIV/0!</v>
      </c>
      <c r="AH52" s="2"/>
      <c r="AI52" s="165" t="e">
        <f t="shared" si="0"/>
        <v>#DIV/0!</v>
      </c>
      <c r="AJ52" s="2"/>
      <c r="AK52" s="165" t="e">
        <f t="shared" ref="AK52:AQ52" si="56">AJ52/($AC52)</f>
        <v>#DIV/0!</v>
      </c>
      <c r="AL52" s="2"/>
      <c r="AM52" s="165" t="e">
        <f t="shared" si="56"/>
        <v>#DIV/0!</v>
      </c>
      <c r="AN52" s="2"/>
      <c r="AO52" s="165" t="e">
        <f t="shared" si="56"/>
        <v>#DIV/0!</v>
      </c>
      <c r="AP52" s="2"/>
      <c r="AQ52" s="165" t="e">
        <f t="shared" si="56"/>
        <v>#DIV/0!</v>
      </c>
      <c r="AS52" s="165" t="e">
        <f t="shared" si="2"/>
        <v>#DIV/0!</v>
      </c>
      <c r="AU52" s="165" t="e">
        <f t="shared" si="2"/>
        <v>#DIV/0!</v>
      </c>
      <c r="AW52" s="165" t="e">
        <f t="shared" si="2"/>
        <v>#DIV/0!</v>
      </c>
      <c r="AZ52" s="165" t="e">
        <f t="shared" si="3"/>
        <v>#DIV/0!</v>
      </c>
      <c r="BB52" s="165" t="e">
        <f t="shared" si="3"/>
        <v>#DIV/0!</v>
      </c>
    </row>
    <row r="53" spans="1:108" s="10" customFormat="1" ht="20.25" customHeight="1" thickBot="1">
      <c r="A53" s="116"/>
      <c r="B53" s="591" t="s">
        <v>139</v>
      </c>
      <c r="C53" s="595" t="str">
        <f>E53</f>
        <v>{"searchDossierOrKlient":p.DossierName1,"resultType":"Dossiers"}</v>
      </c>
      <c r="D53" s="2"/>
      <c r="E53" s="12" t="str">
        <f>F53&amp;G53&amp;H53&amp;I53&amp;J53&amp;K53&amp;L53&amp;M53&amp;N53&amp;O53&amp;P53&amp;Q53&amp;R53&amp;S53&amp;T53&amp;U53&amp;V53&amp;W53&amp;AA53</f>
        <v>{"searchDossierOrKlient":p.DossierName1,"resultType":"Dossiers"}</v>
      </c>
      <c r="F53" s="609" t="s">
        <v>140</v>
      </c>
      <c r="G53" s="625" t="str">
        <f>'001b'!$G$12</f>
        <v>p.DossierName1</v>
      </c>
      <c r="H53" s="609" t="s">
        <v>141</v>
      </c>
      <c r="I53" s="611" t="s">
        <v>142</v>
      </c>
      <c r="J53" s="609" t="s">
        <v>37</v>
      </c>
      <c r="K53" s="611"/>
      <c r="L53" s="609"/>
      <c r="M53" s="611"/>
      <c r="N53" s="609"/>
      <c r="O53" s="611"/>
      <c r="P53" s="609"/>
      <c r="Q53" s="611"/>
      <c r="R53" s="609"/>
      <c r="S53" s="611"/>
      <c r="T53" s="609"/>
      <c r="U53" s="611"/>
      <c r="V53" s="609"/>
      <c r="W53" s="611"/>
      <c r="X53" s="2"/>
      <c r="Y53" s="2"/>
      <c r="Z53" s="2"/>
      <c r="AA53" s="2"/>
      <c r="AB53" s="2"/>
      <c r="AC53" s="3">
        <v>11650</v>
      </c>
      <c r="AD53" s="2"/>
      <c r="AE53" s="2"/>
      <c r="AF53" s="3">
        <v>11466</v>
      </c>
      <c r="AG53" s="165">
        <f t="shared" si="0"/>
        <v>0.98420600858369101</v>
      </c>
      <c r="AH53" s="3">
        <v>0</v>
      </c>
      <c r="AI53" s="165">
        <f t="shared" si="0"/>
        <v>0</v>
      </c>
      <c r="AJ53" s="3">
        <v>11093</v>
      </c>
      <c r="AK53" s="165">
        <f t="shared" ref="AK53:AQ53" si="57">AJ53/($AC53)</f>
        <v>0.95218884120171676</v>
      </c>
      <c r="AL53" s="2">
        <v>11101</v>
      </c>
      <c r="AM53" s="165">
        <f t="shared" si="57"/>
        <v>0.95287553648068668</v>
      </c>
      <c r="AN53" s="2">
        <v>11032</v>
      </c>
      <c r="AO53" s="165">
        <f t="shared" si="57"/>
        <v>0.94695278969957086</v>
      </c>
      <c r="AP53" s="2">
        <v>11003</v>
      </c>
      <c r="AQ53" s="165">
        <f t="shared" si="57"/>
        <v>0.94446351931330474</v>
      </c>
      <c r="AR53" s="2">
        <v>4831</v>
      </c>
      <c r="AS53" s="165">
        <f t="shared" si="2"/>
        <v>0.41467811158798284</v>
      </c>
      <c r="AT53" s="2">
        <v>4918</v>
      </c>
      <c r="AU53" s="165">
        <f t="shared" si="2"/>
        <v>0.42214592274678109</v>
      </c>
      <c r="AV53" s="2">
        <v>5167</v>
      </c>
      <c r="AW53" s="165">
        <f t="shared" si="2"/>
        <v>0.44351931330472105</v>
      </c>
      <c r="AY53" s="10">
        <v>5339</v>
      </c>
      <c r="AZ53" s="165">
        <f t="shared" si="3"/>
        <v>0.45828326180257511</v>
      </c>
      <c r="BA53" s="10">
        <v>5307</v>
      </c>
      <c r="BB53" s="165">
        <f t="shared" si="3"/>
        <v>0.45553648068669528</v>
      </c>
      <c r="BC53" s="10">
        <v>5393</v>
      </c>
      <c r="BE53" s="10">
        <v>5359</v>
      </c>
      <c r="BG53" s="10">
        <v>5402</v>
      </c>
      <c r="BI53" s="10">
        <v>5331</v>
      </c>
      <c r="BK53" s="10">
        <v>5378</v>
      </c>
      <c r="BM53" s="10">
        <v>5365</v>
      </c>
      <c r="BO53" s="10">
        <v>5242</v>
      </c>
      <c r="BQ53" s="10">
        <v>5187</v>
      </c>
      <c r="BS53" s="10">
        <v>2370</v>
      </c>
      <c r="BU53" s="10">
        <v>2240</v>
      </c>
      <c r="BW53" s="10">
        <v>2812</v>
      </c>
      <c r="BY53" s="10">
        <v>5291</v>
      </c>
      <c r="CC53" s="10">
        <v>4342</v>
      </c>
      <c r="CE53" s="10">
        <v>4031</v>
      </c>
      <c r="CG53" s="10">
        <v>4205</v>
      </c>
      <c r="CI53" s="10">
        <v>6309</v>
      </c>
      <c r="CK53" s="10">
        <v>5266</v>
      </c>
      <c r="CM53" s="10">
        <v>6345</v>
      </c>
      <c r="CO53" s="10">
        <v>8142</v>
      </c>
      <c r="CQ53" s="10">
        <v>4484</v>
      </c>
      <c r="CS53" s="10">
        <v>6057</v>
      </c>
      <c r="CU53" s="10">
        <v>4958</v>
      </c>
      <c r="CW53" s="10">
        <v>4652</v>
      </c>
      <c r="CY53" s="10">
        <v>4558</v>
      </c>
    </row>
    <row r="54" spans="1:108" s="10" customFormat="1" ht="47.25" customHeight="1" thickBot="1">
      <c r="A54" s="1">
        <v>6</v>
      </c>
      <c r="B54" s="135" t="s">
        <v>221</v>
      </c>
      <c r="C54" s="89" t="str">
        <f ca="1">E54</f>
        <v>{"bisValutaDatum":"31.12.2026","dossier":p.DossierName1,"checkZahlungTotal":"CHF 9’146.00","buchhaltung":`Regionaler Sozialdienst "Bern"`,"zustGemeinde":""}</v>
      </c>
      <c r="D54" s="90"/>
      <c r="E54" s="91" t="str">
        <f ca="1">F54&amp;G54&amp;H54&amp;I54&amp;J54&amp;K54&amp;L54&amp;M54&amp;N54&amp;O54&amp;P54&amp;Q54&amp;R54&amp;S54&amp;T54&amp;U54&amp;V54&amp;W54&amp;AA54</f>
        <v>{"bisValutaDatum":"31.12.2026","dossier":p.DossierName1,"checkZahlungTotal":"CHF 9’146.00","buchhaltung":`Regionaler Sozialdienst "Bern"`,"zustGemeinde":""}</v>
      </c>
      <c r="F54" s="609" t="s">
        <v>222</v>
      </c>
      <c r="G54" s="657" t="str">
        <f ca="1">"31.12."&amp;YEAR(TODAY())+1</f>
        <v>31.12.2026</v>
      </c>
      <c r="H54" s="609" t="s">
        <v>224</v>
      </c>
      <c r="I54" s="614" t="str">
        <f>G51</f>
        <v>p.DossierName1</v>
      </c>
      <c r="J54" s="609" t="s">
        <v>279</v>
      </c>
      <c r="K54" s="542" t="s">
        <v>1747</v>
      </c>
      <c r="L54" s="609" t="s">
        <v>1310</v>
      </c>
      <c r="M54" s="611" t="s">
        <v>227</v>
      </c>
      <c r="N54" s="609" t="s">
        <v>228</v>
      </c>
      <c r="O54" s="611"/>
      <c r="P54" s="609" t="s">
        <v>37</v>
      </c>
      <c r="Q54" s="611"/>
      <c r="R54" s="609"/>
      <c r="S54" s="611"/>
      <c r="T54" s="609"/>
      <c r="U54" s="611"/>
      <c r="V54" s="609"/>
      <c r="W54" s="611"/>
      <c r="X54" s="90"/>
      <c r="Y54" s="90"/>
      <c r="Z54" s="90"/>
      <c r="AA54" s="90"/>
      <c r="AB54" s="90"/>
      <c r="AC54" s="155">
        <v>0</v>
      </c>
      <c r="AD54" s="2"/>
      <c r="AE54" s="2"/>
      <c r="AF54" s="162">
        <v>0</v>
      </c>
      <c r="AG54" s="156" t="e">
        <f t="shared" si="0"/>
        <v>#DIV/0!</v>
      </c>
      <c r="AH54" s="90"/>
      <c r="AI54" s="156" t="e">
        <f t="shared" si="0"/>
        <v>#DIV/0!</v>
      </c>
      <c r="AJ54" s="162">
        <v>0</v>
      </c>
      <c r="AK54" s="156" t="e">
        <f t="shared" ref="AK54:AQ54" si="58">AJ54/($AC54)</f>
        <v>#DIV/0!</v>
      </c>
      <c r="AL54" s="90">
        <v>0</v>
      </c>
      <c r="AM54" s="156" t="e">
        <f t="shared" si="58"/>
        <v>#DIV/0!</v>
      </c>
      <c r="AN54" s="90">
        <v>0</v>
      </c>
      <c r="AO54" s="156" t="e">
        <f t="shared" si="58"/>
        <v>#DIV/0!</v>
      </c>
      <c r="AP54" s="90">
        <v>0</v>
      </c>
      <c r="AQ54" s="156" t="e">
        <f t="shared" si="58"/>
        <v>#DIV/0!</v>
      </c>
      <c r="AR54" s="2">
        <v>7927</v>
      </c>
      <c r="AS54" s="156" t="e">
        <f t="shared" si="2"/>
        <v>#DIV/0!</v>
      </c>
      <c r="AT54" s="2">
        <v>7564</v>
      </c>
      <c r="AU54" s="156" t="e">
        <f t="shared" si="2"/>
        <v>#DIV/0!</v>
      </c>
      <c r="AV54" s="2">
        <v>0</v>
      </c>
      <c r="AW54" s="156" t="e">
        <f t="shared" si="2"/>
        <v>#DIV/0!</v>
      </c>
      <c r="AY54" s="490">
        <v>0</v>
      </c>
      <c r="AZ54" s="156" t="e">
        <f t="shared" si="3"/>
        <v>#DIV/0!</v>
      </c>
      <c r="BA54" s="10">
        <v>9725</v>
      </c>
      <c r="BB54" s="156" t="e">
        <f t="shared" si="3"/>
        <v>#DIV/0!</v>
      </c>
      <c r="BC54" s="10">
        <v>8093</v>
      </c>
      <c r="BE54" s="10">
        <v>7719</v>
      </c>
      <c r="BG54" s="10">
        <v>7452</v>
      </c>
      <c r="BI54" s="10">
        <v>7525</v>
      </c>
      <c r="BK54" s="10">
        <v>7142</v>
      </c>
      <c r="BM54" s="10">
        <v>7093</v>
      </c>
      <c r="BO54" s="10">
        <v>8080</v>
      </c>
      <c r="BQ54" s="10">
        <v>7859</v>
      </c>
      <c r="BS54" s="10">
        <v>8039</v>
      </c>
      <c r="BU54" s="10">
        <v>7063</v>
      </c>
      <c r="BW54" s="10">
        <v>6935</v>
      </c>
      <c r="BY54" s="1930">
        <v>0</v>
      </c>
      <c r="BZ54" s="1931" t="s">
        <v>1376</v>
      </c>
      <c r="CC54" s="1992">
        <v>0</v>
      </c>
      <c r="CD54" s="1993" t="s">
        <v>1390</v>
      </c>
      <c r="CE54" s="2005">
        <v>0</v>
      </c>
      <c r="CF54" s="2006" t="s">
        <v>1393</v>
      </c>
      <c r="CG54" s="2014">
        <v>0</v>
      </c>
      <c r="CH54" s="2015" t="s">
        <v>1395</v>
      </c>
      <c r="CI54" s="2041">
        <v>0</v>
      </c>
      <c r="CJ54" s="2042" t="s">
        <v>1398</v>
      </c>
      <c r="CK54" s="2237">
        <v>0</v>
      </c>
      <c r="CL54" s="2238" t="s">
        <v>1422</v>
      </c>
      <c r="CM54" s="10">
        <v>11757</v>
      </c>
      <c r="CO54" s="2564">
        <v>0</v>
      </c>
      <c r="CP54" s="2565" t="s">
        <v>1443</v>
      </c>
      <c r="CQ54" s="10">
        <v>9024</v>
      </c>
      <c r="CS54" s="2912">
        <v>0</v>
      </c>
      <c r="CT54" s="2913" t="s">
        <v>1504</v>
      </c>
      <c r="CU54" s="3102">
        <v>0</v>
      </c>
      <c r="CV54" s="3103" t="s">
        <v>1504</v>
      </c>
      <c r="CW54" s="3284">
        <v>0</v>
      </c>
      <c r="CX54" s="3285" t="s">
        <v>1504</v>
      </c>
      <c r="CY54" s="3456">
        <v>0</v>
      </c>
      <c r="CZ54" s="3457" t="s">
        <v>1521</v>
      </c>
      <c r="DA54" s="3742">
        <v>0</v>
      </c>
      <c r="DB54" s="3743" t="s">
        <v>1668</v>
      </c>
      <c r="DC54" s="3967">
        <v>0</v>
      </c>
      <c r="DD54" s="3968" t="s">
        <v>1719</v>
      </c>
    </row>
    <row r="55" spans="1:108" s="10" customFormat="1" ht="26.25" customHeight="1" thickBot="1">
      <c r="A55" s="1"/>
      <c r="B55" s="164" t="s">
        <v>229</v>
      </c>
      <c r="C55" s="38" t="str">
        <f>E55</f>
        <v>{"dossier":p.DossierName1,"ausgefuehrteZahlungen":"7"}CHF 9’146.00</v>
      </c>
      <c r="D55" s="38"/>
      <c r="E55" s="91" t="str">
        <f>F55&amp;G55&amp;H55&amp;I55&amp;J55&amp;K55&amp;L55&amp;M55&amp;N55&amp;O55&amp;P55&amp;Q55&amp;R55&amp;S55&amp;T55&amp;U55&amp;V55&amp;W55</f>
        <v>{"dossier":p.DossierName1,"ausgefuehrteZahlungen":"7"}CHF 9’146.00</v>
      </c>
      <c r="F55" s="624" t="s">
        <v>159</v>
      </c>
      <c r="G55" s="625" t="str">
        <f>G61</f>
        <v>p.DossierName1</v>
      </c>
      <c r="H55" s="624" t="s">
        <v>230</v>
      </c>
      <c r="I55" s="609">
        <v>7</v>
      </c>
      <c r="J55" s="624" t="s">
        <v>37</v>
      </c>
      <c r="K55" s="3668" t="s">
        <v>1746</v>
      </c>
      <c r="L55" s="624"/>
      <c r="M55" s="624"/>
      <c r="N55" s="624"/>
      <c r="O55" s="625"/>
      <c r="P55" s="624"/>
      <c r="Q55" s="624"/>
      <c r="R55" s="624"/>
      <c r="S55" s="624"/>
      <c r="T55" s="624"/>
      <c r="U55" s="624"/>
      <c r="V55" s="624"/>
      <c r="W55" s="624"/>
      <c r="X55" s="3"/>
      <c r="Y55" s="3"/>
      <c r="Z55" s="3"/>
      <c r="AA55" s="3"/>
      <c r="AB55" s="2"/>
      <c r="AC55" s="3">
        <v>0</v>
      </c>
      <c r="AD55" s="2"/>
      <c r="AE55" s="2"/>
      <c r="AF55" s="3">
        <v>0</v>
      </c>
      <c r="AG55" s="165"/>
      <c r="AH55" s="2"/>
      <c r="AI55" s="165"/>
      <c r="AJ55" s="2"/>
      <c r="AK55" s="165"/>
      <c r="AL55" s="2"/>
      <c r="AM55" s="165"/>
      <c r="AN55" s="2"/>
      <c r="AO55" s="165"/>
      <c r="AP55" s="2"/>
      <c r="AQ55" s="165"/>
      <c r="AR55" s="2">
        <v>6965</v>
      </c>
      <c r="AS55" s="165"/>
      <c r="AT55" s="2">
        <v>7030</v>
      </c>
      <c r="AU55" s="165"/>
      <c r="AV55" s="2">
        <v>6301</v>
      </c>
      <c r="AW55" s="165"/>
      <c r="AY55" s="10">
        <v>6485</v>
      </c>
      <c r="AZ55" s="165"/>
      <c r="BA55" s="10">
        <v>7136</v>
      </c>
      <c r="BB55" s="165"/>
    </row>
    <row r="56" spans="1:108" ht="15.75" customHeight="1">
      <c r="B56" s="166"/>
      <c r="C56" s="38"/>
      <c r="E56" s="2"/>
      <c r="K56" s="609"/>
      <c r="AD56" s="2"/>
      <c r="AE56" s="2"/>
      <c r="AG56" s="165"/>
      <c r="AI56" s="165"/>
      <c r="AK56" s="165"/>
      <c r="AM56" s="165"/>
      <c r="AO56" s="165"/>
      <c r="AQ56" s="165"/>
      <c r="AS56" s="165"/>
      <c r="AU56" s="165"/>
      <c r="AW56" s="165"/>
      <c r="AZ56" s="165"/>
      <c r="BB56" s="165"/>
    </row>
    <row r="57" spans="1:108" ht="15.75" customHeight="1">
      <c r="B57" s="24" t="s">
        <v>231</v>
      </c>
      <c r="C57" s="38"/>
      <c r="E57" s="2"/>
      <c r="K57" s="542" t="s">
        <v>1515</v>
      </c>
      <c r="AD57" s="2"/>
      <c r="AE57" s="2"/>
      <c r="AG57" s="165"/>
      <c r="AI57" s="165"/>
      <c r="AK57" s="165"/>
      <c r="AM57" s="165"/>
      <c r="AO57" s="165"/>
      <c r="AQ57" s="165"/>
      <c r="AS57" s="165"/>
      <c r="AU57" s="165"/>
      <c r="AW57" s="165"/>
      <c r="AZ57" s="165"/>
      <c r="BB57" s="165"/>
    </row>
    <row r="58" spans="1:108" ht="15.75" customHeight="1">
      <c r="B58" s="3" t="s">
        <v>233</v>
      </c>
      <c r="C58" s="38"/>
      <c r="E58" s="2"/>
      <c r="K58" t="s">
        <v>1514</v>
      </c>
      <c r="AD58" s="2"/>
      <c r="AE58" s="2"/>
      <c r="AG58" s="165"/>
      <c r="AI58" s="165"/>
      <c r="AK58" s="165"/>
      <c r="AM58" s="165"/>
      <c r="AO58" s="165"/>
      <c r="AQ58" s="165"/>
      <c r="AS58" s="165"/>
      <c r="AU58" s="165"/>
      <c r="AW58" s="165"/>
      <c r="AZ58" s="165"/>
      <c r="BB58" s="165"/>
    </row>
    <row r="59" spans="1:108" ht="15.75" customHeight="1">
      <c r="B59" s="3" t="s">
        <v>234</v>
      </c>
      <c r="C59" s="38"/>
      <c r="E59" s="2"/>
      <c r="K59" s="542" t="s">
        <v>1554</v>
      </c>
      <c r="AD59" s="2"/>
      <c r="AE59" s="2"/>
    </row>
    <row r="60" spans="1:108" ht="15.75" customHeight="1">
      <c r="B60" s="166" t="s">
        <v>235</v>
      </c>
      <c r="C60" s="38"/>
      <c r="E60" s="2"/>
      <c r="AD60" s="2"/>
      <c r="AE60" s="2"/>
    </row>
    <row r="61" spans="1:108" ht="15.75" customHeight="1">
      <c r="B61" s="3" t="s">
        <v>233</v>
      </c>
      <c r="C61" s="38"/>
      <c r="E61" s="2"/>
      <c r="F61" s="609" t="s">
        <v>236</v>
      </c>
      <c r="G61" s="624" t="str">
        <f>"p.DossierName"&amp;G66</f>
        <v>p.DossierName1</v>
      </c>
      <c r="H61" s="611" t="str">
        <f>"p.ManFirstName"&amp;G66</f>
        <v>p.ManFirstName1</v>
      </c>
      <c r="I61" s="611" t="str">
        <f>"p.AHVNumber"&amp;G68</f>
        <v>p.AHVNumber1</v>
      </c>
      <c r="J61" s="614" t="str">
        <f>"p.BirthdayAdult"&amp;G66</f>
        <v>p.BirthdayAdult1</v>
      </c>
      <c r="AD61" s="2"/>
      <c r="AE61" s="2"/>
    </row>
    <row r="62" spans="1:108" ht="15.75" customHeight="1">
      <c r="C62" s="38"/>
      <c r="E62" s="2"/>
      <c r="F62" s="609" t="s">
        <v>237</v>
      </c>
      <c r="G62" s="624" t="str">
        <f>"p.FamilyName"&amp;G66</f>
        <v>p.FamilyName1</v>
      </c>
      <c r="H62" s="611" t="str">
        <f>"p.WomanFirstName"&amp;G66</f>
        <v>p.WomanFirstName1</v>
      </c>
      <c r="I62" s="611" t="str">
        <f>"p.AHVNumber"&amp;G68+1</f>
        <v>p.AHVNumber2</v>
      </c>
      <c r="J62" s="614" t="str">
        <f>"p.BirthdayAdult"&amp;G67</f>
        <v>p.BirthdayAdult2</v>
      </c>
      <c r="AD62" s="2"/>
      <c r="AE62" s="2"/>
    </row>
    <row r="63" spans="1:108" ht="15.75" customHeight="1">
      <c r="B63" s="167" t="s">
        <v>1328</v>
      </c>
      <c r="C63" s="3"/>
      <c r="E63" s="2"/>
      <c r="F63" s="609" t="s">
        <v>238</v>
      </c>
      <c r="G63" s="624" t="str">
        <f>G62</f>
        <v>p.FamilyName1</v>
      </c>
      <c r="H63" s="611" t="str">
        <f>"p.GirlFirstName"&amp;G66</f>
        <v>p.GirlFirstName1</v>
      </c>
      <c r="I63" s="611" t="str">
        <f>"p.AHVNumber"&amp;G68+2</f>
        <v>p.AHVNumber3</v>
      </c>
      <c r="J63" s="614" t="str">
        <f>"p.BirthdayKid"&amp;G66</f>
        <v>p.BirthdayKid1</v>
      </c>
      <c r="AD63" s="2"/>
      <c r="AE63" s="2"/>
    </row>
    <row r="64" spans="1:108" ht="15.75" customHeight="1">
      <c r="C64" s="3"/>
      <c r="E64" s="2"/>
      <c r="H64" s="611" t="str">
        <f>"p.ManFirstName"&amp;G67</f>
        <v>p.ManFirstName2</v>
      </c>
      <c r="I64" s="611" t="str">
        <f>"p.AHVNumber"&amp;G68+3</f>
        <v>p.AHVNumber4</v>
      </c>
      <c r="J64" s="614" t="str">
        <f>"p.BirthdayKid"&amp;G67</f>
        <v>p.BirthdayKid2</v>
      </c>
      <c r="AD64" s="2"/>
      <c r="AE64" s="2"/>
    </row>
    <row r="65" spans="3:31" ht="15" customHeight="1">
      <c r="C65" s="3"/>
      <c r="E65" s="2"/>
      <c r="AD65" s="2"/>
      <c r="AE65" s="2"/>
    </row>
    <row r="66" spans="3:31" ht="15.75" customHeight="1">
      <c r="C66" s="3"/>
      <c r="E66" s="2"/>
      <c r="G66" s="609">
        <v>1</v>
      </c>
      <c r="AD66" s="2"/>
      <c r="AE66" s="2"/>
    </row>
    <row r="67" spans="3:31" ht="15.75" customHeight="1">
      <c r="C67" s="3"/>
      <c r="E67" s="2"/>
      <c r="G67" s="624">
        <f>G66+1</f>
        <v>2</v>
      </c>
      <c r="AD67" s="2"/>
      <c r="AE67" s="2"/>
    </row>
    <row r="68" spans="3:31" ht="15.75" customHeight="1">
      <c r="C68" s="3"/>
      <c r="E68" s="2"/>
      <c r="G68" s="624">
        <f>G66*4-4+1</f>
        <v>1</v>
      </c>
      <c r="AD68" s="2"/>
      <c r="AE68" s="2"/>
    </row>
    <row r="69" spans="3:31" ht="15" customHeight="1">
      <c r="C69" s="3"/>
      <c r="E69" s="2"/>
      <c r="AD69" s="2"/>
      <c r="AE69" s="2"/>
    </row>
    <row r="70" spans="3:31" ht="15" customHeight="1">
      <c r="C70" s="3"/>
      <c r="E70" s="2"/>
      <c r="AD70" s="2"/>
      <c r="AE70" s="2"/>
    </row>
    <row r="71" spans="3:31" ht="15" customHeight="1">
      <c r="C71" s="3"/>
      <c r="E71" s="2"/>
      <c r="AE71" s="2"/>
    </row>
    <row r="72" spans="3:31" ht="15.75" customHeight="1">
      <c r="C72" s="3"/>
      <c r="E72" s="2"/>
      <c r="AE72" s="2"/>
    </row>
    <row r="73" spans="3:31" ht="15.75" customHeight="1">
      <c r="C73" s="3"/>
    </row>
  </sheetData>
  <conditionalFormatting sqref="AG2:AG143 AI2:AI143 AK2:AK143 AM2:AM143 AO2:AO143 AQ2:AQ143 AS2:AS143">
    <cfRule type="colorScale" priority="1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U2:AU143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W2:AW143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2:AZ143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143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K7" r:id="rId1" xr:uid="{00000000-0004-0000-0200-000000000000}"/>
    <hyperlink ref="G14" r:id="rId2" xr:uid="{00000000-0004-0000-0200-000001000000}"/>
    <hyperlink ref="I14" r:id="rId3" xr:uid="{00000000-0004-0000-0200-000002000000}"/>
    <hyperlink ref="G16" r:id="rId4" xr:uid="{00000000-0004-0000-0200-000003000000}"/>
    <hyperlink ref="I16" r:id="rId5" xr:uid="{00000000-0004-0000-0200-000004000000}"/>
    <hyperlink ref="G32" r:id="rId6" xr:uid="{00000000-0004-0000-0200-000005000000}"/>
    <hyperlink ref="I32" r:id="rId7" xr:uid="{00000000-0004-0000-0200-000006000000}"/>
    <hyperlink ref="G35" r:id="rId8" xr:uid="{00000000-0004-0000-0200-000007000000}"/>
    <hyperlink ref="I35" r:id="rId9" xr:uid="{00000000-0004-0000-0200-000008000000}"/>
    <hyperlink ref="G38" r:id="rId10" xr:uid="{00000000-0004-0000-0200-000009000000}"/>
    <hyperlink ref="I38" r:id="rId11" xr:uid="{00000000-0004-0000-0200-00000A000000}"/>
  </hyperlinks>
  <pageMargins left="0.7" right="0.7" top="0.75" bottom="0.75" header="0.3" footer="0.3"/>
  <pageSetup paperSize="9" orientation="portrait" useFirstPageNumber="1" horizontalDpi="4294967295" verticalDpi="4294967295" r:id="rId12"/>
  <legacy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DP124"/>
  <sheetViews>
    <sheetView zoomScale="85" zoomScaleNormal="85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B53" sqref="B53"/>
    </sheetView>
  </sheetViews>
  <sheetFormatPr defaultColWidth="9.140625" defaultRowHeight="15.75" customHeight="1"/>
  <cols>
    <col min="1" max="1" width="9.140625" style="1" customWidth="1"/>
    <col min="2" max="2" width="86.140625" style="2" customWidth="1"/>
    <col min="3" max="3" width="157.28515625" style="12" customWidth="1"/>
    <col min="4" max="4" width="7.140625" style="2" customWidth="1"/>
    <col min="5" max="5" width="9.7109375" style="12" customWidth="1"/>
    <col min="6" max="6" width="30" style="609" customWidth="1"/>
    <col min="7" max="7" width="32.28515625" style="611" customWidth="1"/>
    <col min="8" max="8" width="22" style="609" customWidth="1"/>
    <col min="9" max="9" width="42.140625" style="611" customWidth="1"/>
    <col min="10" max="10" width="10.5703125" style="609" customWidth="1"/>
    <col min="11" max="11" width="23.5703125" style="611" customWidth="1"/>
    <col min="12" max="12" width="9.28515625" style="609" customWidth="1"/>
    <col min="13" max="13" width="24.42578125" style="611" customWidth="1"/>
    <col min="14" max="14" width="9.140625" style="609" customWidth="1"/>
    <col min="15" max="15" width="36.85546875" style="611" customWidth="1"/>
    <col min="16" max="16" width="9.140625" style="609" customWidth="1"/>
    <col min="17" max="17" width="16.140625" style="611" customWidth="1"/>
    <col min="18" max="18" width="9.140625" style="609" customWidth="1"/>
    <col min="19" max="19" width="9.140625" style="611" customWidth="1"/>
    <col min="20" max="20" width="9.140625" style="609" customWidth="1"/>
    <col min="21" max="21" width="9.140625" style="611" customWidth="1"/>
    <col min="22" max="22" width="9.140625" style="609" customWidth="1"/>
    <col min="23" max="23" width="9.140625" style="611" customWidth="1"/>
    <col min="24" max="34" width="9.140625" style="2" customWidth="1"/>
    <col min="35" max="35" width="10" style="2" customWidth="1"/>
    <col min="36" max="36" width="10" style="3" customWidth="1"/>
    <col min="37" max="37" width="5.85546875" style="12" customWidth="1"/>
    <col min="38" max="38" width="10" style="3" customWidth="1"/>
    <col min="39" max="39" width="5.85546875" style="12" customWidth="1"/>
    <col min="40" max="40" width="10" style="3" customWidth="1"/>
    <col min="41" max="41" width="5.85546875" style="12" customWidth="1"/>
    <col min="42" max="42" width="10" style="3" customWidth="1"/>
    <col min="43" max="43" width="5.85546875" style="12" customWidth="1"/>
    <col min="44" max="44" width="10" style="3" customWidth="1"/>
    <col min="45" max="45" width="5.85546875" style="12" customWidth="1"/>
    <col min="46" max="46" width="11.28515625" style="3" customWidth="1"/>
    <col min="47" max="47" width="5.85546875" style="12" customWidth="1"/>
    <col min="48" max="48" width="11.140625" style="3" customWidth="1"/>
    <col min="49" max="49" width="5.85546875" style="12" customWidth="1"/>
    <col min="50" max="50" width="11.5703125" style="3" customWidth="1"/>
    <col min="51" max="51" width="6" style="12" customWidth="1"/>
    <col min="52" max="52" width="6" style="3" customWidth="1"/>
    <col min="53" max="53" width="6" style="12" customWidth="1"/>
    <col min="54" max="54" width="6" style="2" customWidth="1"/>
    <col min="55" max="55" width="6" style="12" customWidth="1"/>
    <col min="56" max="56" width="6" style="2" customWidth="1"/>
    <col min="57" max="57" width="6" style="12" customWidth="1"/>
    <col min="58" max="58" width="6" style="2" customWidth="1"/>
    <col min="59" max="59" width="6" style="12" customWidth="1"/>
    <col min="60" max="60" width="6" style="2" customWidth="1"/>
    <col min="61" max="61" width="6" style="12" customWidth="1"/>
    <col min="62" max="62" width="6" style="2" customWidth="1"/>
    <col min="63" max="63" width="6" style="12" customWidth="1"/>
    <col min="64" max="65" width="6" style="2" customWidth="1"/>
    <col min="66" max="66" width="6" style="12" customWidth="1"/>
    <col min="67" max="67" width="6" style="2" customWidth="1"/>
    <col min="68" max="68" width="6" style="12" customWidth="1"/>
    <col min="69" max="69" width="6" style="2" customWidth="1"/>
    <col min="70" max="70" width="6" style="12" customWidth="1"/>
    <col min="71" max="71" width="6" style="2" customWidth="1"/>
    <col min="72" max="72" width="6" style="12" customWidth="1"/>
    <col min="73" max="73" width="6" style="2" customWidth="1"/>
    <col min="74" max="74" width="6" style="12" customWidth="1"/>
    <col min="75" max="75" width="6.7109375" style="2" customWidth="1"/>
    <col min="76" max="76" width="6.7109375" style="12" customWidth="1"/>
    <col min="77" max="77" width="6.7109375" style="2" customWidth="1"/>
    <col min="78" max="78" width="6.7109375" style="12" customWidth="1"/>
    <col min="79" max="79" width="6.7109375" style="2" customWidth="1"/>
    <col min="80" max="80" width="6.7109375" style="12" customWidth="1"/>
    <col min="81" max="81" width="6.7109375" style="2" customWidth="1"/>
    <col min="82" max="82" width="6.7109375" style="12" customWidth="1"/>
    <col min="83" max="83" width="6.7109375" style="2" customWidth="1"/>
    <col min="84" max="84" width="6.7109375" style="12" customWidth="1"/>
    <col min="85" max="85" width="8.28515625" style="2" customWidth="1"/>
    <col min="86" max="86" width="6.7109375" style="12" customWidth="1"/>
    <col min="87" max="87" width="20" style="2" customWidth="1"/>
    <col min="88" max="88" width="6.7109375" style="12" customWidth="1"/>
    <col min="89" max="89" width="20" style="2" customWidth="1"/>
    <col min="90" max="90" width="6.7109375" style="12" customWidth="1"/>
    <col min="91" max="91" width="20" style="2" customWidth="1"/>
    <col min="92" max="92" width="6.7109375" style="12" customWidth="1"/>
    <col min="93" max="93" width="20" style="2" customWidth="1"/>
    <col min="94" max="94" width="6.7109375" style="12" customWidth="1"/>
    <col min="95" max="95" width="20" style="2" customWidth="1"/>
    <col min="96" max="96" width="6.7109375" style="12" customWidth="1"/>
    <col min="97" max="97" width="20" style="2" customWidth="1"/>
    <col min="98" max="98" width="6.7109375" style="12" customWidth="1"/>
    <col min="99" max="99" width="20" style="2" customWidth="1"/>
    <col min="100" max="100" width="6.7109375" style="12" customWidth="1"/>
    <col min="101" max="101" width="20" style="2" customWidth="1"/>
    <col min="102" max="102" width="6.7109375" style="12" customWidth="1"/>
    <col min="103" max="103" width="20" style="2" customWidth="1"/>
    <col min="104" max="104" width="6.7109375" style="12" customWidth="1"/>
    <col min="105" max="105" width="20" style="2" customWidth="1"/>
    <col min="106" max="106" width="6.7109375" style="12" customWidth="1"/>
    <col min="107" max="107" width="20" style="2" customWidth="1"/>
    <col min="108" max="108" width="50" style="2" customWidth="1"/>
    <col min="109" max="109" width="20" style="2" customWidth="1"/>
    <col min="110" max="110" width="50" style="2" customWidth="1"/>
    <col min="111" max="111" width="20" style="2" customWidth="1"/>
    <col min="112" max="112" width="50" style="2" customWidth="1"/>
    <col min="113" max="113" width="20" style="2" customWidth="1"/>
    <col min="114" max="114" width="50" style="2" customWidth="1"/>
    <col min="115" max="115" width="20" style="2" customWidth="1"/>
    <col min="116" max="116" width="50" style="2" customWidth="1"/>
    <col min="117" max="117" width="20" style="2" customWidth="1"/>
    <col min="118" max="118" width="50" style="2" customWidth="1"/>
    <col min="119" max="119" width="20" style="2" customWidth="1"/>
    <col min="120" max="120" width="50" style="2" customWidth="1"/>
    <col min="121" max="16384" width="9.140625" style="2"/>
  </cols>
  <sheetData>
    <row r="1" spans="1:120" ht="15.75" customHeight="1">
      <c r="A1" s="5" t="s">
        <v>0</v>
      </c>
      <c r="B1" s="37" t="s">
        <v>60</v>
      </c>
      <c r="C1" s="38" t="s">
        <v>61</v>
      </c>
      <c r="D1" s="39" t="s">
        <v>3</v>
      </c>
      <c r="E1" s="40"/>
      <c r="F1" s="609" t="s">
        <v>4</v>
      </c>
      <c r="G1" s="2558">
        <f>14*60*1000*SpeedFaktor</f>
        <v>840000</v>
      </c>
      <c r="H1" s="609">
        <v>10</v>
      </c>
      <c r="AH1" s="2" t="s">
        <v>5</v>
      </c>
      <c r="AI1" s="42" t="s">
        <v>281</v>
      </c>
      <c r="AJ1" s="3" t="s">
        <v>282</v>
      </c>
      <c r="AK1" s="24" t="s">
        <v>8</v>
      </c>
      <c r="AL1" s="3" t="s">
        <v>9</v>
      </c>
      <c r="AM1" s="24" t="s">
        <v>8</v>
      </c>
      <c r="AN1" s="3" t="s">
        <v>262</v>
      </c>
      <c r="AO1" s="24" t="s">
        <v>8</v>
      </c>
      <c r="AP1" s="3" t="s">
        <v>10</v>
      </c>
      <c r="AQ1" s="24" t="s">
        <v>8</v>
      </c>
      <c r="AR1" s="3" t="s">
        <v>11</v>
      </c>
      <c r="AS1" s="24" t="s">
        <v>8</v>
      </c>
      <c r="AT1" s="3" t="s">
        <v>12</v>
      </c>
      <c r="AU1" s="24" t="s">
        <v>8</v>
      </c>
      <c r="AV1" s="3" t="s">
        <v>13</v>
      </c>
      <c r="AW1" s="24" t="s">
        <v>8</v>
      </c>
      <c r="AX1" s="3" t="s">
        <v>65</v>
      </c>
      <c r="AY1" s="24" t="s">
        <v>8</v>
      </c>
      <c r="AZ1" s="3" t="s">
        <v>15</v>
      </c>
      <c r="BA1" s="24" t="s">
        <v>8</v>
      </c>
      <c r="BB1" s="3" t="s">
        <v>283</v>
      </c>
      <c r="BC1" s="24" t="s">
        <v>8</v>
      </c>
      <c r="BD1" s="3" t="s">
        <v>284</v>
      </c>
      <c r="BE1" s="24" t="s">
        <v>8</v>
      </c>
      <c r="BF1" s="2" t="s">
        <v>17</v>
      </c>
      <c r="BG1" s="24" t="s">
        <v>8</v>
      </c>
      <c r="BH1" s="2" t="s">
        <v>1285</v>
      </c>
      <c r="BI1" s="24" t="s">
        <v>8</v>
      </c>
      <c r="BJ1" s="2" t="s">
        <v>1286</v>
      </c>
      <c r="BK1" s="24" t="s">
        <v>8</v>
      </c>
      <c r="BM1" s="491" t="s">
        <v>1303</v>
      </c>
      <c r="BN1" s="24" t="s">
        <v>8</v>
      </c>
      <c r="BO1" s="574" t="s">
        <v>1306</v>
      </c>
      <c r="BP1" s="24" t="s">
        <v>8</v>
      </c>
      <c r="BQ1" s="791" t="s">
        <v>1311</v>
      </c>
      <c r="BR1" s="24" t="s">
        <v>8</v>
      </c>
      <c r="BS1" s="917" t="s">
        <v>1318</v>
      </c>
      <c r="BT1" s="24" t="s">
        <v>8</v>
      </c>
      <c r="BU1" s="1042" t="s">
        <v>1322</v>
      </c>
      <c r="BV1" s="24" t="s">
        <v>8</v>
      </c>
      <c r="BW1" s="1064" t="s">
        <v>1324</v>
      </c>
      <c r="BX1" s="24" t="s">
        <v>8</v>
      </c>
      <c r="BY1" s="1186" t="s">
        <v>1327</v>
      </c>
      <c r="BZ1" s="24" t="s">
        <v>8</v>
      </c>
      <c r="CA1" s="1243" t="s">
        <v>1335</v>
      </c>
      <c r="CB1" s="24" t="s">
        <v>8</v>
      </c>
      <c r="CC1" s="1264" t="s">
        <v>1341</v>
      </c>
      <c r="CD1" s="24" t="s">
        <v>8</v>
      </c>
      <c r="CE1" s="1491" t="s">
        <v>1361</v>
      </c>
      <c r="CF1" s="24" t="s">
        <v>8</v>
      </c>
      <c r="CG1" s="1500" t="s">
        <v>1363</v>
      </c>
      <c r="CH1" s="24" t="s">
        <v>8</v>
      </c>
      <c r="CI1" s="1648" t="s">
        <v>1368</v>
      </c>
      <c r="CJ1" s="24" t="s">
        <v>8</v>
      </c>
      <c r="CK1" s="1789" t="s">
        <v>1371</v>
      </c>
      <c r="CL1" s="24" t="s">
        <v>8</v>
      </c>
      <c r="CM1" s="1932" t="s">
        <v>1375</v>
      </c>
      <c r="CN1" s="24" t="s">
        <v>8</v>
      </c>
      <c r="CO1" s="1994" t="s">
        <v>1391</v>
      </c>
      <c r="CP1" s="24" t="s">
        <v>8</v>
      </c>
      <c r="CQ1" s="2007" t="s">
        <v>1392</v>
      </c>
      <c r="CR1" s="24" t="s">
        <v>8</v>
      </c>
      <c r="CS1" s="2016" t="s">
        <v>1394</v>
      </c>
      <c r="CT1" s="24" t="s">
        <v>8</v>
      </c>
      <c r="CU1" s="2043" t="s">
        <v>1397</v>
      </c>
      <c r="CV1" s="24" t="s">
        <v>8</v>
      </c>
      <c r="CW1" s="2239" t="s">
        <v>1421</v>
      </c>
      <c r="CX1" s="24" t="s">
        <v>8</v>
      </c>
      <c r="CY1" s="2404" t="s">
        <v>1430</v>
      </c>
      <c r="CZ1" s="24" t="s">
        <v>8</v>
      </c>
      <c r="DA1" s="2566" t="s">
        <v>1442</v>
      </c>
      <c r="DB1" s="24" t="s">
        <v>8</v>
      </c>
      <c r="DC1" s="2744" t="s">
        <v>1460</v>
      </c>
      <c r="DD1" s="2745" t="s">
        <v>572</v>
      </c>
      <c r="DE1" s="2914" t="s">
        <v>1472</v>
      </c>
      <c r="DF1" s="2915" t="s">
        <v>572</v>
      </c>
      <c r="DG1" s="3104" t="s">
        <v>1492</v>
      </c>
      <c r="DH1" s="3105" t="s">
        <v>572</v>
      </c>
      <c r="DI1" s="3286" t="s">
        <v>1503</v>
      </c>
      <c r="DJ1" s="3287" t="s">
        <v>572</v>
      </c>
      <c r="DK1" s="3458" t="s">
        <v>1519</v>
      </c>
      <c r="DL1" s="3459" t="s">
        <v>572</v>
      </c>
      <c r="DM1" s="3744" t="s">
        <v>1666</v>
      </c>
      <c r="DN1" s="3745" t="s">
        <v>572</v>
      </c>
      <c r="DO1" s="3969" t="s">
        <v>1717</v>
      </c>
      <c r="DP1" s="3970" t="s">
        <v>572</v>
      </c>
    </row>
    <row r="2" spans="1:120" s="10" customFormat="1" ht="15.75" customHeight="1">
      <c r="A2" s="1209">
        <v>1</v>
      </c>
      <c r="B2" s="1210" t="s">
        <v>21</v>
      </c>
      <c r="C2" s="1211" t="str">
        <f>'001a'!B59</f>
        <v>{"url":p.aventisURL}</v>
      </c>
      <c r="D2" s="122"/>
      <c r="E2" s="121" t="str">
        <f>F2&amp;G2&amp;H2&amp;I2&amp;J2&amp;K2&amp;L2&amp;M2&amp;N2&amp;O2&amp;P2&amp;Q2&amp;R2&amp;S2&amp;T2&amp;U2&amp;V2&amp;W2&amp;X2</f>
        <v>{"url":"https://dev.aventis.swiss"}</v>
      </c>
      <c r="F2" s="611" t="s">
        <v>67</v>
      </c>
      <c r="G2" s="612" t="s">
        <v>68</v>
      </c>
      <c r="H2" s="611" t="s">
        <v>37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69">
        <v>1897</v>
      </c>
      <c r="AJ2" s="154">
        <v>1553</v>
      </c>
      <c r="AK2" s="156">
        <f>AJ2/($AI2)</f>
        <v>0.81866104375329463</v>
      </c>
      <c r="AL2" s="154">
        <v>1825</v>
      </c>
      <c r="AM2" s="156">
        <f>AL2/($AI2)</f>
        <v>0.96204533473906173</v>
      </c>
      <c r="AN2" s="154">
        <v>1651</v>
      </c>
      <c r="AO2" s="156">
        <f>AN2/($AI2)</f>
        <v>0.87032156035846076</v>
      </c>
      <c r="AP2" s="154">
        <v>1759</v>
      </c>
      <c r="AQ2" s="156">
        <f>AP2/($AI2)</f>
        <v>0.92725355824986821</v>
      </c>
      <c r="AR2" s="154">
        <v>1849</v>
      </c>
      <c r="AS2" s="156">
        <f>AR2/($AI2)</f>
        <v>0.97469688982604108</v>
      </c>
      <c r="AT2" s="154">
        <v>1814</v>
      </c>
      <c r="AU2" s="156">
        <f>AT2/($AI2)</f>
        <v>0.95624670532419609</v>
      </c>
      <c r="AV2" s="154">
        <v>1515</v>
      </c>
      <c r="AW2" s="156">
        <f>AV2/($AI2)</f>
        <v>0.79862941486557726</v>
      </c>
      <c r="AX2" s="154">
        <v>1815</v>
      </c>
      <c r="AY2" s="156">
        <f>AX2/($AI2)</f>
        <v>0.95677385345282029</v>
      </c>
      <c r="AZ2" s="3">
        <v>1446</v>
      </c>
      <c r="BA2" s="156">
        <f>AZ2/($AI2)</f>
        <v>0.76225619399051137</v>
      </c>
      <c r="BB2" s="2">
        <v>1217</v>
      </c>
      <c r="BC2" s="156">
        <f>BB2/($AI2)</f>
        <v>0.64153927253558252</v>
      </c>
      <c r="BD2" s="2">
        <v>1168</v>
      </c>
      <c r="BE2" s="156">
        <f>BD2/($AI2)</f>
        <v>0.61570901423299951</v>
      </c>
      <c r="BF2" s="2">
        <v>932</v>
      </c>
      <c r="BG2" s="156">
        <f>BF2/($AI2)</f>
        <v>0.49130205587770165</v>
      </c>
      <c r="BH2" s="2">
        <v>973</v>
      </c>
      <c r="BI2" s="156">
        <f>BH2/($AI2)</f>
        <v>0.51291512915129156</v>
      </c>
      <c r="BJ2" s="2">
        <v>558</v>
      </c>
      <c r="BK2" s="156">
        <f>BJ2/($AI2)</f>
        <v>0.29414865577227201</v>
      </c>
      <c r="BM2" s="10">
        <v>1315</v>
      </c>
      <c r="BN2" s="156">
        <f>BM2/($AI2)</f>
        <v>0.69319978914074853</v>
      </c>
      <c r="BO2" s="10">
        <v>1238</v>
      </c>
      <c r="BP2" s="156">
        <f>BO2/($AI2)</f>
        <v>0.65260938323668949</v>
      </c>
      <c r="BQ2" s="10">
        <v>1382</v>
      </c>
      <c r="BR2" s="156">
        <f>BQ2/($AI2)</f>
        <v>0.72851871375856614</v>
      </c>
      <c r="BS2" s="10">
        <v>1341</v>
      </c>
      <c r="BT2" s="156">
        <f>BS2/($AI2)</f>
        <v>0.70690564048497628</v>
      </c>
      <c r="BU2" s="10">
        <v>1243</v>
      </c>
      <c r="BV2" s="156">
        <f>BU2/($AI2)</f>
        <v>0.65524512387981027</v>
      </c>
      <c r="BW2" s="10">
        <v>1270</v>
      </c>
      <c r="BX2" s="156">
        <f>BW2/($AI2)</f>
        <v>0.6694781233526621</v>
      </c>
      <c r="BY2" s="10">
        <v>1310</v>
      </c>
      <c r="BZ2" s="156">
        <f>BY2/($AI2)</f>
        <v>0.69056404849762787</v>
      </c>
      <c r="CA2" s="10">
        <v>1346</v>
      </c>
      <c r="CB2" s="156">
        <f>CA2/($AI2)</f>
        <v>0.70954138112809695</v>
      </c>
      <c r="CC2" s="10">
        <v>1141</v>
      </c>
      <c r="CD2" s="156">
        <f>CC2/($AI2)</f>
        <v>0.60147601476014756</v>
      </c>
      <c r="CE2" s="10">
        <v>1255</v>
      </c>
      <c r="CF2" s="156">
        <f>CE2/($AI2)</f>
        <v>0.6615709014233</v>
      </c>
      <c r="CG2" s="10">
        <v>1197</v>
      </c>
      <c r="CH2" s="156">
        <f>CG2/($AI2)</f>
        <v>0.63099630996309963</v>
      </c>
      <c r="CI2" s="10">
        <v>1161</v>
      </c>
      <c r="CJ2" s="156">
        <f>CI2/($AI2)</f>
        <v>0.61201897733263044</v>
      </c>
      <c r="CK2" s="10">
        <v>1106</v>
      </c>
      <c r="CL2" s="156">
        <f>CK2/($AI2)</f>
        <v>0.58302583025830257</v>
      </c>
      <c r="CM2" s="10">
        <v>1761</v>
      </c>
      <c r="CN2" s="156">
        <f>CM2/($AI2)</f>
        <v>0.9283078545071165</v>
      </c>
      <c r="CO2" s="10">
        <v>1694</v>
      </c>
      <c r="CP2" s="156">
        <f>CO2/($AI2)</f>
        <v>0.8929889298892989</v>
      </c>
      <c r="CQ2" s="10">
        <v>1667</v>
      </c>
      <c r="CR2" s="156">
        <f>CQ2/($AI2)</f>
        <v>0.87875593041644706</v>
      </c>
      <c r="CS2" s="10">
        <v>1835</v>
      </c>
      <c r="CT2" s="156">
        <f>CS2/($AI2)</f>
        <v>0.96731681602530306</v>
      </c>
      <c r="CU2" s="10">
        <v>1753</v>
      </c>
      <c r="CV2" s="156">
        <f>CU2/($AI2)</f>
        <v>0.92409066947812335</v>
      </c>
      <c r="CW2" s="10">
        <v>1715</v>
      </c>
      <c r="CX2" s="156">
        <f>CW2/($AI2)</f>
        <v>0.90405904059040587</v>
      </c>
      <c r="CY2" s="10">
        <v>1475</v>
      </c>
      <c r="CZ2" s="156">
        <f>CY2/($AI2)</f>
        <v>0.77754348972061149</v>
      </c>
      <c r="DA2" s="10">
        <v>1503</v>
      </c>
      <c r="DB2" s="156">
        <f>DA2/($AI2)</f>
        <v>0.79230363732208753</v>
      </c>
      <c r="DC2" s="10">
        <v>1286</v>
      </c>
      <c r="DE2" s="10">
        <v>1739</v>
      </c>
      <c r="DG2" s="10">
        <v>3049</v>
      </c>
      <c r="DI2" s="10">
        <v>1253</v>
      </c>
      <c r="DK2" s="10">
        <v>1125</v>
      </c>
      <c r="DM2" s="10">
        <v>1393</v>
      </c>
      <c r="DO2" s="10">
        <v>1584</v>
      </c>
      <c r="DP2" s="10" t="s">
        <v>1718</v>
      </c>
    </row>
    <row r="3" spans="1:120" s="53" customFormat="1" ht="15.75" customHeight="1">
      <c r="A3" s="1209">
        <v>2</v>
      </c>
      <c r="B3" s="1212" t="s">
        <v>22</v>
      </c>
      <c r="C3" s="1210" t="s">
        <v>70</v>
      </c>
      <c r="D3" s="122"/>
      <c r="E3" s="593"/>
      <c r="F3" s="624"/>
      <c r="G3" s="612"/>
      <c r="H3" s="611"/>
      <c r="I3" s="611"/>
      <c r="J3" s="611"/>
      <c r="K3" s="611"/>
      <c r="L3" s="611"/>
      <c r="M3" s="611"/>
      <c r="N3" s="611"/>
      <c r="O3" s="611"/>
      <c r="P3" s="611"/>
      <c r="Q3" s="611"/>
      <c r="R3" s="611"/>
      <c r="S3" s="611"/>
      <c r="T3" s="611"/>
      <c r="U3" s="611"/>
      <c r="V3" s="611"/>
      <c r="W3" s="611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169">
        <v>424</v>
      </c>
      <c r="AJ3" s="157">
        <v>419</v>
      </c>
      <c r="AK3" s="156">
        <f>AJ3/($AI3)</f>
        <v>0.9882075471698113</v>
      </c>
      <c r="AL3" s="157">
        <v>419</v>
      </c>
      <c r="AM3" s="156">
        <f>AL3/($AI3)</f>
        <v>0.9882075471698113</v>
      </c>
      <c r="AN3" s="157">
        <v>423</v>
      </c>
      <c r="AO3" s="156">
        <f>AN3/($AI3)</f>
        <v>0.99764150943396224</v>
      </c>
      <c r="AP3" s="157">
        <v>418</v>
      </c>
      <c r="AQ3" s="156">
        <f>AP3/($AI3)</f>
        <v>0.98584905660377353</v>
      </c>
      <c r="AR3" s="157">
        <v>417</v>
      </c>
      <c r="AS3" s="156">
        <f>AR3/($AI3)</f>
        <v>0.98349056603773588</v>
      </c>
      <c r="AT3" s="157">
        <v>420</v>
      </c>
      <c r="AU3" s="156">
        <f>AT3/($AI3)</f>
        <v>0.99056603773584906</v>
      </c>
      <c r="AV3" s="157">
        <v>420</v>
      </c>
      <c r="AW3" s="156">
        <f>AV3/($AI3)</f>
        <v>0.99056603773584906</v>
      </c>
      <c r="AX3" s="157">
        <v>423</v>
      </c>
      <c r="AY3" s="156">
        <f>AX3/($AI3)</f>
        <v>0.99764150943396224</v>
      </c>
      <c r="AZ3" s="3">
        <v>412</v>
      </c>
      <c r="BA3" s="156">
        <f>AZ3/($AI3)</f>
        <v>0.97169811320754718</v>
      </c>
      <c r="BB3" s="2">
        <v>414</v>
      </c>
      <c r="BC3" s="156">
        <f>BB3/($AI3)</f>
        <v>0.97641509433962259</v>
      </c>
      <c r="BD3" s="2">
        <v>419</v>
      </c>
      <c r="BE3" s="156">
        <f>BD3/($AI3)</f>
        <v>0.9882075471698113</v>
      </c>
      <c r="BF3" s="2">
        <v>412</v>
      </c>
      <c r="BG3" s="156">
        <f>BF3/($AI3)</f>
        <v>0.97169811320754718</v>
      </c>
      <c r="BH3" s="2">
        <v>405</v>
      </c>
      <c r="BI3" s="156">
        <f>BH3/($AI3)</f>
        <v>0.95518867924528306</v>
      </c>
      <c r="BJ3" s="2">
        <v>409</v>
      </c>
      <c r="BK3" s="156">
        <f>BJ3/($AI3)</f>
        <v>0.964622641509434</v>
      </c>
      <c r="BM3" s="53">
        <v>411</v>
      </c>
      <c r="BN3" s="156">
        <f>BM3/($AI3)</f>
        <v>0.96933962264150941</v>
      </c>
      <c r="BO3" s="53">
        <v>412</v>
      </c>
      <c r="BP3" s="156">
        <f>BO3/($AI3)</f>
        <v>0.97169811320754718</v>
      </c>
      <c r="BQ3" s="53">
        <v>415</v>
      </c>
      <c r="BR3" s="156">
        <f>BQ3/($AI3)</f>
        <v>0.97877358490566035</v>
      </c>
      <c r="BS3" s="53">
        <v>416</v>
      </c>
      <c r="BT3" s="156">
        <f>BS3/($AI3)</f>
        <v>0.98113207547169812</v>
      </c>
      <c r="BU3" s="53">
        <v>412</v>
      </c>
      <c r="BV3" s="156">
        <f>BU3/($AI3)</f>
        <v>0.97169811320754718</v>
      </c>
      <c r="BW3" s="53">
        <v>416</v>
      </c>
      <c r="BX3" s="156">
        <f>BW3/($AI3)</f>
        <v>0.98113207547169812</v>
      </c>
      <c r="BY3" s="53">
        <v>415</v>
      </c>
      <c r="BZ3" s="156">
        <f>BY3/($AI3)</f>
        <v>0.97877358490566035</v>
      </c>
      <c r="CA3" s="53">
        <v>419</v>
      </c>
      <c r="CB3" s="156">
        <f>CA3/($AI3)</f>
        <v>0.9882075471698113</v>
      </c>
      <c r="CC3" s="53">
        <v>415</v>
      </c>
      <c r="CD3" s="156">
        <f>CC3/($AI3)</f>
        <v>0.97877358490566035</v>
      </c>
      <c r="CE3" s="53">
        <v>419</v>
      </c>
      <c r="CF3" s="156">
        <f>CE3/($AI3)</f>
        <v>0.9882075471698113</v>
      </c>
      <c r="CG3" s="53">
        <v>414</v>
      </c>
      <c r="CH3" s="156">
        <f>CG3/($AI3)</f>
        <v>0.97641509433962259</v>
      </c>
      <c r="CI3" s="53">
        <v>422</v>
      </c>
      <c r="CJ3" s="156">
        <f>CI3/($AI3)</f>
        <v>0.99528301886792447</v>
      </c>
      <c r="CK3" s="53">
        <v>415</v>
      </c>
      <c r="CL3" s="156">
        <f>CK3/($AI3)</f>
        <v>0.97877358490566035</v>
      </c>
      <c r="CM3" s="53">
        <v>407</v>
      </c>
      <c r="CN3" s="156">
        <f>CM3/($AI3)</f>
        <v>0.95990566037735847</v>
      </c>
      <c r="CO3" s="53">
        <v>408</v>
      </c>
      <c r="CP3" s="156">
        <f>CO3/($AI3)</f>
        <v>0.96226415094339623</v>
      </c>
      <c r="CQ3" s="53">
        <v>407</v>
      </c>
      <c r="CR3" s="156">
        <f>CQ3/($AI3)</f>
        <v>0.95990566037735847</v>
      </c>
      <c r="CS3" s="53">
        <v>410</v>
      </c>
      <c r="CT3" s="156">
        <f>CS3/($AI3)</f>
        <v>0.96698113207547165</v>
      </c>
      <c r="CU3" s="53">
        <v>411</v>
      </c>
      <c r="CV3" s="156">
        <f>CU3/($AI3)</f>
        <v>0.96933962264150941</v>
      </c>
      <c r="CW3" s="53">
        <v>407</v>
      </c>
      <c r="CX3" s="156">
        <f>CW3/($AI3)</f>
        <v>0.95990566037735847</v>
      </c>
      <c r="CY3" s="53">
        <v>413</v>
      </c>
      <c r="CZ3" s="156">
        <f>CY3/($AI3)</f>
        <v>0.97405660377358494</v>
      </c>
      <c r="DA3" s="53">
        <v>412</v>
      </c>
      <c r="DB3" s="156">
        <f>DA3/($AI3)</f>
        <v>0.97169811320754718</v>
      </c>
      <c r="DC3" s="53">
        <v>413</v>
      </c>
      <c r="DE3" s="53">
        <v>410</v>
      </c>
      <c r="DG3" s="53">
        <v>431</v>
      </c>
      <c r="DI3" s="53">
        <v>418</v>
      </c>
      <c r="DK3" s="53">
        <v>411</v>
      </c>
      <c r="DM3" s="53">
        <v>405</v>
      </c>
      <c r="DO3" s="53">
        <v>428</v>
      </c>
      <c r="DP3" s="53" t="s">
        <v>1718</v>
      </c>
    </row>
    <row r="4" spans="1:120" s="10" customFormat="1" ht="20.25" customHeight="1">
      <c r="A4" s="1209"/>
      <c r="B4" s="1212" t="s">
        <v>69</v>
      </c>
      <c r="C4" s="1213"/>
      <c r="D4" s="122"/>
      <c r="E4" s="121"/>
      <c r="F4" s="611"/>
      <c r="G4" s="611"/>
      <c r="H4" s="611"/>
      <c r="I4" s="611"/>
      <c r="J4" s="611"/>
      <c r="K4" s="375"/>
      <c r="L4" s="611"/>
      <c r="M4" s="611"/>
      <c r="N4" s="611"/>
      <c r="O4" s="611"/>
      <c r="P4" s="611"/>
      <c r="Q4" s="611"/>
      <c r="R4" s="611"/>
      <c r="S4" s="611"/>
      <c r="T4" s="611"/>
      <c r="U4" s="611"/>
      <c r="V4" s="611"/>
      <c r="W4" s="611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69"/>
      <c r="AJ4" s="154"/>
      <c r="AK4" s="156"/>
      <c r="AL4" s="154"/>
      <c r="AM4" s="156"/>
      <c r="AN4" s="154"/>
      <c r="AO4" s="156"/>
      <c r="AP4" s="154"/>
      <c r="AQ4" s="156"/>
      <c r="AR4" s="154"/>
      <c r="AS4" s="156"/>
      <c r="AT4" s="154"/>
      <c r="AU4" s="156"/>
      <c r="AV4" s="154"/>
      <c r="AW4" s="156"/>
      <c r="AX4" s="154"/>
      <c r="AY4" s="156"/>
      <c r="AZ4" s="3">
        <v>0</v>
      </c>
      <c r="BA4" s="156"/>
      <c r="BB4" s="2">
        <v>0</v>
      </c>
      <c r="BC4" s="156"/>
      <c r="BD4" s="2">
        <v>1</v>
      </c>
      <c r="BE4" s="156"/>
      <c r="BG4" s="156"/>
      <c r="BI4" s="156"/>
      <c r="BK4" s="156"/>
      <c r="BN4" s="156"/>
      <c r="BP4" s="156"/>
      <c r="BR4" s="156"/>
      <c r="BT4" s="156"/>
      <c r="BV4" s="156"/>
      <c r="BX4" s="156"/>
      <c r="BZ4" s="156"/>
      <c r="CB4" s="156"/>
      <c r="CD4" s="156"/>
      <c r="CF4" s="156"/>
      <c r="CH4" s="156"/>
      <c r="CJ4" s="156"/>
      <c r="CL4" s="156"/>
      <c r="CN4" s="156"/>
      <c r="CP4" s="156"/>
      <c r="CR4" s="156"/>
      <c r="CT4" s="156"/>
      <c r="CV4" s="156"/>
      <c r="CX4" s="156"/>
      <c r="CZ4" s="156"/>
      <c r="DB4" s="156"/>
    </row>
    <row r="5" spans="1:120" s="10" customFormat="1" ht="15.75" customHeight="1">
      <c r="A5" s="1209">
        <v>4</v>
      </c>
      <c r="B5" s="1214" t="s">
        <v>25</v>
      </c>
      <c r="C5" s="1213" t="str">
        <f t="shared" ref="C5:C9" si="0">E5</f>
        <v>{"username":"bern.sozialarbeiterin1a@diartis.ch","password":"SMze97-jkSJ59!F.","fullname":"Sozialarbeiterin 1A Bern","team":"Sozialarbeit Bern 1"}</v>
      </c>
      <c r="D5" s="122"/>
      <c r="E5" s="121" t="str">
        <f t="shared" ref="E5:E9" si="1">F5&amp;G5&amp;H5&amp;I5&amp;J5&amp;K5&amp;L5&amp;M5&amp;N5&amp;O5&amp;P5&amp;Q5&amp;R5&amp;S5&amp;T5&amp;U5&amp;V5&amp;W5&amp;X5</f>
        <v>{"username":"bern.sozialarbeiterin1a@diartis.ch","password":"SMze97-jkSJ59!F.","fullname":"Sozialarbeiterin 1A Bern","team":"Sozialarbeit Bern 1"}</v>
      </c>
      <c r="F5" s="611" t="s">
        <v>29</v>
      </c>
      <c r="G5" s="611" t="s">
        <v>71</v>
      </c>
      <c r="H5" s="611" t="s">
        <v>31</v>
      </c>
      <c r="I5" s="611" t="s">
        <v>72</v>
      </c>
      <c r="J5" s="611" t="s">
        <v>73</v>
      </c>
      <c r="K5" s="611" t="s">
        <v>74</v>
      </c>
      <c r="L5" s="611" t="s">
        <v>75</v>
      </c>
      <c r="M5" s="611" t="s">
        <v>76</v>
      </c>
      <c r="N5" s="611" t="s">
        <v>37</v>
      </c>
      <c r="O5" s="611"/>
      <c r="P5" s="611"/>
      <c r="Q5" s="611"/>
      <c r="R5" s="611"/>
      <c r="S5" s="611"/>
      <c r="T5" s="611"/>
      <c r="U5" s="611"/>
      <c r="V5" s="611"/>
      <c r="W5" s="611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69">
        <v>9593</v>
      </c>
      <c r="AJ5" s="154">
        <v>10103</v>
      </c>
      <c r="AK5" s="156">
        <f t="shared" ref="AK5:AM5" si="2">AJ5/($AI5)</f>
        <v>1.0531637652454915</v>
      </c>
      <c r="AL5" s="154">
        <v>10537</v>
      </c>
      <c r="AM5" s="156">
        <f t="shared" si="2"/>
        <v>1.0984050870426352</v>
      </c>
      <c r="AN5" s="154">
        <v>10051</v>
      </c>
      <c r="AO5" s="156">
        <f t="shared" ref="AO5:AY61" si="3">AN5/($AI5)</f>
        <v>1.0477431460439903</v>
      </c>
      <c r="AP5" s="154">
        <v>9753</v>
      </c>
      <c r="AQ5" s="156">
        <f t="shared" si="3"/>
        <v>1.0166788283123112</v>
      </c>
      <c r="AR5" s="154">
        <v>9287</v>
      </c>
      <c r="AS5" s="156">
        <f t="shared" si="3"/>
        <v>0.96810174085270506</v>
      </c>
      <c r="AT5" s="154">
        <v>9020</v>
      </c>
      <c r="AU5" s="156">
        <f t="shared" si="3"/>
        <v>0.940268946106536</v>
      </c>
      <c r="AV5" s="154">
        <v>8835</v>
      </c>
      <c r="AW5" s="156">
        <f t="shared" si="3"/>
        <v>0.92098405087042634</v>
      </c>
      <c r="AX5" s="154">
        <v>9316</v>
      </c>
      <c r="AY5" s="156">
        <f t="shared" ref="AY5:AY31" si="4">AX5/($AI5)</f>
        <v>0.97112477848431145</v>
      </c>
      <c r="AZ5" s="3">
        <v>8925</v>
      </c>
      <c r="BA5" s="156">
        <f t="shared" ref="BA5:BK31" si="5">AZ5/($AI5)</f>
        <v>0.9303658917961013</v>
      </c>
      <c r="BB5" s="2">
        <v>6879</v>
      </c>
      <c r="BC5" s="156">
        <f t="shared" si="5"/>
        <v>0.71708537475242362</v>
      </c>
      <c r="BD5" s="2">
        <v>7420</v>
      </c>
      <c r="BE5" s="156">
        <f t="shared" si="5"/>
        <v>0.77348066298342544</v>
      </c>
      <c r="BF5" s="2">
        <v>6202</v>
      </c>
      <c r="BG5" s="156">
        <f t="shared" si="5"/>
        <v>0.64651308245595751</v>
      </c>
      <c r="BH5" s="2">
        <v>6429</v>
      </c>
      <c r="BI5" s="156">
        <f t="shared" si="5"/>
        <v>0.67017617012404873</v>
      </c>
      <c r="BJ5" s="2">
        <v>4448</v>
      </c>
      <c r="BK5" s="156">
        <f t="shared" si="5"/>
        <v>0.46367142708224746</v>
      </c>
      <c r="BM5" s="10">
        <v>7818</v>
      </c>
      <c r="BN5" s="156">
        <f t="shared" ref="BN5:BN61" si="6">BM5/($AI5)</f>
        <v>0.81496924841029916</v>
      </c>
      <c r="BO5" s="10">
        <v>7336</v>
      </c>
      <c r="BP5" s="156">
        <f t="shared" ref="BP5:BX61" si="7">BO5/($AI5)</f>
        <v>0.76472427811946209</v>
      </c>
      <c r="BQ5" s="10">
        <v>8096</v>
      </c>
      <c r="BR5" s="156">
        <f t="shared" si="7"/>
        <v>0.84394871260293969</v>
      </c>
      <c r="BS5" s="10">
        <v>7149</v>
      </c>
      <c r="BT5" s="156">
        <f t="shared" si="7"/>
        <v>0.7452308975294486</v>
      </c>
      <c r="BU5" s="10">
        <v>6857</v>
      </c>
      <c r="BV5" s="156">
        <f t="shared" si="7"/>
        <v>0.71479203585948092</v>
      </c>
      <c r="BW5" s="10">
        <v>6700</v>
      </c>
      <c r="BX5" s="156">
        <f t="shared" si="7"/>
        <v>0.69842593557802568</v>
      </c>
      <c r="BY5" s="10">
        <v>8767</v>
      </c>
      <c r="BZ5" s="156">
        <f t="shared" ref="BZ5:BZ61" si="8">BY5/($AI5)</f>
        <v>0.91389554883769419</v>
      </c>
      <c r="CA5" s="10">
        <v>7432</v>
      </c>
      <c r="CB5" s="156">
        <f t="shared" ref="CB5:CB61" si="9">CA5/($AI5)</f>
        <v>0.77473157510684876</v>
      </c>
      <c r="CC5" s="10">
        <v>6634</v>
      </c>
      <c r="CD5" s="156">
        <f t="shared" ref="CD5:CL61" si="10">CC5/($AI5)</f>
        <v>0.69154591889919736</v>
      </c>
      <c r="CE5" s="10">
        <v>6635</v>
      </c>
      <c r="CF5" s="156">
        <f t="shared" si="10"/>
        <v>0.69165016157614922</v>
      </c>
      <c r="CG5" s="10">
        <v>6768</v>
      </c>
      <c r="CH5" s="156">
        <f t="shared" si="10"/>
        <v>0.70551443761075783</v>
      </c>
      <c r="CI5" s="10">
        <v>6283</v>
      </c>
      <c r="CJ5" s="156">
        <f t="shared" si="10"/>
        <v>0.65495673928906495</v>
      </c>
      <c r="CK5" s="10">
        <v>6373</v>
      </c>
      <c r="CL5" s="156">
        <f t="shared" si="10"/>
        <v>0.6643385802147399</v>
      </c>
      <c r="CM5" s="10">
        <v>6948</v>
      </c>
      <c r="CN5" s="156">
        <f t="shared" ref="CN5:CN61" si="11">CM5/($AI5)</f>
        <v>0.72427811946210774</v>
      </c>
      <c r="CO5" s="10">
        <v>8320</v>
      </c>
      <c r="CP5" s="156">
        <f t="shared" ref="CP5:CV61" si="12">CO5/($AI5)</f>
        <v>0.86729907224017511</v>
      </c>
      <c r="CQ5" s="10">
        <v>5630</v>
      </c>
      <c r="CR5" s="156">
        <f t="shared" ref="CR5:CZ61" si="13">CQ5/($AI5)</f>
        <v>0.58688627123944548</v>
      </c>
      <c r="CS5" s="10">
        <v>6498</v>
      </c>
      <c r="CT5" s="156">
        <f t="shared" si="13"/>
        <v>0.67736891483373296</v>
      </c>
      <c r="CU5" s="10">
        <v>6262</v>
      </c>
      <c r="CV5" s="156">
        <f t="shared" si="13"/>
        <v>0.65276764307307411</v>
      </c>
      <c r="CW5" s="10">
        <v>7353</v>
      </c>
      <c r="CX5" s="156">
        <f t="shared" si="13"/>
        <v>0.76649640362764515</v>
      </c>
      <c r="CY5" s="10">
        <v>5806</v>
      </c>
      <c r="CZ5" s="156">
        <f t="shared" si="13"/>
        <v>0.60523298238298762</v>
      </c>
      <c r="DA5" s="10">
        <v>7270</v>
      </c>
      <c r="DB5" s="156">
        <f t="shared" ref="DB5:DB61" si="14">DA5/($AI5)</f>
        <v>0.75784426144063377</v>
      </c>
      <c r="DC5" s="10">
        <v>7612</v>
      </c>
      <c r="DE5" s="10">
        <v>8426</v>
      </c>
      <c r="DG5" s="10">
        <v>13014</v>
      </c>
      <c r="DI5" s="10">
        <v>8826</v>
      </c>
      <c r="DK5" s="10">
        <v>8007</v>
      </c>
      <c r="DM5" s="10">
        <v>8528</v>
      </c>
      <c r="DO5" s="10">
        <v>7875</v>
      </c>
      <c r="DP5" s="10" t="s">
        <v>1718</v>
      </c>
    </row>
    <row r="6" spans="1:120" s="10" customFormat="1" ht="15.75" customHeight="1">
      <c r="A6" s="1209"/>
      <c r="B6" s="1210" t="s">
        <v>77</v>
      </c>
      <c r="C6" s="1214" t="str">
        <f t="shared" si="0"/>
        <v>{"name":p.FamilyName2,"vorname":p.ManFirstName2,"ahvNumber":"","geburtsdatum":""}</v>
      </c>
      <c r="D6" s="122"/>
      <c r="E6" s="121" t="str">
        <f t="shared" si="1"/>
        <v>{"name":p.FamilyName2,"vorname":p.ManFirstName2,"ahvNumber":"","geburtsdatum":""}</v>
      </c>
      <c r="F6" s="146" t="s">
        <v>78</v>
      </c>
      <c r="G6" s="611" t="str">
        <f>G$72</f>
        <v>p.FamilyName2</v>
      </c>
      <c r="H6" s="611" t="s">
        <v>79</v>
      </c>
      <c r="I6" s="611" t="str">
        <f>H$71</f>
        <v>p.ManFirstName2</v>
      </c>
      <c r="J6" s="611" t="s">
        <v>80</v>
      </c>
      <c r="K6" s="611"/>
      <c r="L6" s="611" t="s">
        <v>81</v>
      </c>
      <c r="M6" s="613"/>
      <c r="N6" s="611" t="s">
        <v>37</v>
      </c>
      <c r="O6" s="611"/>
      <c r="P6" s="611"/>
      <c r="Q6" s="611"/>
      <c r="R6" s="611"/>
      <c r="S6" s="611"/>
      <c r="T6" s="611"/>
      <c r="U6" s="611"/>
      <c r="V6" s="611"/>
      <c r="W6" s="611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69">
        <v>2911</v>
      </c>
      <c r="AJ6" s="154">
        <v>3197</v>
      </c>
      <c r="AK6" s="156">
        <f t="shared" ref="AK6:AM6" si="15">AJ6/($AI6)</f>
        <v>1.0982480247337685</v>
      </c>
      <c r="AL6" s="154">
        <v>3326</v>
      </c>
      <c r="AM6" s="156">
        <f t="shared" si="15"/>
        <v>1.1425626932325661</v>
      </c>
      <c r="AN6" s="154">
        <v>3029</v>
      </c>
      <c r="AO6" s="156">
        <f t="shared" si="3"/>
        <v>1.0405358983167297</v>
      </c>
      <c r="AP6" s="154">
        <v>3103</v>
      </c>
      <c r="AQ6" s="156">
        <f t="shared" si="3"/>
        <v>1.0659567159051873</v>
      </c>
      <c r="AR6" s="154">
        <v>3221</v>
      </c>
      <c r="AS6" s="156">
        <f t="shared" si="3"/>
        <v>1.1064926142219169</v>
      </c>
      <c r="AT6" s="154">
        <v>3053</v>
      </c>
      <c r="AU6" s="156">
        <f t="shared" si="3"/>
        <v>1.0487804878048781</v>
      </c>
      <c r="AV6" s="154">
        <v>3132</v>
      </c>
      <c r="AW6" s="156">
        <f t="shared" si="3"/>
        <v>1.0759189282033665</v>
      </c>
      <c r="AX6" s="154">
        <v>2792</v>
      </c>
      <c r="AY6" s="156">
        <f t="shared" si="4"/>
        <v>0.9591205771212642</v>
      </c>
      <c r="AZ6" s="3">
        <v>2876</v>
      </c>
      <c r="BA6" s="156">
        <f t="shared" si="5"/>
        <v>0.98797664032978361</v>
      </c>
      <c r="BB6" s="2">
        <v>1541</v>
      </c>
      <c r="BC6" s="156">
        <f t="shared" si="5"/>
        <v>0.52937135005152869</v>
      </c>
      <c r="BD6" s="2">
        <v>1601</v>
      </c>
      <c r="BE6" s="156">
        <f t="shared" si="5"/>
        <v>0.54998282377189966</v>
      </c>
      <c r="BF6" s="2">
        <v>1898</v>
      </c>
      <c r="BG6" s="156">
        <f t="shared" si="5"/>
        <v>0.65200961868773621</v>
      </c>
      <c r="BH6" s="2">
        <v>1552</v>
      </c>
      <c r="BI6" s="156">
        <f t="shared" si="5"/>
        <v>0.53315012023359665</v>
      </c>
      <c r="BJ6" s="2">
        <v>1221</v>
      </c>
      <c r="BK6" s="156">
        <f t="shared" si="5"/>
        <v>0.41944349020954996</v>
      </c>
      <c r="BM6" s="10">
        <v>1961</v>
      </c>
      <c r="BN6" s="156">
        <f t="shared" si="6"/>
        <v>0.67365166609412575</v>
      </c>
      <c r="BO6" s="10">
        <v>1937</v>
      </c>
      <c r="BP6" s="156">
        <f t="shared" si="7"/>
        <v>0.66540707660597731</v>
      </c>
      <c r="BQ6" s="10">
        <v>1974</v>
      </c>
      <c r="BR6" s="156">
        <f t="shared" si="7"/>
        <v>0.67811748540020611</v>
      </c>
      <c r="BS6" s="10">
        <v>1941</v>
      </c>
      <c r="BT6" s="156">
        <f t="shared" si="7"/>
        <v>0.66678117485400201</v>
      </c>
      <c r="BU6" s="10">
        <v>2139</v>
      </c>
      <c r="BV6" s="156">
        <f t="shared" si="7"/>
        <v>0.73479903813122638</v>
      </c>
      <c r="BW6" s="10">
        <v>1970</v>
      </c>
      <c r="BX6" s="156">
        <f t="shared" si="7"/>
        <v>0.67674338715218141</v>
      </c>
      <c r="BY6" s="10">
        <v>1814</v>
      </c>
      <c r="BZ6" s="156">
        <f t="shared" si="8"/>
        <v>0.6231535554792168</v>
      </c>
      <c r="CA6" s="10">
        <v>1908</v>
      </c>
      <c r="CB6" s="156">
        <f t="shared" si="9"/>
        <v>0.65544486430779803</v>
      </c>
      <c r="CC6" s="10">
        <v>1537</v>
      </c>
      <c r="CD6" s="156">
        <f t="shared" si="10"/>
        <v>0.52799725180350399</v>
      </c>
      <c r="CE6" s="10">
        <v>1645</v>
      </c>
      <c r="CF6" s="156">
        <f t="shared" si="10"/>
        <v>0.56509790450017172</v>
      </c>
      <c r="CG6" s="10">
        <v>1757</v>
      </c>
      <c r="CH6" s="156">
        <f t="shared" si="10"/>
        <v>0.60357265544486427</v>
      </c>
      <c r="CI6" s="10">
        <v>1631</v>
      </c>
      <c r="CJ6" s="156">
        <f t="shared" si="10"/>
        <v>0.56028856063208521</v>
      </c>
      <c r="CK6" s="10">
        <v>1492</v>
      </c>
      <c r="CL6" s="156">
        <f t="shared" si="10"/>
        <v>0.51253864651322567</v>
      </c>
      <c r="CM6" s="10">
        <v>911</v>
      </c>
      <c r="CN6" s="156">
        <f t="shared" si="11"/>
        <v>0.3129508759876331</v>
      </c>
      <c r="CO6" s="10">
        <v>1672</v>
      </c>
      <c r="CP6" s="156">
        <f t="shared" si="12"/>
        <v>0.57437306767433871</v>
      </c>
      <c r="CQ6" s="10">
        <v>1631</v>
      </c>
      <c r="CR6" s="156">
        <f t="shared" si="13"/>
        <v>0.56028856063208521</v>
      </c>
      <c r="CS6" s="10">
        <v>1576</v>
      </c>
      <c r="CT6" s="156">
        <f t="shared" si="13"/>
        <v>0.54139470972174508</v>
      </c>
      <c r="CU6" s="10">
        <v>1899</v>
      </c>
      <c r="CV6" s="156">
        <f t="shared" si="13"/>
        <v>0.65235314324974236</v>
      </c>
      <c r="CW6" s="10">
        <v>798</v>
      </c>
      <c r="CX6" s="156">
        <f t="shared" si="13"/>
        <v>0.27413260048093441</v>
      </c>
      <c r="CY6" s="10">
        <v>1267</v>
      </c>
      <c r="CZ6" s="156">
        <f t="shared" si="13"/>
        <v>0.43524562006183443</v>
      </c>
      <c r="DA6" s="10">
        <v>1440</v>
      </c>
      <c r="DB6" s="156">
        <f t="shared" si="14"/>
        <v>0.49467536928890415</v>
      </c>
      <c r="DC6" s="10">
        <v>1417</v>
      </c>
      <c r="DE6" s="10">
        <v>1090</v>
      </c>
      <c r="DG6" s="10">
        <v>2465</v>
      </c>
      <c r="DI6" s="10">
        <v>1602</v>
      </c>
      <c r="DK6" s="10">
        <v>1293</v>
      </c>
    </row>
    <row r="7" spans="1:120" s="10" customFormat="1" ht="15.75" customHeight="1">
      <c r="A7" s="1209">
        <v>6</v>
      </c>
      <c r="B7" s="1214" t="s">
        <v>82</v>
      </c>
      <c r="C7" s="1213" t="str">
        <f t="shared" si="0"/>
        <v>{"name":p.FamilyName2,"vorname":p.ManFirstName2,"ahvNumber":p.AHVNumber5,"language":"Deutsch","zivilstand":"ledig","geburtsdatum":p.BirthdayAdult2,"national":"Schweiz","gender":"männlich","aufenthalt":""}</v>
      </c>
      <c r="D7" s="122"/>
      <c r="E7" s="121" t="str">
        <f t="shared" si="1"/>
        <v>{"name":p.FamilyName2,"vorname":p.ManFirstName2,"ahvNumber":p.AHVNumber5,"language":"Deutsch","zivilstand":"ledig","geburtsdatum":p.BirthdayAdult2,"national":"Schweiz","gender":"männlich","aufenthalt":""}</v>
      </c>
      <c r="F7" s="146" t="s">
        <v>78</v>
      </c>
      <c r="G7" s="611" t="str">
        <f>G6</f>
        <v>p.FamilyName2</v>
      </c>
      <c r="H7" s="611" t="s">
        <v>79</v>
      </c>
      <c r="I7" s="611" t="str">
        <f>I6</f>
        <v>p.ManFirstName2</v>
      </c>
      <c r="J7" s="611" t="s">
        <v>83</v>
      </c>
      <c r="K7" s="609" t="str">
        <f>I$71</f>
        <v>p.AHVNumber5</v>
      </c>
      <c r="L7" s="611" t="s">
        <v>84</v>
      </c>
      <c r="M7" s="613" t="s">
        <v>85</v>
      </c>
      <c r="N7" s="611" t="s">
        <v>86</v>
      </c>
      <c r="O7" s="611" t="s">
        <v>87</v>
      </c>
      <c r="P7" s="611" t="s">
        <v>88</v>
      </c>
      <c r="Q7" s="614" t="str">
        <f>J71</f>
        <v>p.BirthdayAdult2</v>
      </c>
      <c r="R7" s="611" t="s">
        <v>89</v>
      </c>
      <c r="S7" s="611" t="s">
        <v>90</v>
      </c>
      <c r="T7" s="611" t="s">
        <v>91</v>
      </c>
      <c r="U7" s="611" t="s">
        <v>92</v>
      </c>
      <c r="V7" s="611" t="s">
        <v>93</v>
      </c>
      <c r="W7" s="611"/>
      <c r="X7" s="13" t="s">
        <v>37</v>
      </c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69">
        <v>3229</v>
      </c>
      <c r="AJ7" s="154">
        <v>3427</v>
      </c>
      <c r="AK7" s="156">
        <f t="shared" ref="AK7:AM7" si="16">AJ7/($AI7)</f>
        <v>1.0613192938990399</v>
      </c>
      <c r="AL7" s="154">
        <v>4677</v>
      </c>
      <c r="AM7" s="156">
        <f t="shared" si="16"/>
        <v>1.448436048312171</v>
      </c>
      <c r="AN7" s="154">
        <v>4208</v>
      </c>
      <c r="AO7" s="156">
        <f t="shared" si="3"/>
        <v>1.3031898420563641</v>
      </c>
      <c r="AP7" s="154">
        <v>3877</v>
      </c>
      <c r="AQ7" s="156">
        <f t="shared" si="3"/>
        <v>1.2006813254877671</v>
      </c>
      <c r="AR7" s="154">
        <v>4415</v>
      </c>
      <c r="AS7" s="156">
        <f t="shared" si="3"/>
        <v>1.3672963765871786</v>
      </c>
      <c r="AT7" s="154">
        <v>4191</v>
      </c>
      <c r="AU7" s="156">
        <f t="shared" si="3"/>
        <v>1.2979250541963456</v>
      </c>
      <c r="AV7" s="154">
        <v>4130</v>
      </c>
      <c r="AW7" s="156">
        <f t="shared" si="3"/>
        <v>1.2790337565809848</v>
      </c>
      <c r="AX7" s="154">
        <v>3771</v>
      </c>
      <c r="AY7" s="156">
        <f t="shared" si="4"/>
        <v>1.1678538247135335</v>
      </c>
      <c r="AZ7" s="3">
        <v>3272</v>
      </c>
      <c r="BA7" s="156">
        <f t="shared" si="5"/>
        <v>1.0133168163518118</v>
      </c>
      <c r="BB7" s="2">
        <v>2360</v>
      </c>
      <c r="BC7" s="156">
        <f t="shared" si="5"/>
        <v>0.73087643233199129</v>
      </c>
      <c r="BD7" s="2">
        <v>2433</v>
      </c>
      <c r="BE7" s="156">
        <f t="shared" si="5"/>
        <v>0.75348405078971814</v>
      </c>
      <c r="BF7" s="2">
        <v>2779</v>
      </c>
      <c r="BG7" s="156">
        <f t="shared" si="5"/>
        <v>0.86063796841127282</v>
      </c>
      <c r="BH7" s="2">
        <v>2989</v>
      </c>
      <c r="BI7" s="156">
        <f t="shared" si="5"/>
        <v>0.92567358315267889</v>
      </c>
      <c r="BJ7" s="2">
        <v>2287</v>
      </c>
      <c r="BK7" s="156">
        <f t="shared" si="5"/>
        <v>0.70826881387426444</v>
      </c>
      <c r="BM7" s="10">
        <v>3974</v>
      </c>
      <c r="BN7" s="156">
        <f t="shared" si="6"/>
        <v>1.230721585630226</v>
      </c>
      <c r="BO7" s="10">
        <v>3433</v>
      </c>
      <c r="BP7" s="156">
        <f t="shared" si="7"/>
        <v>1.063177454320223</v>
      </c>
      <c r="BQ7" s="10">
        <v>3323</v>
      </c>
      <c r="BR7" s="156">
        <f t="shared" si="7"/>
        <v>1.0291111799318675</v>
      </c>
      <c r="BS7" s="10">
        <v>3317</v>
      </c>
      <c r="BT7" s="156">
        <f t="shared" si="7"/>
        <v>1.0272530195106844</v>
      </c>
      <c r="BU7" s="10">
        <v>3295</v>
      </c>
      <c r="BV7" s="156">
        <f t="shared" si="7"/>
        <v>1.0204397646330132</v>
      </c>
      <c r="BW7" s="10">
        <v>3232</v>
      </c>
      <c r="BX7" s="156">
        <f t="shared" si="7"/>
        <v>1.0009290802105915</v>
      </c>
      <c r="BY7" s="10">
        <v>3116</v>
      </c>
      <c r="BZ7" s="156">
        <f t="shared" si="8"/>
        <v>0.96500464540105291</v>
      </c>
      <c r="CA7" s="10">
        <v>3388</v>
      </c>
      <c r="CB7" s="156">
        <f t="shared" si="9"/>
        <v>1.0492412511613503</v>
      </c>
      <c r="CC7" s="10">
        <v>2656</v>
      </c>
      <c r="CD7" s="156">
        <f t="shared" si="10"/>
        <v>0.82254567977702076</v>
      </c>
      <c r="CE7" s="10">
        <v>2840</v>
      </c>
      <c r="CF7" s="156">
        <f t="shared" si="10"/>
        <v>0.87952926602663362</v>
      </c>
      <c r="CG7" s="10">
        <v>3262</v>
      </c>
      <c r="CH7" s="156">
        <f t="shared" si="10"/>
        <v>1.0102198823165067</v>
      </c>
      <c r="CI7" s="10">
        <v>3015</v>
      </c>
      <c r="CJ7" s="156">
        <f t="shared" si="10"/>
        <v>0.93372561164447199</v>
      </c>
      <c r="CK7" s="10">
        <v>2756</v>
      </c>
      <c r="CL7" s="156">
        <f t="shared" si="10"/>
        <v>0.85351502013007119</v>
      </c>
      <c r="CM7" s="10">
        <v>3133</v>
      </c>
      <c r="CN7" s="156">
        <f t="shared" si="11"/>
        <v>0.97026943326107151</v>
      </c>
      <c r="CO7" s="10">
        <v>2712</v>
      </c>
      <c r="CP7" s="156">
        <f t="shared" si="12"/>
        <v>0.839888510374729</v>
      </c>
      <c r="CQ7" s="10">
        <v>2931</v>
      </c>
      <c r="CR7" s="156">
        <f t="shared" si="13"/>
        <v>0.90771136574790956</v>
      </c>
      <c r="CS7" s="10">
        <v>2665</v>
      </c>
      <c r="CT7" s="156">
        <f t="shared" si="13"/>
        <v>0.82533292040879525</v>
      </c>
      <c r="CU7" s="10">
        <v>3598</v>
      </c>
      <c r="CV7" s="156">
        <f t="shared" si="13"/>
        <v>1.1142768659027562</v>
      </c>
      <c r="CW7" s="10">
        <v>5739</v>
      </c>
      <c r="CX7" s="156">
        <f t="shared" si="13"/>
        <v>1.7773304428615671</v>
      </c>
      <c r="CY7" s="10">
        <v>2612</v>
      </c>
      <c r="CZ7" s="156">
        <f t="shared" si="13"/>
        <v>0.80891917002167857</v>
      </c>
      <c r="DA7" s="10">
        <v>3114</v>
      </c>
      <c r="DB7" s="156">
        <f t="shared" si="14"/>
        <v>0.96438525859399193</v>
      </c>
      <c r="DC7" s="10">
        <v>2690</v>
      </c>
      <c r="DE7" s="10">
        <v>2632</v>
      </c>
      <c r="DG7" s="10">
        <v>4352</v>
      </c>
      <c r="DI7" s="10">
        <v>3018</v>
      </c>
      <c r="DK7" s="10">
        <v>3168</v>
      </c>
      <c r="DM7" s="10">
        <v>2347</v>
      </c>
      <c r="DO7" s="10">
        <v>3415</v>
      </c>
      <c r="DP7" s="10" t="s">
        <v>1718</v>
      </c>
    </row>
    <row r="8" spans="1:120" s="10" customFormat="1" ht="15.75" customHeight="1" thickBot="1">
      <c r="A8" s="1209">
        <v>7</v>
      </c>
      <c r="B8" s="1214" t="s">
        <v>94</v>
      </c>
      <c r="C8" s="1213" t="str">
        <f t="shared" ca="1" si="0"/>
        <v>{"mobile":"079 5587235","privateNumber":"079 5299720","email":"5057abc@gmail.com"}</v>
      </c>
      <c r="D8" s="122"/>
      <c r="E8" s="121" t="str">
        <f t="shared" ca="1" si="1"/>
        <v>{"mobile":"079 5587235","privateNumber":"079 5299720","email":"5057abc@gmail.com"}</v>
      </c>
      <c r="F8" s="146" t="s">
        <v>95</v>
      </c>
      <c r="G8" s="611" t="str">
        <f ca="1">"079 "&amp;RANDBETWEEN(5234500,5699999)</f>
        <v>079 5587235</v>
      </c>
      <c r="H8" s="611" t="s">
        <v>96</v>
      </c>
      <c r="I8" s="611" t="str">
        <f ca="1">"079 "&amp;RANDBETWEEN(5234500,5699999)</f>
        <v>079 5299720</v>
      </c>
      <c r="J8" s="611" t="s">
        <v>97</v>
      </c>
      <c r="K8" s="612" t="s">
        <v>285</v>
      </c>
      <c r="L8" s="611" t="s">
        <v>37</v>
      </c>
      <c r="M8" s="611"/>
      <c r="N8" s="611"/>
      <c r="O8" s="611"/>
      <c r="P8" s="611"/>
      <c r="Q8" s="611"/>
      <c r="R8" s="611"/>
      <c r="S8" s="611"/>
      <c r="T8" s="611"/>
      <c r="U8" s="611"/>
      <c r="V8" s="611"/>
      <c r="W8" s="611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69">
        <v>487</v>
      </c>
      <c r="AJ8" s="154">
        <v>453</v>
      </c>
      <c r="AK8" s="156">
        <f t="shared" ref="AK8:AM8" si="17">AJ8/($AI8)</f>
        <v>0.93018480492813138</v>
      </c>
      <c r="AL8" s="154">
        <v>818</v>
      </c>
      <c r="AM8" s="156">
        <f t="shared" si="17"/>
        <v>1.6796714579055441</v>
      </c>
      <c r="AN8" s="154">
        <v>651</v>
      </c>
      <c r="AO8" s="156">
        <f t="shared" si="3"/>
        <v>1.3367556468172486</v>
      </c>
      <c r="AP8" s="154">
        <v>608</v>
      </c>
      <c r="AQ8" s="156">
        <f t="shared" si="3"/>
        <v>1.2484599589322383</v>
      </c>
      <c r="AR8" s="154">
        <v>669</v>
      </c>
      <c r="AS8" s="156">
        <f t="shared" si="3"/>
        <v>1.3737166324435319</v>
      </c>
      <c r="AT8" s="154">
        <v>565</v>
      </c>
      <c r="AU8" s="156">
        <f t="shared" si="3"/>
        <v>1.160164271047228</v>
      </c>
      <c r="AV8" s="154">
        <v>681</v>
      </c>
      <c r="AW8" s="156">
        <f t="shared" si="3"/>
        <v>1.3983572895277208</v>
      </c>
      <c r="AX8" s="154">
        <v>531</v>
      </c>
      <c r="AY8" s="156">
        <f t="shared" si="4"/>
        <v>1.0903490759753593</v>
      </c>
      <c r="AZ8" s="3">
        <v>438</v>
      </c>
      <c r="BA8" s="156">
        <f t="shared" si="5"/>
        <v>0.89938398357289528</v>
      </c>
      <c r="BB8" s="2">
        <v>248</v>
      </c>
      <c r="BC8" s="156">
        <f t="shared" si="5"/>
        <v>0.50924024640657084</v>
      </c>
      <c r="BD8" s="2">
        <v>219</v>
      </c>
      <c r="BE8" s="156">
        <f t="shared" si="5"/>
        <v>0.44969199178644764</v>
      </c>
      <c r="BF8" s="2">
        <v>256</v>
      </c>
      <c r="BG8" s="156">
        <f t="shared" si="5"/>
        <v>0.52566735112936347</v>
      </c>
      <c r="BH8" s="2">
        <v>220</v>
      </c>
      <c r="BI8" s="156">
        <f t="shared" si="5"/>
        <v>0.45174537987679669</v>
      </c>
      <c r="BJ8" s="2">
        <v>254</v>
      </c>
      <c r="BK8" s="156">
        <f t="shared" si="5"/>
        <v>0.52156057494866526</v>
      </c>
      <c r="BM8" s="10">
        <v>330</v>
      </c>
      <c r="BN8" s="156">
        <f t="shared" si="6"/>
        <v>0.67761806981519512</v>
      </c>
      <c r="BO8" s="10">
        <v>349</v>
      </c>
      <c r="BP8" s="156">
        <f t="shared" si="7"/>
        <v>0.71663244353182753</v>
      </c>
      <c r="BQ8" s="10">
        <v>385</v>
      </c>
      <c r="BR8" s="156">
        <f t="shared" si="7"/>
        <v>0.79055441478439425</v>
      </c>
      <c r="BS8" s="10">
        <v>346</v>
      </c>
      <c r="BT8" s="156">
        <f t="shared" si="7"/>
        <v>0.71047227926078027</v>
      </c>
      <c r="BU8" s="10">
        <v>341</v>
      </c>
      <c r="BV8" s="156">
        <f t="shared" si="7"/>
        <v>0.70020533880903491</v>
      </c>
      <c r="BW8" s="10">
        <v>390</v>
      </c>
      <c r="BX8" s="156">
        <f t="shared" si="7"/>
        <v>0.80082135523613962</v>
      </c>
      <c r="BY8" s="10">
        <v>384</v>
      </c>
      <c r="BZ8" s="156">
        <f t="shared" si="8"/>
        <v>0.7885010266940452</v>
      </c>
      <c r="CA8" s="10">
        <v>307</v>
      </c>
      <c r="CB8" s="156">
        <f t="shared" si="9"/>
        <v>0.63039014373716629</v>
      </c>
      <c r="CC8" s="10">
        <v>340</v>
      </c>
      <c r="CD8" s="156">
        <f t="shared" si="10"/>
        <v>0.69815195071868585</v>
      </c>
      <c r="CE8" s="10">
        <v>364</v>
      </c>
      <c r="CF8" s="156">
        <f t="shared" si="10"/>
        <v>0.74743326488706363</v>
      </c>
      <c r="CG8" s="10">
        <v>356</v>
      </c>
      <c r="CH8" s="156">
        <f t="shared" si="10"/>
        <v>0.731006160164271</v>
      </c>
      <c r="CI8" s="10">
        <v>276</v>
      </c>
      <c r="CJ8" s="156">
        <f t="shared" si="10"/>
        <v>0.56673511293634493</v>
      </c>
      <c r="CK8" s="10">
        <v>313</v>
      </c>
      <c r="CL8" s="156">
        <f t="shared" si="10"/>
        <v>0.64271047227926081</v>
      </c>
      <c r="CM8" s="10">
        <v>210</v>
      </c>
      <c r="CN8" s="156">
        <f t="shared" si="11"/>
        <v>0.43121149897330596</v>
      </c>
      <c r="CO8" s="10">
        <v>242</v>
      </c>
      <c r="CP8" s="156">
        <f t="shared" si="12"/>
        <v>0.49691991786447637</v>
      </c>
      <c r="CQ8" s="10">
        <v>243</v>
      </c>
      <c r="CR8" s="156">
        <f t="shared" si="13"/>
        <v>0.49897330595482547</v>
      </c>
      <c r="CS8" s="10">
        <v>272</v>
      </c>
      <c r="CT8" s="156">
        <f t="shared" si="13"/>
        <v>0.55852156057494862</v>
      </c>
      <c r="CU8" s="10">
        <v>370</v>
      </c>
      <c r="CV8" s="156">
        <f t="shared" si="13"/>
        <v>0.75975359342915816</v>
      </c>
      <c r="CW8" s="10">
        <v>215</v>
      </c>
      <c r="CX8" s="156">
        <f t="shared" si="13"/>
        <v>0.44147843942505133</v>
      </c>
      <c r="CY8" s="10">
        <v>251</v>
      </c>
      <c r="CZ8" s="156">
        <f t="shared" si="13"/>
        <v>0.5154004106776181</v>
      </c>
      <c r="DA8" s="10">
        <v>249</v>
      </c>
      <c r="DB8" s="156">
        <f t="shared" si="14"/>
        <v>0.51129363449691989</v>
      </c>
      <c r="DC8" s="10">
        <v>271</v>
      </c>
      <c r="DE8" s="10">
        <v>211</v>
      </c>
      <c r="DG8" s="10">
        <v>686</v>
      </c>
      <c r="DI8" s="10">
        <v>526</v>
      </c>
      <c r="DK8" s="10">
        <v>276</v>
      </c>
      <c r="DM8" s="10">
        <v>238</v>
      </c>
      <c r="DO8" s="10">
        <v>255</v>
      </c>
      <c r="DP8" s="10" t="s">
        <v>1718</v>
      </c>
    </row>
    <row r="9" spans="1:120" s="10" customFormat="1" ht="15.75" customHeight="1" thickBot="1">
      <c r="A9" s="1209">
        <v>8</v>
      </c>
      <c r="B9" s="1214" t="s">
        <v>99</v>
      </c>
      <c r="C9" s="1213" t="str">
        <f t="shared" ca="1" si="0"/>
        <v>{"zusatz":"","strasse":"Strasse_80","houseNumber":"18","ort":"3053 Münchenbuchsee","validDate":"9.5.2021"}</v>
      </c>
      <c r="D9" s="122"/>
      <c r="E9" s="121" t="str">
        <f t="shared" ca="1" si="1"/>
        <v>{"zusatz":"","strasse":"Strasse_80","houseNumber":"18","ort":"3053 Münchenbuchsee","validDate":"9.5.2021"}</v>
      </c>
      <c r="F9" s="611" t="s">
        <v>100</v>
      </c>
      <c r="G9" s="611"/>
      <c r="H9" s="611" t="s">
        <v>101</v>
      </c>
      <c r="I9" s="611" t="str">
        <f ca="1">"Strasse_"&amp;RANDBETWEEN(1,1000)</f>
        <v>Strasse_80</v>
      </c>
      <c r="J9" s="611" t="s">
        <v>102</v>
      </c>
      <c r="K9" s="611">
        <f ca="1">RANDBETWEEN(1,100)</f>
        <v>18</v>
      </c>
      <c r="L9" s="611" t="s">
        <v>103</v>
      </c>
      <c r="M9" s="611" t="s">
        <v>104</v>
      </c>
      <c r="N9" s="611" t="s">
        <v>105</v>
      </c>
      <c r="O9" s="615" t="str">
        <f ca="1">TEXT(RANDBETWEEN(1,28)&amp;"."&amp;RANDBETWEEN(1,12)&amp;"."&amp;TEXT(TODAY()-4*365,"YYYY"),"DD.MM.YYYY")</f>
        <v>9.5.2021</v>
      </c>
      <c r="P9" s="611" t="s">
        <v>37</v>
      </c>
      <c r="Q9" s="611"/>
      <c r="R9" s="611"/>
      <c r="S9" s="611"/>
      <c r="T9" s="611"/>
      <c r="U9" s="611"/>
      <c r="V9" s="611"/>
      <c r="W9" s="611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69">
        <v>5157</v>
      </c>
      <c r="AJ9" s="154">
        <v>5310</v>
      </c>
      <c r="AK9" s="156">
        <f t="shared" ref="AK9:AM9" si="18">AJ9/($AI9)</f>
        <v>1.0296684118673647</v>
      </c>
      <c r="AL9" s="154">
        <v>6030</v>
      </c>
      <c r="AM9" s="156">
        <f t="shared" si="18"/>
        <v>1.169284467713787</v>
      </c>
      <c r="AN9" s="154">
        <v>5649</v>
      </c>
      <c r="AO9" s="156">
        <f t="shared" si="3"/>
        <v>1.0954043048283886</v>
      </c>
      <c r="AP9" s="154">
        <v>5525</v>
      </c>
      <c r="AQ9" s="156">
        <f t="shared" si="3"/>
        <v>1.0713593174326159</v>
      </c>
      <c r="AR9" s="154">
        <v>5725</v>
      </c>
      <c r="AS9" s="156">
        <f t="shared" si="3"/>
        <v>1.1101415551677332</v>
      </c>
      <c r="AT9" s="154">
        <v>5607</v>
      </c>
      <c r="AU9" s="156">
        <f t="shared" si="3"/>
        <v>1.087260034904014</v>
      </c>
      <c r="AV9" s="154">
        <v>5776</v>
      </c>
      <c r="AW9" s="156">
        <f t="shared" si="3"/>
        <v>1.120031025790188</v>
      </c>
      <c r="AX9" s="154">
        <v>5440</v>
      </c>
      <c r="AY9" s="156">
        <f t="shared" si="4"/>
        <v>1.0548768663951911</v>
      </c>
      <c r="AZ9" s="3">
        <v>5196</v>
      </c>
      <c r="BA9" s="156">
        <f t="shared" si="5"/>
        <v>1.0075625363583478</v>
      </c>
      <c r="BB9" s="2">
        <v>4783</v>
      </c>
      <c r="BC9" s="156">
        <f t="shared" si="5"/>
        <v>0.92747721543533057</v>
      </c>
      <c r="BD9" s="2">
        <v>4823</v>
      </c>
      <c r="BE9" s="156">
        <f t="shared" si="5"/>
        <v>0.93523366298235411</v>
      </c>
      <c r="BF9" s="2">
        <v>4698</v>
      </c>
      <c r="BG9" s="156">
        <f t="shared" si="5"/>
        <v>0.91099476439790572</v>
      </c>
      <c r="BH9" s="2">
        <v>4763</v>
      </c>
      <c r="BI9" s="156">
        <f t="shared" si="5"/>
        <v>0.92359899166181891</v>
      </c>
      <c r="BJ9" s="2">
        <v>4593</v>
      </c>
      <c r="BK9" s="156">
        <f t="shared" si="5"/>
        <v>0.89063408958696921</v>
      </c>
      <c r="BM9" s="10">
        <v>5073</v>
      </c>
      <c r="BN9" s="156">
        <f t="shared" si="6"/>
        <v>0.98371146015125077</v>
      </c>
      <c r="BO9" s="10">
        <v>4976</v>
      </c>
      <c r="BP9" s="156">
        <f t="shared" si="7"/>
        <v>0.96490207484971879</v>
      </c>
      <c r="BQ9" s="10">
        <v>4963</v>
      </c>
      <c r="BR9" s="156">
        <f t="shared" si="7"/>
        <v>0.96238122939693616</v>
      </c>
      <c r="BS9" s="10">
        <v>5002</v>
      </c>
      <c r="BT9" s="156">
        <f t="shared" si="7"/>
        <v>0.96994376575528407</v>
      </c>
      <c r="BU9" s="10">
        <v>5012</v>
      </c>
      <c r="BV9" s="156">
        <f t="shared" si="7"/>
        <v>0.97188287764203996</v>
      </c>
      <c r="BW9" s="10">
        <v>5122</v>
      </c>
      <c r="BX9" s="156">
        <f t="shared" si="7"/>
        <v>0.99321310839635446</v>
      </c>
      <c r="BY9" s="10">
        <v>4980</v>
      </c>
      <c r="BZ9" s="156">
        <f t="shared" si="8"/>
        <v>0.96567771960442117</v>
      </c>
      <c r="CA9" s="10">
        <v>4943</v>
      </c>
      <c r="CB9" s="156">
        <f t="shared" si="9"/>
        <v>0.9585030056234245</v>
      </c>
      <c r="CC9" s="10">
        <v>4958</v>
      </c>
      <c r="CD9" s="156">
        <f t="shared" si="10"/>
        <v>0.96141167345355827</v>
      </c>
      <c r="CE9" s="10">
        <v>5026</v>
      </c>
      <c r="CF9" s="156">
        <f t="shared" si="10"/>
        <v>0.9745976342834981</v>
      </c>
      <c r="CG9" s="10">
        <v>5115</v>
      </c>
      <c r="CH9" s="156">
        <f t="shared" si="10"/>
        <v>0.99185573007562533</v>
      </c>
      <c r="CI9" s="10">
        <v>4871</v>
      </c>
      <c r="CJ9" s="156">
        <f t="shared" si="10"/>
        <v>0.94454140003878229</v>
      </c>
      <c r="CK9" s="10">
        <v>4969</v>
      </c>
      <c r="CL9" s="156">
        <f t="shared" si="10"/>
        <v>0.96354469652898977</v>
      </c>
      <c r="CM9" s="10">
        <v>4726</v>
      </c>
      <c r="CN9" s="156">
        <f t="shared" si="11"/>
        <v>0.91642427768082213</v>
      </c>
      <c r="CO9" s="10">
        <v>4821</v>
      </c>
      <c r="CP9" s="156">
        <f t="shared" si="12"/>
        <v>0.93484584060500286</v>
      </c>
      <c r="CQ9" s="10">
        <v>4814</v>
      </c>
      <c r="CR9" s="156">
        <f t="shared" si="13"/>
        <v>0.93348846228427385</v>
      </c>
      <c r="CS9" s="10">
        <v>4843</v>
      </c>
      <c r="CT9" s="156">
        <f t="shared" si="13"/>
        <v>0.93911188675586577</v>
      </c>
      <c r="CU9" s="10">
        <v>4965</v>
      </c>
      <c r="CV9" s="156">
        <f t="shared" si="13"/>
        <v>0.9627690517742874</v>
      </c>
      <c r="CW9" s="10">
        <v>4729</v>
      </c>
      <c r="CX9" s="156">
        <f t="shared" si="13"/>
        <v>0.917006011246849</v>
      </c>
      <c r="CY9" s="10">
        <v>4782</v>
      </c>
      <c r="CZ9" s="156">
        <f t="shared" si="13"/>
        <v>0.92728330424665506</v>
      </c>
      <c r="DA9" s="10">
        <v>2164</v>
      </c>
      <c r="DB9" s="156">
        <f t="shared" si="14"/>
        <v>0.41962381229396939</v>
      </c>
      <c r="DC9" s="10">
        <v>2034</v>
      </c>
      <c r="DE9" s="10">
        <v>1316</v>
      </c>
      <c r="DG9" s="10">
        <v>2789</v>
      </c>
      <c r="DI9" s="10">
        <v>1949</v>
      </c>
      <c r="DK9" s="10">
        <v>1591</v>
      </c>
      <c r="DM9" s="10">
        <v>1770</v>
      </c>
      <c r="DO9" s="10">
        <v>2434</v>
      </c>
      <c r="DP9" s="10" t="s">
        <v>1718</v>
      </c>
    </row>
    <row r="10" spans="1:120" s="10" customFormat="1" ht="15.75" customHeight="1">
      <c r="A10" s="1209">
        <v>9</v>
      </c>
      <c r="B10" s="1214" t="s">
        <v>106</v>
      </c>
      <c r="C10" s="1213" t="str">
        <f>E10</f>
        <v>{"iban":p.IBAN2}</v>
      </c>
      <c r="D10" s="122"/>
      <c r="E10" s="121" t="str">
        <f>F10&amp;G10&amp;H10&amp;I10&amp;J10&amp;K10&amp;L10&amp;M10&amp;N10&amp;O10&amp;P10&amp;Q10&amp;R10&amp;S10&amp;T10&amp;U10&amp;V10&amp;W10&amp;X10</f>
        <v>{"iban":p.IBAN2}</v>
      </c>
      <c r="F10" s="146" t="s">
        <v>107</v>
      </c>
      <c r="G10" s="611" t="s">
        <v>286</v>
      </c>
      <c r="H10" s="611" t="s">
        <v>109</v>
      </c>
      <c r="I10" s="616"/>
      <c r="J10" s="611"/>
      <c r="K10" s="611"/>
      <c r="L10" s="611"/>
      <c r="M10" s="611"/>
      <c r="N10" s="611"/>
      <c r="O10" s="611"/>
      <c r="P10" s="611"/>
      <c r="Q10" s="611"/>
      <c r="R10" s="611"/>
      <c r="S10" s="611"/>
      <c r="T10" s="611"/>
      <c r="U10" s="611"/>
      <c r="V10" s="611"/>
      <c r="W10" s="611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69">
        <v>2111</v>
      </c>
      <c r="AJ10" s="154">
        <v>2154</v>
      </c>
      <c r="AK10" s="156">
        <f t="shared" ref="AK10:AM10" si="19">AJ10/($AI10)</f>
        <v>1.0203694931312175</v>
      </c>
      <c r="AL10" s="154">
        <v>2265</v>
      </c>
      <c r="AM10" s="156">
        <f t="shared" si="19"/>
        <v>1.0729512079583137</v>
      </c>
      <c r="AN10" s="154">
        <v>2193</v>
      </c>
      <c r="AO10" s="156">
        <f t="shared" si="3"/>
        <v>1.038844149692089</v>
      </c>
      <c r="AP10" s="154">
        <v>2211</v>
      </c>
      <c r="AQ10" s="156">
        <f t="shared" si="3"/>
        <v>1.0473709142586451</v>
      </c>
      <c r="AR10" s="154">
        <v>2229</v>
      </c>
      <c r="AS10" s="156">
        <f t="shared" si="3"/>
        <v>1.0558976788252012</v>
      </c>
      <c r="AT10" s="154">
        <v>2237</v>
      </c>
      <c r="AU10" s="156">
        <f t="shared" si="3"/>
        <v>1.0596873519658929</v>
      </c>
      <c r="AV10" s="154">
        <v>2194</v>
      </c>
      <c r="AW10" s="156">
        <f t="shared" si="3"/>
        <v>1.0393178588346754</v>
      </c>
      <c r="AX10" s="154">
        <v>2167</v>
      </c>
      <c r="AY10" s="156">
        <f t="shared" si="4"/>
        <v>1.0265277119848413</v>
      </c>
      <c r="AZ10" s="3">
        <v>2101</v>
      </c>
      <c r="BA10" s="156">
        <f t="shared" si="5"/>
        <v>0.99526290857413546</v>
      </c>
      <c r="BB10" s="2">
        <v>108</v>
      </c>
      <c r="BC10" s="156">
        <f t="shared" si="5"/>
        <v>5.1160587399336807E-2</v>
      </c>
      <c r="BD10" s="2">
        <v>153</v>
      </c>
      <c r="BE10" s="156">
        <f t="shared" si="5"/>
        <v>7.247749881572714E-2</v>
      </c>
      <c r="BF10" s="2">
        <v>87</v>
      </c>
      <c r="BG10" s="156">
        <f t="shared" si="5"/>
        <v>4.1212695405021316E-2</v>
      </c>
      <c r="BH10" s="2">
        <v>68</v>
      </c>
      <c r="BI10" s="156">
        <f t="shared" si="5"/>
        <v>3.2212221695878729E-2</v>
      </c>
      <c r="BJ10" s="2">
        <v>146</v>
      </c>
      <c r="BK10" s="156">
        <f t="shared" si="5"/>
        <v>6.9161534817621981E-2</v>
      </c>
      <c r="BM10" s="10">
        <v>91</v>
      </c>
      <c r="BN10" s="156">
        <f t="shared" si="6"/>
        <v>4.3107531975367125E-2</v>
      </c>
      <c r="BO10" s="10">
        <v>116</v>
      </c>
      <c r="BP10" s="156">
        <f t="shared" si="7"/>
        <v>5.4950260540028426E-2</v>
      </c>
      <c r="BQ10" s="10">
        <v>94</v>
      </c>
      <c r="BR10" s="156">
        <f t="shared" si="7"/>
        <v>4.4528659403126482E-2</v>
      </c>
      <c r="BS10" s="10">
        <v>87</v>
      </c>
      <c r="BT10" s="156">
        <f t="shared" si="7"/>
        <v>4.1212695405021316E-2</v>
      </c>
      <c r="BU10" s="10">
        <v>102</v>
      </c>
      <c r="BV10" s="156">
        <f t="shared" si="7"/>
        <v>4.8318332543818093E-2</v>
      </c>
      <c r="BW10" s="10">
        <v>96</v>
      </c>
      <c r="BX10" s="156">
        <f t="shared" si="7"/>
        <v>4.5476077688299386E-2</v>
      </c>
      <c r="BY10" s="10">
        <v>87</v>
      </c>
      <c r="BZ10" s="156">
        <f t="shared" si="8"/>
        <v>4.1212695405021316E-2</v>
      </c>
      <c r="CA10" s="10">
        <v>106</v>
      </c>
      <c r="CB10" s="156">
        <f t="shared" si="9"/>
        <v>5.0213169114163902E-2</v>
      </c>
      <c r="CC10" s="10">
        <v>58</v>
      </c>
      <c r="CD10" s="156">
        <f t="shared" si="10"/>
        <v>2.7475130270014213E-2</v>
      </c>
      <c r="CE10" s="10">
        <v>101</v>
      </c>
      <c r="CF10" s="156">
        <f t="shared" si="10"/>
        <v>4.7844623401231641E-2</v>
      </c>
      <c r="CG10" s="10">
        <v>135</v>
      </c>
      <c r="CH10" s="156">
        <f t="shared" si="10"/>
        <v>6.3950734249171012E-2</v>
      </c>
      <c r="CI10" s="10">
        <v>103</v>
      </c>
      <c r="CJ10" s="156">
        <f t="shared" si="10"/>
        <v>4.8792041686404546E-2</v>
      </c>
      <c r="CK10" s="10">
        <v>84</v>
      </c>
      <c r="CL10" s="156">
        <f t="shared" si="10"/>
        <v>3.9791567977261959E-2</v>
      </c>
      <c r="CM10" s="10">
        <v>62</v>
      </c>
      <c r="CN10" s="156">
        <f t="shared" si="11"/>
        <v>2.9369966840360019E-2</v>
      </c>
      <c r="CO10" s="10">
        <v>56</v>
      </c>
      <c r="CP10" s="156">
        <f t="shared" si="12"/>
        <v>2.6527711984841308E-2</v>
      </c>
      <c r="CQ10" s="10">
        <v>58</v>
      </c>
      <c r="CR10" s="156">
        <f t="shared" si="13"/>
        <v>2.7475130270014213E-2</v>
      </c>
      <c r="CS10" s="10">
        <v>64</v>
      </c>
      <c r="CT10" s="156">
        <f t="shared" si="13"/>
        <v>3.0317385125532923E-2</v>
      </c>
      <c r="CU10" s="10">
        <v>49</v>
      </c>
      <c r="CV10" s="156">
        <f t="shared" si="13"/>
        <v>2.3211747986736146E-2</v>
      </c>
      <c r="CW10" s="10">
        <v>54</v>
      </c>
      <c r="CX10" s="156">
        <f t="shared" si="13"/>
        <v>2.5580293699668404E-2</v>
      </c>
      <c r="CY10" s="10">
        <v>81</v>
      </c>
      <c r="CZ10" s="156">
        <f t="shared" si="13"/>
        <v>3.8370440549502609E-2</v>
      </c>
      <c r="DA10" s="10">
        <v>114</v>
      </c>
      <c r="DB10" s="156">
        <f t="shared" si="14"/>
        <v>5.4002842254855521E-2</v>
      </c>
      <c r="DC10" s="10">
        <v>121</v>
      </c>
      <c r="DE10" s="10">
        <v>121</v>
      </c>
      <c r="DG10" s="10">
        <v>258</v>
      </c>
      <c r="DI10" s="10">
        <v>142</v>
      </c>
      <c r="DK10" s="10">
        <v>119</v>
      </c>
      <c r="DM10" s="10">
        <v>125</v>
      </c>
      <c r="DO10" s="10">
        <v>192</v>
      </c>
      <c r="DP10" s="10" t="s">
        <v>1718</v>
      </c>
    </row>
    <row r="11" spans="1:120" s="53" customFormat="1" ht="15.75" customHeight="1">
      <c r="A11" s="1209"/>
      <c r="B11" s="1212" t="s">
        <v>22</v>
      </c>
      <c r="C11" s="1210" t="s">
        <v>126</v>
      </c>
      <c r="D11" s="122"/>
      <c r="E11" s="593"/>
      <c r="F11" s="624"/>
      <c r="G11" s="652"/>
      <c r="H11" s="611"/>
      <c r="I11" s="611"/>
      <c r="J11" s="611"/>
      <c r="K11" s="611"/>
      <c r="L11" s="611"/>
      <c r="M11" s="611"/>
      <c r="N11" s="611"/>
      <c r="O11" s="611"/>
      <c r="P11" s="611"/>
      <c r="Q11" s="611"/>
      <c r="R11" s="611"/>
      <c r="S11" s="611"/>
      <c r="T11" s="611"/>
      <c r="U11" s="611"/>
      <c r="V11" s="611"/>
      <c r="W11" s="611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169">
        <v>1015</v>
      </c>
      <c r="AJ11" s="157">
        <v>1016</v>
      </c>
      <c r="AK11" s="156">
        <f t="shared" ref="AK11:AM11" si="20">AJ11/($AI11)</f>
        <v>1.0009852216748769</v>
      </c>
      <c r="AL11" s="157">
        <v>1006</v>
      </c>
      <c r="AM11" s="156">
        <f t="shared" si="20"/>
        <v>0.99113300492610834</v>
      </c>
      <c r="AN11" s="157">
        <v>1016</v>
      </c>
      <c r="AO11" s="156">
        <f t="shared" si="3"/>
        <v>1.0009852216748769</v>
      </c>
      <c r="AP11" s="157">
        <v>1008</v>
      </c>
      <c r="AQ11" s="156">
        <f t="shared" si="3"/>
        <v>0.99310344827586206</v>
      </c>
      <c r="AR11" s="157">
        <v>1017</v>
      </c>
      <c r="AS11" s="156">
        <f t="shared" si="3"/>
        <v>1.0019704433497536</v>
      </c>
      <c r="AT11" s="157">
        <v>1015</v>
      </c>
      <c r="AU11" s="156">
        <f t="shared" si="3"/>
        <v>1</v>
      </c>
      <c r="AV11" s="157">
        <v>1006</v>
      </c>
      <c r="AW11" s="156">
        <f t="shared" si="3"/>
        <v>0.99113300492610834</v>
      </c>
      <c r="AX11" s="157">
        <v>1018</v>
      </c>
      <c r="AY11" s="156">
        <f t="shared" si="4"/>
        <v>1.0029556650246305</v>
      </c>
      <c r="AZ11" s="3">
        <v>1019</v>
      </c>
      <c r="BA11" s="156">
        <f t="shared" si="5"/>
        <v>1.0039408866995074</v>
      </c>
      <c r="BB11" s="2">
        <v>1015</v>
      </c>
      <c r="BC11" s="156">
        <f t="shared" si="5"/>
        <v>1</v>
      </c>
      <c r="BD11" s="2">
        <v>1009</v>
      </c>
      <c r="BE11" s="156">
        <f t="shared" si="5"/>
        <v>0.99408866995073897</v>
      </c>
      <c r="BG11" s="156">
        <f t="shared" si="5"/>
        <v>0</v>
      </c>
      <c r="BI11" s="156">
        <f t="shared" si="5"/>
        <v>0</v>
      </c>
      <c r="BK11" s="156">
        <f t="shared" si="5"/>
        <v>0</v>
      </c>
      <c r="BN11" s="156">
        <f t="shared" si="6"/>
        <v>0</v>
      </c>
      <c r="BP11" s="156">
        <f t="shared" si="7"/>
        <v>0</v>
      </c>
      <c r="BR11" s="156">
        <f t="shared" si="7"/>
        <v>0</v>
      </c>
      <c r="BT11" s="156">
        <f t="shared" si="7"/>
        <v>0</v>
      </c>
      <c r="BV11" s="156">
        <f t="shared" si="7"/>
        <v>0</v>
      </c>
      <c r="BX11" s="156">
        <f t="shared" si="7"/>
        <v>0</v>
      </c>
      <c r="BZ11" s="156">
        <f t="shared" si="8"/>
        <v>0</v>
      </c>
      <c r="CB11" s="156">
        <f t="shared" si="9"/>
        <v>0</v>
      </c>
      <c r="CD11" s="156">
        <f t="shared" si="10"/>
        <v>0</v>
      </c>
      <c r="CF11" s="156">
        <f t="shared" si="10"/>
        <v>0</v>
      </c>
      <c r="CH11" s="156">
        <f t="shared" si="10"/>
        <v>0</v>
      </c>
      <c r="CJ11" s="156">
        <f t="shared" si="10"/>
        <v>0</v>
      </c>
      <c r="CL11" s="156">
        <f t="shared" si="10"/>
        <v>0</v>
      </c>
      <c r="CN11" s="156">
        <f t="shared" si="11"/>
        <v>0</v>
      </c>
      <c r="CP11" s="156">
        <f t="shared" si="12"/>
        <v>0</v>
      </c>
      <c r="CR11" s="156">
        <f t="shared" si="13"/>
        <v>0</v>
      </c>
      <c r="CT11" s="156">
        <f t="shared" si="13"/>
        <v>0</v>
      </c>
      <c r="CV11" s="156">
        <f t="shared" si="13"/>
        <v>0</v>
      </c>
      <c r="CX11" s="156">
        <f t="shared" si="13"/>
        <v>0</v>
      </c>
      <c r="CZ11" s="156">
        <f t="shared" si="13"/>
        <v>0</v>
      </c>
      <c r="DB11" s="156">
        <f t="shared" si="14"/>
        <v>0</v>
      </c>
    </row>
    <row r="12" spans="1:120" s="10" customFormat="1" ht="15.75" customHeight="1">
      <c r="A12" s="1209">
        <v>11</v>
      </c>
      <c r="B12" s="1214" t="s">
        <v>110</v>
      </c>
      <c r="C12" s="1213"/>
      <c r="D12" s="122"/>
      <c r="E12" s="121"/>
      <c r="F12" s="611"/>
      <c r="G12" s="611"/>
      <c r="H12" s="611"/>
      <c r="I12" s="611"/>
      <c r="J12" s="611"/>
      <c r="K12" s="611"/>
      <c r="L12" s="611"/>
      <c r="M12" s="611"/>
      <c r="N12" s="611"/>
      <c r="O12" s="611"/>
      <c r="P12" s="611"/>
      <c r="Q12" s="611"/>
      <c r="R12" s="611"/>
      <c r="S12" s="611"/>
      <c r="T12" s="611"/>
      <c r="U12" s="611"/>
      <c r="V12" s="611"/>
      <c r="W12" s="611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69">
        <v>232</v>
      </c>
      <c r="AJ12" s="154">
        <v>234</v>
      </c>
      <c r="AK12" s="156">
        <f t="shared" ref="AK12:AM12" si="21">AJ12/($AI12)</f>
        <v>1.0086206896551724</v>
      </c>
      <c r="AL12" s="154">
        <v>502</v>
      </c>
      <c r="AM12" s="156">
        <f t="shared" si="21"/>
        <v>2.1637931034482758</v>
      </c>
      <c r="AN12" s="154">
        <v>328</v>
      </c>
      <c r="AO12" s="156">
        <f t="shared" si="3"/>
        <v>1.4137931034482758</v>
      </c>
      <c r="AP12" s="154">
        <v>355</v>
      </c>
      <c r="AQ12" s="156">
        <f t="shared" si="3"/>
        <v>1.5301724137931034</v>
      </c>
      <c r="AR12" s="154">
        <v>341</v>
      </c>
      <c r="AS12" s="156">
        <f t="shared" si="3"/>
        <v>1.4698275862068966</v>
      </c>
      <c r="AT12" s="154">
        <v>333</v>
      </c>
      <c r="AU12" s="156">
        <f t="shared" si="3"/>
        <v>1.4353448275862069</v>
      </c>
      <c r="AV12" s="154">
        <v>320</v>
      </c>
      <c r="AW12" s="156">
        <f t="shared" si="3"/>
        <v>1.3793103448275863</v>
      </c>
      <c r="AX12" s="154">
        <v>196</v>
      </c>
      <c r="AY12" s="156">
        <f t="shared" si="4"/>
        <v>0.84482758620689657</v>
      </c>
      <c r="AZ12" s="3">
        <v>150</v>
      </c>
      <c r="BA12" s="156">
        <f t="shared" si="5"/>
        <v>0.64655172413793105</v>
      </c>
      <c r="BB12" s="2">
        <v>233</v>
      </c>
      <c r="BC12" s="156">
        <f t="shared" si="5"/>
        <v>1.0043103448275863</v>
      </c>
      <c r="BD12" s="2">
        <v>222</v>
      </c>
      <c r="BE12" s="156">
        <f t="shared" si="5"/>
        <v>0.9568965517241379</v>
      </c>
      <c r="BF12" s="2">
        <v>1186</v>
      </c>
      <c r="BG12" s="156">
        <f t="shared" si="5"/>
        <v>5.1120689655172411</v>
      </c>
      <c r="BH12" s="2">
        <v>1154</v>
      </c>
      <c r="BI12" s="156">
        <f t="shared" si="5"/>
        <v>4.9741379310344831</v>
      </c>
      <c r="BJ12" s="2">
        <v>1250</v>
      </c>
      <c r="BK12" s="156">
        <f t="shared" si="5"/>
        <v>5.3879310344827589</v>
      </c>
      <c r="BM12" s="10">
        <v>1215</v>
      </c>
      <c r="BN12" s="156">
        <f t="shared" si="6"/>
        <v>5.2370689655172411</v>
      </c>
      <c r="BO12" s="10">
        <v>1214</v>
      </c>
      <c r="BP12" s="156">
        <f t="shared" si="7"/>
        <v>5.2327586206896548</v>
      </c>
      <c r="BQ12" s="10">
        <v>1202</v>
      </c>
      <c r="BR12" s="156">
        <f t="shared" si="7"/>
        <v>5.181034482758621</v>
      </c>
      <c r="BS12" s="10">
        <v>1252</v>
      </c>
      <c r="BT12" s="156">
        <f t="shared" si="7"/>
        <v>5.3965517241379306</v>
      </c>
      <c r="BU12" s="10">
        <v>1237</v>
      </c>
      <c r="BV12" s="156">
        <f t="shared" si="7"/>
        <v>5.3318965517241379</v>
      </c>
      <c r="BW12" s="10">
        <v>1214</v>
      </c>
      <c r="BX12" s="156">
        <f t="shared" si="7"/>
        <v>5.2327586206896548</v>
      </c>
      <c r="BY12" s="10">
        <v>1209</v>
      </c>
      <c r="BZ12" s="156">
        <f t="shared" si="8"/>
        <v>5.2112068965517242</v>
      </c>
      <c r="CA12" s="10">
        <v>1194</v>
      </c>
      <c r="CB12" s="156">
        <f t="shared" si="9"/>
        <v>5.1465517241379306</v>
      </c>
      <c r="CC12" s="10">
        <v>1253</v>
      </c>
      <c r="CD12" s="156">
        <f t="shared" si="10"/>
        <v>5.4008620689655169</v>
      </c>
      <c r="CE12" s="10">
        <v>1187</v>
      </c>
      <c r="CF12" s="156">
        <f t="shared" si="10"/>
        <v>5.1163793103448274</v>
      </c>
      <c r="CG12" s="10">
        <v>1314</v>
      </c>
      <c r="CH12" s="156">
        <f t="shared" si="10"/>
        <v>5.6637931034482758</v>
      </c>
      <c r="CI12" s="10">
        <v>1216</v>
      </c>
      <c r="CJ12" s="156">
        <f t="shared" si="10"/>
        <v>5.2413793103448274</v>
      </c>
      <c r="CK12" s="10">
        <v>1258</v>
      </c>
      <c r="CL12" s="156">
        <f t="shared" si="10"/>
        <v>5.4224137931034484</v>
      </c>
      <c r="CM12" s="10">
        <v>1211</v>
      </c>
      <c r="CN12" s="156">
        <f t="shared" si="11"/>
        <v>5.2198275862068968</v>
      </c>
      <c r="CO12" s="10">
        <v>1227</v>
      </c>
      <c r="CP12" s="156">
        <f t="shared" si="12"/>
        <v>5.2887931034482758</v>
      </c>
      <c r="CQ12" s="10">
        <v>1170</v>
      </c>
      <c r="CR12" s="156">
        <f t="shared" si="13"/>
        <v>5.0431034482758621</v>
      </c>
      <c r="CS12" s="10">
        <v>1232</v>
      </c>
      <c r="CT12" s="156">
        <f t="shared" si="13"/>
        <v>5.3103448275862073</v>
      </c>
      <c r="CU12" s="10">
        <v>1143</v>
      </c>
      <c r="CV12" s="156">
        <f t="shared" si="13"/>
        <v>4.9267241379310347</v>
      </c>
      <c r="CW12" s="10">
        <v>1158</v>
      </c>
      <c r="CX12" s="156">
        <f t="shared" si="13"/>
        <v>4.9913793103448274</v>
      </c>
      <c r="CY12" s="10">
        <v>1196</v>
      </c>
      <c r="CZ12" s="156">
        <f t="shared" si="13"/>
        <v>5.1551724137931032</v>
      </c>
      <c r="DA12" s="10">
        <v>1187</v>
      </c>
      <c r="DB12" s="156">
        <f t="shared" si="14"/>
        <v>5.1163793103448274</v>
      </c>
      <c r="DC12" s="10">
        <v>1180</v>
      </c>
      <c r="DE12" s="10">
        <v>2535</v>
      </c>
      <c r="DG12" s="10">
        <v>1530</v>
      </c>
      <c r="DI12" s="10">
        <v>1275</v>
      </c>
      <c r="DK12" s="10">
        <v>1237</v>
      </c>
      <c r="DM12" s="10">
        <v>1239</v>
      </c>
      <c r="DO12" s="10">
        <v>1360</v>
      </c>
      <c r="DP12" s="10" t="s">
        <v>1718</v>
      </c>
    </row>
    <row r="13" spans="1:120" s="10" customFormat="1" ht="15.75" customHeight="1" thickBot="1">
      <c r="A13" s="1209">
        <v>12</v>
      </c>
      <c r="B13" s="1214" t="s">
        <v>111</v>
      </c>
      <c r="C13" s="1213" t="str">
        <f t="shared" ref="C13:C30" si="22">E13</f>
        <v>{"zust_Gemeinde":"Münchenbuchsee","zust_SozTeam":"Sozialarbeit Bern 1","zust_SozMitarbeiter":"Bern Sozialarbeiterin 1A","zust_SachbTeam":"Sachbearbeitung Bern","zust_SachbMitarbeiter":"Bern Sachbearbeiterin"}</v>
      </c>
      <c r="D13" s="122"/>
      <c r="E13" s="122" t="str">
        <f t="shared" ref="E13:E30" si="23">F13&amp;G13&amp;H13&amp;I13&amp;J13&amp;K13&amp;L13&amp;M13&amp;N13&amp;O13&amp;P13&amp;Q13&amp;R13&amp;S13&amp;T13&amp;U13&amp;V13&amp;W13&amp;X13</f>
        <v>{"zust_Gemeinde":"Münchenbuchsee","zust_SozTeam":"Sozialarbeit Bern 1","zust_SozMitarbeiter":"Bern Sozialarbeiterin 1A","zust_SachbTeam":"Sachbearbeitung Bern","zust_SachbMitarbeiter":"Bern Sachbearbeiterin"}</v>
      </c>
      <c r="F13" s="611" t="s">
        <v>112</v>
      </c>
      <c r="G13" s="611" t="s">
        <v>113</v>
      </c>
      <c r="H13" s="611" t="s">
        <v>114</v>
      </c>
      <c r="I13" s="611" t="s">
        <v>76</v>
      </c>
      <c r="J13" s="611" t="s">
        <v>115</v>
      </c>
      <c r="K13" s="611" t="s">
        <v>116</v>
      </c>
      <c r="L13" s="611" t="s">
        <v>117</v>
      </c>
      <c r="M13" s="611" t="s">
        <v>118</v>
      </c>
      <c r="N13" s="611" t="s">
        <v>119</v>
      </c>
      <c r="O13" s="611" t="s">
        <v>120</v>
      </c>
      <c r="P13" s="611" t="s">
        <v>37</v>
      </c>
      <c r="Q13" s="611"/>
      <c r="R13" s="611"/>
      <c r="S13" s="611"/>
      <c r="T13" s="611"/>
      <c r="U13" s="611"/>
      <c r="V13" s="611"/>
      <c r="W13" s="611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69">
        <v>3475</v>
      </c>
      <c r="AJ13" s="154">
        <v>3505</v>
      </c>
      <c r="AK13" s="156">
        <f t="shared" ref="AK13:AM13" si="24">AJ13/($AI13)</f>
        <v>1.0086330935251799</v>
      </c>
      <c r="AL13" s="154">
        <v>4251</v>
      </c>
      <c r="AM13" s="156">
        <f t="shared" si="24"/>
        <v>1.2233093525179857</v>
      </c>
      <c r="AN13" s="154">
        <v>3560</v>
      </c>
      <c r="AO13" s="156">
        <f t="shared" si="3"/>
        <v>1.0244604316546762</v>
      </c>
      <c r="AP13" s="154">
        <v>3619</v>
      </c>
      <c r="AQ13" s="156">
        <f t="shared" si="3"/>
        <v>1.0414388489208632</v>
      </c>
      <c r="AR13" s="154">
        <v>3773</v>
      </c>
      <c r="AS13" s="156">
        <f t="shared" si="3"/>
        <v>1.0857553956834531</v>
      </c>
      <c r="AT13" s="154">
        <v>3568</v>
      </c>
      <c r="AU13" s="156">
        <f t="shared" si="3"/>
        <v>1.0267625899280575</v>
      </c>
      <c r="AV13" s="154">
        <v>3510</v>
      </c>
      <c r="AW13" s="156">
        <f t="shared" si="3"/>
        <v>1.0100719424460431</v>
      </c>
      <c r="AX13" s="154">
        <v>4065</v>
      </c>
      <c r="AY13" s="156">
        <f t="shared" si="4"/>
        <v>1.1697841726618705</v>
      </c>
      <c r="AZ13" s="3">
        <v>3704</v>
      </c>
      <c r="BA13" s="156">
        <f t="shared" si="5"/>
        <v>1.0658992805755396</v>
      </c>
      <c r="BB13" s="2">
        <v>3697</v>
      </c>
      <c r="BC13" s="156">
        <f t="shared" si="5"/>
        <v>1.0638848920863309</v>
      </c>
      <c r="BD13" s="2">
        <v>3283</v>
      </c>
      <c r="BE13" s="156">
        <f t="shared" si="5"/>
        <v>0.94474820143884897</v>
      </c>
      <c r="BF13" s="2">
        <v>4052</v>
      </c>
      <c r="BG13" s="156">
        <f t="shared" si="5"/>
        <v>1.166043165467626</v>
      </c>
      <c r="BH13" s="2">
        <v>4073</v>
      </c>
      <c r="BI13" s="156">
        <f t="shared" si="5"/>
        <v>1.1720863309352518</v>
      </c>
      <c r="BJ13" s="2">
        <v>3569</v>
      </c>
      <c r="BK13" s="156">
        <f t="shared" si="5"/>
        <v>1.0270503597122302</v>
      </c>
      <c r="BM13" s="10">
        <v>4180</v>
      </c>
      <c r="BN13" s="156">
        <f t="shared" si="6"/>
        <v>1.2028776978417266</v>
      </c>
      <c r="BO13" s="10">
        <v>3432</v>
      </c>
      <c r="BP13" s="156">
        <f t="shared" si="7"/>
        <v>0.98762589928057554</v>
      </c>
      <c r="BQ13" s="10">
        <v>4283</v>
      </c>
      <c r="BR13" s="156">
        <f t="shared" si="7"/>
        <v>1.2325179856115107</v>
      </c>
      <c r="BS13" s="10">
        <v>4181</v>
      </c>
      <c r="BT13" s="156">
        <f t="shared" si="7"/>
        <v>1.2031654676258994</v>
      </c>
      <c r="BU13" s="10">
        <v>4091</v>
      </c>
      <c r="BV13" s="156">
        <f t="shared" si="7"/>
        <v>1.1772661870503598</v>
      </c>
      <c r="BW13" s="10">
        <v>4262</v>
      </c>
      <c r="BX13" s="156">
        <f t="shared" si="7"/>
        <v>1.2264748201438849</v>
      </c>
      <c r="BY13" s="10">
        <v>4174</v>
      </c>
      <c r="BZ13" s="156">
        <f t="shared" si="8"/>
        <v>1.2011510791366906</v>
      </c>
      <c r="CA13" s="10">
        <v>3919</v>
      </c>
      <c r="CB13" s="156">
        <f t="shared" si="9"/>
        <v>1.1277697841726619</v>
      </c>
      <c r="CC13" s="10">
        <v>4092</v>
      </c>
      <c r="CD13" s="156">
        <f t="shared" si="10"/>
        <v>1.1775539568345323</v>
      </c>
      <c r="CE13" s="10">
        <v>4113</v>
      </c>
      <c r="CF13" s="156">
        <f t="shared" si="10"/>
        <v>1.1835971223021582</v>
      </c>
      <c r="CG13" s="10">
        <v>3290</v>
      </c>
      <c r="CH13" s="156">
        <f t="shared" si="10"/>
        <v>0.94676258992805751</v>
      </c>
      <c r="CI13" s="10">
        <v>4203</v>
      </c>
      <c r="CJ13" s="156">
        <f t="shared" si="10"/>
        <v>1.2094964028776978</v>
      </c>
      <c r="CK13" s="10">
        <v>4094</v>
      </c>
      <c r="CL13" s="156">
        <f t="shared" si="10"/>
        <v>1.1781294964028777</v>
      </c>
      <c r="CM13" s="10">
        <v>3273</v>
      </c>
      <c r="CN13" s="156">
        <f t="shared" si="11"/>
        <v>0.94187050359712232</v>
      </c>
      <c r="CO13" s="10">
        <v>4270</v>
      </c>
      <c r="CP13" s="156">
        <f t="shared" si="12"/>
        <v>1.2287769784172662</v>
      </c>
      <c r="CQ13" s="10">
        <v>4219</v>
      </c>
      <c r="CR13" s="156">
        <f t="shared" si="13"/>
        <v>1.2141007194244604</v>
      </c>
      <c r="CS13" s="10">
        <v>4167</v>
      </c>
      <c r="CT13" s="156">
        <f t="shared" si="13"/>
        <v>1.1991366906474821</v>
      </c>
      <c r="CU13" s="10">
        <v>4059</v>
      </c>
      <c r="CV13" s="156">
        <f t="shared" si="13"/>
        <v>1.1680575539568345</v>
      </c>
      <c r="CW13" s="10">
        <v>4113</v>
      </c>
      <c r="CX13" s="156">
        <f t="shared" si="13"/>
        <v>1.1835971223021582</v>
      </c>
      <c r="CY13" s="10">
        <v>4202</v>
      </c>
      <c r="CZ13" s="156">
        <f t="shared" si="13"/>
        <v>1.2092086330935252</v>
      </c>
      <c r="DA13" s="10">
        <v>4106</v>
      </c>
      <c r="DB13" s="156">
        <f t="shared" si="14"/>
        <v>1.1815827338129496</v>
      </c>
      <c r="DC13" s="10">
        <v>4390</v>
      </c>
      <c r="DE13" s="10">
        <v>4212</v>
      </c>
      <c r="DG13" s="10">
        <v>4249</v>
      </c>
      <c r="DI13" s="10">
        <v>4107</v>
      </c>
      <c r="DK13" s="10">
        <v>3961</v>
      </c>
      <c r="DM13" s="10">
        <v>3460</v>
      </c>
      <c r="DO13" s="10">
        <v>3622</v>
      </c>
      <c r="DP13" s="10" t="s">
        <v>1718</v>
      </c>
    </row>
    <row r="14" spans="1:120" s="10" customFormat="1" ht="15.75" customHeight="1" thickBot="1">
      <c r="A14" s="1209">
        <v>13</v>
      </c>
      <c r="B14" s="1214" t="s">
        <v>122</v>
      </c>
      <c r="C14" s="1213" t="str">
        <f t="shared" ca="1" si="22"/>
        <v>{"dossierBezeichnung":p.DossierName2,"eroeffnetAm":"04.11.2025","dossierSprache":"Deutsch"}</v>
      </c>
      <c r="D14" s="122"/>
      <c r="E14" s="121" t="str">
        <f t="shared" ca="1" si="23"/>
        <v>{"dossierBezeichnung":p.DossierName2,"eroeffnetAm":"04.11.2025","dossierSprache":"Deutsch"}</v>
      </c>
      <c r="F14" s="611" t="s">
        <v>123</v>
      </c>
      <c r="G14" s="375" t="str">
        <f>G$71</f>
        <v>p.DossierName2</v>
      </c>
      <c r="H14" s="611" t="s">
        <v>124</v>
      </c>
      <c r="I14" s="615" t="str">
        <f ca="1">TEXT(TEXT(TODAY(),"DD")&amp;"."&amp;TEXT(TODAY(),"MM")&amp;"."&amp;TEXT(TODAY(),"YYYY"),"DD.MM.YYYY")</f>
        <v>04.11.2025</v>
      </c>
      <c r="J14" s="611" t="s">
        <v>125</v>
      </c>
      <c r="K14" s="611" t="s">
        <v>85</v>
      </c>
      <c r="L14" s="611" t="s">
        <v>37</v>
      </c>
      <c r="M14" s="611"/>
      <c r="N14" s="611"/>
      <c r="O14" s="611"/>
      <c r="P14" s="611"/>
      <c r="Q14" s="611"/>
      <c r="R14" s="611"/>
      <c r="S14" s="611"/>
      <c r="T14" s="611"/>
      <c r="U14" s="611"/>
      <c r="V14" s="611"/>
      <c r="W14" s="611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69">
        <v>6699</v>
      </c>
      <c r="AJ14" s="154">
        <v>6378</v>
      </c>
      <c r="AK14" s="156">
        <f t="shared" ref="AK14:AM14" si="25">AJ14/($AI14)</f>
        <v>0.95208240035826242</v>
      </c>
      <c r="AL14" s="154">
        <v>4785</v>
      </c>
      <c r="AM14" s="156">
        <f t="shared" si="25"/>
        <v>0.7142857142857143</v>
      </c>
      <c r="AN14" s="154">
        <v>8749</v>
      </c>
      <c r="AO14" s="156">
        <f t="shared" si="3"/>
        <v>1.3060158232572026</v>
      </c>
      <c r="AP14" s="154">
        <v>2992</v>
      </c>
      <c r="AQ14" s="156">
        <f t="shared" si="3"/>
        <v>0.44663382594417078</v>
      </c>
      <c r="AR14" s="154">
        <v>3156</v>
      </c>
      <c r="AS14" s="156">
        <f t="shared" si="3"/>
        <v>0.47111509180474698</v>
      </c>
      <c r="AT14" s="154">
        <v>3149</v>
      </c>
      <c r="AU14" s="156">
        <f t="shared" si="3"/>
        <v>0.47007015972533212</v>
      </c>
      <c r="AV14" s="154">
        <v>3339</v>
      </c>
      <c r="AW14" s="156">
        <f t="shared" si="3"/>
        <v>0.49843260188087773</v>
      </c>
      <c r="AX14" s="154">
        <v>2861</v>
      </c>
      <c r="AY14" s="156">
        <f t="shared" si="4"/>
        <v>0.42707866845797882</v>
      </c>
      <c r="AZ14" s="3">
        <v>3240</v>
      </c>
      <c r="BA14" s="156">
        <f t="shared" si="5"/>
        <v>0.48365427675772504</v>
      </c>
      <c r="BB14" s="2">
        <v>2163</v>
      </c>
      <c r="BC14" s="156">
        <f t="shared" si="5"/>
        <v>0.32288401253918497</v>
      </c>
      <c r="BD14" s="2">
        <v>2160</v>
      </c>
      <c r="BE14" s="156">
        <f t="shared" si="5"/>
        <v>0.32243618450515005</v>
      </c>
      <c r="BF14" s="2">
        <v>1040</v>
      </c>
      <c r="BG14" s="156">
        <f t="shared" si="5"/>
        <v>0.15524705179877593</v>
      </c>
      <c r="BH14" s="2">
        <v>1564</v>
      </c>
      <c r="BI14" s="156">
        <f t="shared" si="5"/>
        <v>0.23346768174354382</v>
      </c>
      <c r="BJ14" s="2">
        <v>1071</v>
      </c>
      <c r="BK14" s="156">
        <f t="shared" si="5"/>
        <v>0.15987460815047022</v>
      </c>
      <c r="BM14" s="10">
        <v>1086</v>
      </c>
      <c r="BN14" s="156">
        <f t="shared" si="6"/>
        <v>0.16211374832064487</v>
      </c>
      <c r="BO14" s="10">
        <v>955</v>
      </c>
      <c r="BP14" s="156">
        <f t="shared" si="7"/>
        <v>0.14255859083445291</v>
      </c>
      <c r="BQ14" s="10">
        <v>1130</v>
      </c>
      <c r="BR14" s="156">
        <f t="shared" si="7"/>
        <v>0.16868189281982385</v>
      </c>
      <c r="BS14" s="10">
        <v>972</v>
      </c>
      <c r="BT14" s="156">
        <f t="shared" si="7"/>
        <v>0.1450962830273175</v>
      </c>
      <c r="BU14" s="10">
        <v>976</v>
      </c>
      <c r="BV14" s="156">
        <f t="shared" si="7"/>
        <v>0.14569338707269741</v>
      </c>
      <c r="BW14" s="10">
        <v>992</v>
      </c>
      <c r="BX14" s="156">
        <f t="shared" si="7"/>
        <v>0.14808180325421705</v>
      </c>
      <c r="BY14" s="10">
        <v>953</v>
      </c>
      <c r="BZ14" s="156">
        <f t="shared" si="8"/>
        <v>0.14226003881176294</v>
      </c>
      <c r="CA14" s="10">
        <v>986</v>
      </c>
      <c r="CB14" s="156">
        <f t="shared" si="9"/>
        <v>0.1471861471861472</v>
      </c>
      <c r="CC14" s="10">
        <v>1579</v>
      </c>
      <c r="CD14" s="156">
        <f t="shared" si="10"/>
        <v>0.23570682191371847</v>
      </c>
      <c r="CE14" s="10">
        <v>997</v>
      </c>
      <c r="CF14" s="156">
        <f t="shared" si="10"/>
        <v>0.14882818331094194</v>
      </c>
      <c r="CG14" s="10">
        <v>1165</v>
      </c>
      <c r="CH14" s="156">
        <f t="shared" si="10"/>
        <v>0.17390655321689805</v>
      </c>
      <c r="CI14" s="10">
        <v>1479</v>
      </c>
      <c r="CJ14" s="156">
        <f t="shared" si="10"/>
        <v>0.22077922077922077</v>
      </c>
      <c r="CK14" s="10">
        <v>1072</v>
      </c>
      <c r="CL14" s="156">
        <f t="shared" si="10"/>
        <v>0.16002388416181521</v>
      </c>
      <c r="CM14" s="10">
        <v>1618</v>
      </c>
      <c r="CN14" s="156">
        <f t="shared" si="11"/>
        <v>0.24152858635617255</v>
      </c>
      <c r="CO14" s="10">
        <v>1580</v>
      </c>
      <c r="CP14" s="156">
        <f t="shared" si="12"/>
        <v>0.23585609792506343</v>
      </c>
      <c r="CQ14" s="10">
        <v>1570</v>
      </c>
      <c r="CR14" s="156">
        <f t="shared" si="13"/>
        <v>0.23436333781161367</v>
      </c>
      <c r="CS14" s="10">
        <v>1543</v>
      </c>
      <c r="CT14" s="156">
        <f t="shared" si="13"/>
        <v>0.23033288550529929</v>
      </c>
      <c r="CU14" s="10">
        <v>1541</v>
      </c>
      <c r="CV14" s="156">
        <f t="shared" si="13"/>
        <v>0.23003433348260935</v>
      </c>
      <c r="CW14" s="10">
        <v>1538</v>
      </c>
      <c r="CX14" s="156">
        <f t="shared" si="13"/>
        <v>0.22958650544857442</v>
      </c>
      <c r="CY14" s="10">
        <v>1577</v>
      </c>
      <c r="CZ14" s="156">
        <f t="shared" si="13"/>
        <v>0.2354082698910285</v>
      </c>
      <c r="DA14" s="10">
        <v>6846</v>
      </c>
      <c r="DB14" s="156">
        <f t="shared" si="14"/>
        <v>1.0219435736677116</v>
      </c>
      <c r="DC14" s="10">
        <v>8501</v>
      </c>
      <c r="DE14" s="10">
        <v>3232</v>
      </c>
      <c r="DG14" s="10">
        <v>8650</v>
      </c>
      <c r="DI14" s="10">
        <v>8147</v>
      </c>
      <c r="DK14" s="10">
        <v>4442</v>
      </c>
      <c r="DM14" s="10">
        <v>8465</v>
      </c>
      <c r="DO14" s="10">
        <v>8349</v>
      </c>
      <c r="DP14" s="10" t="s">
        <v>1718</v>
      </c>
    </row>
    <row r="15" spans="1:120" s="10" customFormat="1" ht="20.25" customHeight="1">
      <c r="A15" s="1209">
        <v>14</v>
      </c>
      <c r="B15" s="1214" t="s">
        <v>127</v>
      </c>
      <c r="C15" s="1213" t="str">
        <f>E15</f>
        <v>{"dossierInstitution":p.DossierName2,"klientschaft":`${p.FamilyName2}, ${p.ManFirstName2}`,"buttonBewilligung":"Anfragen","checkStatus":"In Bearbeitung"}</v>
      </c>
      <c r="D15" s="122"/>
      <c r="E15" s="121" t="str">
        <f>F15&amp;G15&amp;H15&amp;I15&amp;J15&amp;K15&amp;L15&amp;M15&amp;N15&amp;O15&amp;P15&amp;Q15&amp;R15&amp;S15&amp;T15&amp;U15&amp;V15&amp;W15&amp;X15</f>
        <v>{"dossierInstitution":p.DossierName2,"klientschaft":`${p.FamilyName2}, ${p.ManFirstName2}`,"buttonBewilligung":"Anfragen","checkStatus":"In Bearbeitung"}</v>
      </c>
      <c r="F15" s="611" t="s">
        <v>128</v>
      </c>
      <c r="G15" s="611" t="str">
        <f>G14</f>
        <v>p.DossierName2</v>
      </c>
      <c r="H15" s="611" t="s">
        <v>129</v>
      </c>
      <c r="I15" s="609" t="str">
        <f>I28</f>
        <v>${p.FamilyName2}, ${p.ManFirstName2}</v>
      </c>
      <c r="J15" s="611" t="s">
        <v>130</v>
      </c>
      <c r="K15" s="614" t="s">
        <v>131</v>
      </c>
      <c r="L15" s="611" t="s">
        <v>132</v>
      </c>
      <c r="M15" s="611" t="s">
        <v>133</v>
      </c>
      <c r="N15" s="611" t="s">
        <v>37</v>
      </c>
      <c r="O15" s="611"/>
      <c r="P15" s="611"/>
      <c r="Q15" s="611"/>
      <c r="R15" s="611"/>
      <c r="S15" s="611"/>
      <c r="T15" s="611"/>
      <c r="U15" s="611"/>
      <c r="V15" s="611"/>
      <c r="W15" s="611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169">
        <v>11718</v>
      </c>
      <c r="AJ15" s="170">
        <v>11925</v>
      </c>
      <c r="AK15" s="156">
        <f t="shared" ref="AK15:AM16" si="26">AJ15/($AI15)</f>
        <v>1.0176651305683564</v>
      </c>
      <c r="AL15" s="170">
        <v>13017</v>
      </c>
      <c r="AM15" s="156">
        <f t="shared" si="26"/>
        <v>1.1108550947260625</v>
      </c>
      <c r="AN15" s="170">
        <v>16567</v>
      </c>
      <c r="AO15" s="156">
        <f t="shared" si="3"/>
        <v>1.4138078170336235</v>
      </c>
      <c r="AP15" s="170">
        <v>14353</v>
      </c>
      <c r="AQ15" s="156">
        <f t="shared" si="3"/>
        <v>1.2248677248677249</v>
      </c>
      <c r="AR15" s="170">
        <v>14531</v>
      </c>
      <c r="AS15" s="156">
        <f t="shared" si="3"/>
        <v>1.240058030380611</v>
      </c>
      <c r="AT15" s="170">
        <v>14764</v>
      </c>
      <c r="AU15" s="156">
        <f t="shared" si="3"/>
        <v>1.259941969619389</v>
      </c>
      <c r="AV15" s="170">
        <v>14234</v>
      </c>
      <c r="AW15" s="156">
        <f t="shared" si="3"/>
        <v>1.2147124082607954</v>
      </c>
      <c r="AX15" s="170">
        <v>9842</v>
      </c>
      <c r="AY15" s="156">
        <f t="shared" si="4"/>
        <v>0.83990442054958181</v>
      </c>
      <c r="AZ15" s="3">
        <v>9942</v>
      </c>
      <c r="BA15" s="156">
        <f t="shared" si="5"/>
        <v>0.84843830005120324</v>
      </c>
      <c r="BB15" s="2">
        <v>9642</v>
      </c>
      <c r="BC15" s="156">
        <f t="shared" si="5"/>
        <v>0.82283666154633894</v>
      </c>
      <c r="BD15" s="2">
        <v>9534</v>
      </c>
      <c r="BE15" s="156">
        <f t="shared" si="5"/>
        <v>0.81362007168458783</v>
      </c>
      <c r="BF15" s="2">
        <v>10166</v>
      </c>
      <c r="BG15" s="156">
        <f t="shared" si="5"/>
        <v>0.86755419013483526</v>
      </c>
      <c r="BH15" s="2">
        <v>10290</v>
      </c>
      <c r="BI15" s="156">
        <f t="shared" si="5"/>
        <v>0.87813620071684584</v>
      </c>
      <c r="BJ15" s="2">
        <v>9861</v>
      </c>
      <c r="BK15" s="156">
        <f t="shared" si="5"/>
        <v>0.84152585765488996</v>
      </c>
      <c r="BM15" s="10">
        <v>10391</v>
      </c>
      <c r="BN15" s="156">
        <f t="shared" si="6"/>
        <v>0.88675541901348354</v>
      </c>
      <c r="BO15" s="10">
        <v>11416</v>
      </c>
      <c r="BP15" s="156">
        <f t="shared" si="7"/>
        <v>0.97422768390510328</v>
      </c>
      <c r="BQ15" s="10">
        <v>11242</v>
      </c>
      <c r="BR15" s="156">
        <f t="shared" si="7"/>
        <v>0.95937873357228198</v>
      </c>
      <c r="BS15" s="10">
        <v>11084</v>
      </c>
      <c r="BT15" s="156">
        <f t="shared" si="7"/>
        <v>0.94589520395972004</v>
      </c>
      <c r="BU15" s="10">
        <v>11402</v>
      </c>
      <c r="BV15" s="156">
        <f t="shared" si="7"/>
        <v>0.97303294077487623</v>
      </c>
      <c r="BW15" s="10">
        <v>14191</v>
      </c>
      <c r="BX15" s="156">
        <f t="shared" si="7"/>
        <v>1.2110428400750981</v>
      </c>
      <c r="BY15" s="10">
        <v>11041</v>
      </c>
      <c r="BZ15" s="156">
        <f t="shared" si="8"/>
        <v>0.94222563577402285</v>
      </c>
      <c r="CA15" s="10">
        <v>10789</v>
      </c>
      <c r="CB15" s="156">
        <f t="shared" si="9"/>
        <v>0.92072025942993685</v>
      </c>
      <c r="CC15" s="10">
        <v>10560</v>
      </c>
      <c r="CD15" s="156">
        <f t="shared" si="10"/>
        <v>0.90117767537122373</v>
      </c>
      <c r="CE15" s="10">
        <v>9788</v>
      </c>
      <c r="CF15" s="156">
        <f t="shared" si="10"/>
        <v>0.83529612561870625</v>
      </c>
      <c r="CG15" s="10">
        <v>9050</v>
      </c>
      <c r="CH15" s="156">
        <f t="shared" si="10"/>
        <v>0.77231609489674002</v>
      </c>
      <c r="CI15" s="10">
        <v>7404</v>
      </c>
      <c r="CJ15" s="156">
        <f t="shared" si="10"/>
        <v>0.63184843830005122</v>
      </c>
      <c r="CK15" s="10">
        <v>7645</v>
      </c>
      <c r="CL15" s="156">
        <f t="shared" si="10"/>
        <v>0.65241508789895886</v>
      </c>
      <c r="CM15" s="10">
        <v>23899</v>
      </c>
      <c r="CN15" s="156">
        <f t="shared" si="11"/>
        <v>2.0395118620925072</v>
      </c>
      <c r="CO15" s="10">
        <v>17713</v>
      </c>
      <c r="CP15" s="156">
        <f t="shared" si="12"/>
        <v>1.5116060761222052</v>
      </c>
      <c r="CQ15" s="10">
        <v>15614</v>
      </c>
      <c r="CR15" s="156">
        <f t="shared" si="13"/>
        <v>1.3324799453831713</v>
      </c>
      <c r="CS15" s="10">
        <v>60475</v>
      </c>
      <c r="CT15" s="156">
        <f t="shared" si="13"/>
        <v>5.160863628605564</v>
      </c>
      <c r="CU15" s="10">
        <v>18442</v>
      </c>
      <c r="CV15" s="156">
        <f t="shared" si="13"/>
        <v>1.5738180576890255</v>
      </c>
      <c r="CW15" s="10">
        <v>23253</v>
      </c>
      <c r="CX15" s="156">
        <f t="shared" si="13"/>
        <v>1.9843830005120329</v>
      </c>
      <c r="CY15" s="10">
        <v>29084</v>
      </c>
      <c r="CZ15" s="156">
        <f t="shared" si="13"/>
        <v>2.4819935142515788</v>
      </c>
      <c r="DA15" s="10">
        <v>11697</v>
      </c>
      <c r="DB15" s="156">
        <f t="shared" si="14"/>
        <v>0.99820788530465954</v>
      </c>
      <c r="DC15" s="10">
        <v>11181</v>
      </c>
      <c r="DE15" s="10">
        <v>8907</v>
      </c>
      <c r="DG15" s="10">
        <v>13664</v>
      </c>
      <c r="DI15" s="10">
        <v>11679</v>
      </c>
      <c r="DK15" s="10">
        <v>9189</v>
      </c>
      <c r="DM15" s="10">
        <v>10250</v>
      </c>
      <c r="DO15" s="10">
        <v>8838</v>
      </c>
      <c r="DP15" s="10" t="s">
        <v>1718</v>
      </c>
    </row>
    <row r="16" spans="1:120" s="10" customFormat="1" ht="15.75" customHeight="1">
      <c r="A16" s="1209"/>
      <c r="B16" s="1214" t="s">
        <v>134</v>
      </c>
      <c r="C16" s="1213" t="str">
        <f t="shared" ref="C16" si="27">E16</f>
        <v>{"username":"aventis-gemeinde-ma@diartis.ch","password":"#xFymiADPk7wJG/FWMz"}</v>
      </c>
      <c r="D16" s="122"/>
      <c r="E16" s="121" t="str">
        <f t="shared" ref="E16" si="28">F16&amp;G16&amp;H16&amp;I16&amp;J16&amp;K16&amp;L16&amp;M16&amp;N16&amp;O16&amp;P16&amp;Q16&amp;R16&amp;S16&amp;T16&amp;U16&amp;V16&amp;W16&amp;X16</f>
        <v>{"username":"aventis-gemeinde-ma@diartis.ch","password":"#xFymiADPk7wJG/FWMz"}</v>
      </c>
      <c r="F16" s="609" t="s">
        <v>29</v>
      </c>
      <c r="G16" s="617" t="s">
        <v>195</v>
      </c>
      <c r="H16" s="609" t="s">
        <v>31</v>
      </c>
      <c r="I16" s="618" t="s">
        <v>196</v>
      </c>
      <c r="J16" s="609" t="s">
        <v>37</v>
      </c>
      <c r="K16" s="614"/>
      <c r="L16" s="609"/>
      <c r="M16" s="611"/>
      <c r="N16" s="609"/>
      <c r="O16" s="611"/>
      <c r="P16" s="609"/>
      <c r="Q16" s="611"/>
      <c r="R16" s="609"/>
      <c r="S16" s="611"/>
      <c r="T16" s="609"/>
      <c r="U16" s="611"/>
      <c r="V16" s="609"/>
      <c r="W16" s="611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48">
        <v>6252</v>
      </c>
      <c r="AJ16" s="96"/>
      <c r="AK16" s="4"/>
      <c r="AL16" s="82">
        <v>33296</v>
      </c>
      <c r="AM16" s="14">
        <f t="shared" si="26"/>
        <v>5.3256557901471533</v>
      </c>
      <c r="AN16" s="82">
        <v>16126</v>
      </c>
      <c r="AO16" s="14">
        <f t="shared" si="3"/>
        <v>2.5793346129238643</v>
      </c>
      <c r="AP16" s="82">
        <v>16536</v>
      </c>
      <c r="AQ16" s="14">
        <f t="shared" si="3"/>
        <v>2.6449136276391556</v>
      </c>
      <c r="AR16" s="82">
        <v>15591</v>
      </c>
      <c r="AS16" s="14">
        <f t="shared" si="3"/>
        <v>2.4937619961612283</v>
      </c>
      <c r="AT16" s="82">
        <v>15851</v>
      </c>
      <c r="AU16" s="14">
        <f t="shared" si="3"/>
        <v>2.5353486884197056</v>
      </c>
      <c r="AV16" s="82">
        <v>15658</v>
      </c>
      <c r="AW16" s="14">
        <f t="shared" si="3"/>
        <v>2.5044785668586051</v>
      </c>
      <c r="AX16" s="82">
        <v>15381</v>
      </c>
      <c r="AY16" s="14">
        <f t="shared" si="4"/>
        <v>2.4601727447216892</v>
      </c>
      <c r="AZ16" s="82">
        <v>9955</v>
      </c>
      <c r="BA16" s="82"/>
      <c r="BB16" s="2">
        <v>9081</v>
      </c>
      <c r="BC16" s="82"/>
      <c r="BD16" s="2">
        <v>3551</v>
      </c>
      <c r="BE16" s="82"/>
      <c r="BF16" s="2">
        <v>9753</v>
      </c>
      <c r="BG16" s="82"/>
      <c r="BH16" s="2">
        <v>8769</v>
      </c>
      <c r="BI16" s="82"/>
      <c r="BJ16" s="2">
        <v>9757</v>
      </c>
      <c r="BK16" s="82"/>
      <c r="BM16" s="10">
        <v>10428</v>
      </c>
      <c r="BN16" s="82"/>
      <c r="BO16" s="10">
        <v>10199</v>
      </c>
      <c r="BP16" s="82"/>
      <c r="BQ16" s="10">
        <v>10141</v>
      </c>
      <c r="BR16" s="82"/>
      <c r="BS16" s="10">
        <v>9875</v>
      </c>
      <c r="BT16" s="82"/>
      <c r="BU16" s="10">
        <v>9988</v>
      </c>
      <c r="BV16" s="82"/>
      <c r="BW16" s="10">
        <v>9998</v>
      </c>
      <c r="BX16" s="82"/>
      <c r="BY16" s="10">
        <v>10155</v>
      </c>
      <c r="BZ16" s="82"/>
      <c r="CA16" s="10">
        <v>10077</v>
      </c>
      <c r="CB16" s="82"/>
      <c r="CC16" s="10">
        <v>9792</v>
      </c>
      <c r="CD16" s="82"/>
      <c r="CE16" s="10">
        <v>9572</v>
      </c>
      <c r="CF16" s="82"/>
      <c r="CG16" s="10">
        <v>9843</v>
      </c>
      <c r="CH16" s="82"/>
      <c r="CI16" s="10">
        <v>9189</v>
      </c>
      <c r="CJ16" s="82"/>
      <c r="CK16" s="10">
        <v>10036</v>
      </c>
      <c r="CL16" s="82"/>
      <c r="CM16" s="10">
        <v>9956</v>
      </c>
      <c r="CN16" s="82"/>
      <c r="CO16" s="10">
        <v>9582</v>
      </c>
      <c r="CP16" s="82"/>
      <c r="CQ16" s="10">
        <v>9548</v>
      </c>
      <c r="CR16" s="82"/>
      <c r="CS16" s="10">
        <v>8966</v>
      </c>
      <c r="CT16" s="82"/>
      <c r="CV16" s="82"/>
      <c r="CX16" s="82"/>
      <c r="CZ16" s="82"/>
      <c r="DB16" s="82"/>
    </row>
    <row r="17" spans="1:120" s="10" customFormat="1" ht="15.75" customHeight="1">
      <c r="A17" s="1209">
        <v>15</v>
      </c>
      <c r="B17" s="1214" t="s">
        <v>134</v>
      </c>
      <c r="C17" s="1213" t="str">
        <f>E17</f>
        <v>{"username":"Bern.Sachbearbeiterin@diartis.ch","password":"XXxa22?pdTA66-S@"}</v>
      </c>
      <c r="D17" s="122"/>
      <c r="E17" s="121" t="str">
        <f>F17&amp;G17&amp;H17&amp;I17&amp;J17&amp;K17&amp;L17&amp;M17&amp;N17&amp;O17&amp;P17&amp;Q17&amp;R17&amp;S17&amp;T17&amp;U17&amp;V17&amp;W17&amp;X17</f>
        <v>{"username":"Bern.Sachbearbeiterin@diartis.ch","password":"XXxa22?pdTA66-S@"}</v>
      </c>
      <c r="F17" s="609" t="s">
        <v>29</v>
      </c>
      <c r="G17" s="617" t="s">
        <v>30</v>
      </c>
      <c r="H17" s="609" t="s">
        <v>31</v>
      </c>
      <c r="I17" s="618" t="s">
        <v>32</v>
      </c>
      <c r="J17" s="609" t="s">
        <v>37</v>
      </c>
      <c r="K17" s="614"/>
      <c r="L17" s="609"/>
      <c r="M17" s="611"/>
      <c r="N17" s="609"/>
      <c r="O17" s="611"/>
      <c r="P17" s="609"/>
      <c r="Q17" s="611"/>
      <c r="R17" s="609"/>
      <c r="S17" s="611"/>
      <c r="T17" s="609"/>
      <c r="U17" s="611"/>
      <c r="V17" s="609"/>
      <c r="W17" s="611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169">
        <v>5437</v>
      </c>
      <c r="AJ17" s="171">
        <v>6021</v>
      </c>
      <c r="AK17" s="156">
        <f t="shared" ref="AK17:AM17" si="29">AJ17/($AI17)</f>
        <v>1.1074121758322604</v>
      </c>
      <c r="AL17" s="171">
        <v>6177</v>
      </c>
      <c r="AM17" s="156">
        <f t="shared" si="29"/>
        <v>1.1361044693764943</v>
      </c>
      <c r="AN17" s="171">
        <v>5211</v>
      </c>
      <c r="AO17" s="156">
        <f t="shared" si="3"/>
        <v>0.9584329593525841</v>
      </c>
      <c r="AP17" s="171">
        <v>5968</v>
      </c>
      <c r="AQ17" s="156">
        <f t="shared" si="3"/>
        <v>1.0976641530255655</v>
      </c>
      <c r="AR17" s="171">
        <v>5966</v>
      </c>
      <c r="AS17" s="156">
        <f t="shared" si="3"/>
        <v>1.0972963031083318</v>
      </c>
      <c r="AT17" s="171">
        <v>4949</v>
      </c>
      <c r="AU17" s="156">
        <f t="shared" si="3"/>
        <v>0.91024462019496044</v>
      </c>
      <c r="AV17" s="171">
        <v>5156</v>
      </c>
      <c r="AW17" s="156">
        <f t="shared" si="3"/>
        <v>0.94831708662865555</v>
      </c>
      <c r="AX17" s="171">
        <v>5318</v>
      </c>
      <c r="AY17" s="156">
        <f t="shared" si="4"/>
        <v>0.97811292992459076</v>
      </c>
      <c r="AZ17" s="3">
        <v>4347</v>
      </c>
      <c r="BA17" s="156">
        <f t="shared" si="5"/>
        <v>0.79952179510759613</v>
      </c>
      <c r="BB17" s="2">
        <v>4015</v>
      </c>
      <c r="BC17" s="156">
        <f t="shared" si="5"/>
        <v>0.73845870884679055</v>
      </c>
      <c r="BD17" s="2">
        <v>5268</v>
      </c>
      <c r="BE17" s="156">
        <f t="shared" si="5"/>
        <v>0.96891668199374659</v>
      </c>
      <c r="BF17" s="2">
        <v>9384</v>
      </c>
      <c r="BG17" s="156">
        <f t="shared" si="5"/>
        <v>1.7259518116608423</v>
      </c>
      <c r="BH17" s="2">
        <v>10406</v>
      </c>
      <c r="BI17" s="156">
        <f t="shared" si="5"/>
        <v>1.9139231193672981</v>
      </c>
      <c r="BJ17" s="2">
        <v>10889</v>
      </c>
      <c r="BK17" s="156">
        <f t="shared" si="5"/>
        <v>2.0027588743792535</v>
      </c>
      <c r="BM17" s="10">
        <v>10775</v>
      </c>
      <c r="BN17" s="156">
        <f t="shared" si="6"/>
        <v>1.9817914290969285</v>
      </c>
      <c r="BO17" s="10">
        <v>10692</v>
      </c>
      <c r="BP17" s="156">
        <f t="shared" si="7"/>
        <v>1.9665256575317271</v>
      </c>
      <c r="BQ17" s="10">
        <v>11166</v>
      </c>
      <c r="BR17" s="156">
        <f t="shared" si="7"/>
        <v>2.0537060879161304</v>
      </c>
      <c r="BS17" s="10">
        <v>9852</v>
      </c>
      <c r="BT17" s="156">
        <f t="shared" si="7"/>
        <v>1.8120286922935442</v>
      </c>
      <c r="BU17" s="10">
        <v>11109</v>
      </c>
      <c r="BV17" s="156">
        <f t="shared" si="7"/>
        <v>2.0432223652749677</v>
      </c>
      <c r="BW17" s="10">
        <v>9932</v>
      </c>
      <c r="BX17" s="156">
        <f t="shared" si="7"/>
        <v>1.826742688982895</v>
      </c>
      <c r="BY17" s="10">
        <v>10019</v>
      </c>
      <c r="BZ17" s="156">
        <f t="shared" si="8"/>
        <v>1.8427441603825638</v>
      </c>
      <c r="CA17" s="10">
        <v>10721</v>
      </c>
      <c r="CB17" s="156">
        <f t="shared" si="9"/>
        <v>1.9718594813316166</v>
      </c>
      <c r="CC17" s="10">
        <v>10091</v>
      </c>
      <c r="CD17" s="156">
        <f t="shared" si="10"/>
        <v>1.8559867574029796</v>
      </c>
      <c r="CE17" s="10">
        <v>10476</v>
      </c>
      <c r="CF17" s="156">
        <f t="shared" si="10"/>
        <v>1.9267978664704801</v>
      </c>
      <c r="CG17" s="10">
        <v>10406</v>
      </c>
      <c r="CH17" s="156">
        <f t="shared" si="10"/>
        <v>1.9139231193672981</v>
      </c>
      <c r="CI17" s="10">
        <v>10325</v>
      </c>
      <c r="CJ17" s="156">
        <f t="shared" si="10"/>
        <v>1.8990251977193304</v>
      </c>
      <c r="CK17" s="10">
        <v>10309</v>
      </c>
      <c r="CL17" s="156">
        <f t="shared" si="10"/>
        <v>1.8960823983814603</v>
      </c>
      <c r="CM17" s="10">
        <v>9782</v>
      </c>
      <c r="CN17" s="156">
        <f t="shared" si="11"/>
        <v>1.7991539451903624</v>
      </c>
      <c r="CO17" s="10">
        <v>9871</v>
      </c>
      <c r="CP17" s="156">
        <f t="shared" si="12"/>
        <v>1.8155232665072651</v>
      </c>
      <c r="CQ17" s="10">
        <v>10612</v>
      </c>
      <c r="CR17" s="156">
        <f t="shared" si="13"/>
        <v>1.9518116608423763</v>
      </c>
      <c r="CS17" s="10">
        <v>10017</v>
      </c>
      <c r="CT17" s="156">
        <f t="shared" si="13"/>
        <v>1.8423763104653301</v>
      </c>
      <c r="CU17" s="10">
        <v>10260</v>
      </c>
      <c r="CV17" s="156">
        <f t="shared" si="13"/>
        <v>1.8870700754092331</v>
      </c>
      <c r="CW17" s="10">
        <v>13083</v>
      </c>
      <c r="CX17" s="156">
        <f t="shared" si="13"/>
        <v>2.4062902335846976</v>
      </c>
      <c r="CY17" s="10">
        <v>10779</v>
      </c>
      <c r="CZ17" s="156">
        <f t="shared" si="13"/>
        <v>1.9825271289313959</v>
      </c>
      <c r="DA17" s="10">
        <v>9774</v>
      </c>
      <c r="DB17" s="156">
        <f t="shared" si="14"/>
        <v>1.7976825455214274</v>
      </c>
      <c r="DC17" s="10">
        <v>11461</v>
      </c>
      <c r="DE17" s="10">
        <v>12718</v>
      </c>
      <c r="DG17" s="10">
        <v>16978</v>
      </c>
      <c r="DI17" s="10">
        <v>12412</v>
      </c>
      <c r="DK17" s="10">
        <v>13363</v>
      </c>
      <c r="DM17" s="10">
        <v>9566</v>
      </c>
      <c r="DO17" s="10">
        <v>9766</v>
      </c>
      <c r="DP17" s="10" t="s">
        <v>1718</v>
      </c>
    </row>
    <row r="18" spans="1:120" s="10" customFormat="1" ht="19.5" customHeight="1">
      <c r="A18" s="1209">
        <v>16</v>
      </c>
      <c r="B18" s="1214" t="s">
        <v>127</v>
      </c>
      <c r="C18" s="1213" t="str">
        <f>E18</f>
        <v>{"dossierInstitution":p.DossierName2,"klientschaft":`${p.FamilyName2}, ${p.ManFirstName2}`,"buttonBewilligung":"Bewilligen","checkStatus":"Bewilligt"}</v>
      </c>
      <c r="D18" s="122"/>
      <c r="E18" s="121" t="str">
        <f>F18&amp;G18&amp;H18&amp;I18&amp;J18&amp;K18&amp;L18&amp;M18&amp;N18&amp;O18&amp;P18&amp;Q18&amp;R18&amp;S18&amp;T18&amp;U18&amp;V18&amp;W18&amp;X18</f>
        <v>{"dossierInstitution":p.DossierName2,"klientschaft":`${p.FamilyName2}, ${p.ManFirstName2}`,"buttonBewilligung":"Bewilligen","checkStatus":"Bewilligt"}</v>
      </c>
      <c r="F18" s="611" t="s">
        <v>128</v>
      </c>
      <c r="G18" s="611" t="str">
        <f>G15</f>
        <v>p.DossierName2</v>
      </c>
      <c r="H18" s="611" t="s">
        <v>129</v>
      </c>
      <c r="I18" s="609" t="str">
        <f>I28</f>
        <v>${p.FamilyName2}, ${p.ManFirstName2}</v>
      </c>
      <c r="J18" s="611" t="s">
        <v>130</v>
      </c>
      <c r="K18" s="614" t="s">
        <v>136</v>
      </c>
      <c r="L18" s="611" t="s">
        <v>132</v>
      </c>
      <c r="M18" s="611" t="s">
        <v>137</v>
      </c>
      <c r="N18" s="611" t="s">
        <v>37</v>
      </c>
      <c r="O18" s="611"/>
      <c r="P18" s="611"/>
      <c r="Q18" s="611"/>
      <c r="R18" s="611"/>
      <c r="S18" s="611"/>
      <c r="T18" s="611"/>
      <c r="U18" s="611"/>
      <c r="V18" s="611"/>
      <c r="W18" s="611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169">
        <v>15621</v>
      </c>
      <c r="AJ18" s="170">
        <v>14197</v>
      </c>
      <c r="AK18" s="156">
        <f t="shared" ref="AK18:AM18" si="30">AJ18/($AI18)</f>
        <v>0.90884066320978174</v>
      </c>
      <c r="AL18" s="170">
        <v>14563</v>
      </c>
      <c r="AM18" s="156">
        <f t="shared" si="30"/>
        <v>0.93227066128929004</v>
      </c>
      <c r="AN18" s="170">
        <v>19237</v>
      </c>
      <c r="AO18" s="156">
        <f t="shared" si="3"/>
        <v>1.2314832597144869</v>
      </c>
      <c r="AP18" s="170">
        <v>15741</v>
      </c>
      <c r="AQ18" s="156">
        <f t="shared" si="3"/>
        <v>1.0076819665834453</v>
      </c>
      <c r="AR18" s="170">
        <v>16155</v>
      </c>
      <c r="AS18" s="156">
        <f t="shared" si="3"/>
        <v>1.0341847512963318</v>
      </c>
      <c r="AT18" s="170">
        <v>15707</v>
      </c>
      <c r="AU18" s="156">
        <f t="shared" si="3"/>
        <v>1.0055054093848026</v>
      </c>
      <c r="AV18" s="170">
        <v>15117</v>
      </c>
      <c r="AW18" s="156">
        <f t="shared" si="3"/>
        <v>0.96773574034952947</v>
      </c>
      <c r="AX18" s="170">
        <v>12905</v>
      </c>
      <c r="AY18" s="156">
        <f t="shared" si="4"/>
        <v>0.8261314896613533</v>
      </c>
      <c r="AZ18" s="3">
        <v>11936</v>
      </c>
      <c r="BA18" s="156">
        <f t="shared" si="5"/>
        <v>0.76409960950003197</v>
      </c>
      <c r="BB18" s="2">
        <v>12170</v>
      </c>
      <c r="BC18" s="156">
        <f t="shared" si="5"/>
        <v>0.77907944433775045</v>
      </c>
      <c r="BD18" s="2">
        <v>12235</v>
      </c>
      <c r="BE18" s="156">
        <f t="shared" si="5"/>
        <v>0.78324050957044999</v>
      </c>
      <c r="BF18" s="2">
        <v>10341</v>
      </c>
      <c r="BG18" s="156">
        <f t="shared" si="5"/>
        <v>0.66199347032840405</v>
      </c>
      <c r="BH18" s="2">
        <v>10155</v>
      </c>
      <c r="BI18" s="156">
        <f t="shared" si="5"/>
        <v>0.65008642212406376</v>
      </c>
      <c r="BJ18" s="2">
        <v>10127</v>
      </c>
      <c r="BK18" s="156">
        <f t="shared" si="5"/>
        <v>0.64829396325459321</v>
      </c>
      <c r="BM18" s="10">
        <v>10170</v>
      </c>
      <c r="BN18" s="156">
        <f t="shared" si="6"/>
        <v>0.6510466679469944</v>
      </c>
      <c r="BO18" s="10">
        <v>10176</v>
      </c>
      <c r="BP18" s="156">
        <f t="shared" si="7"/>
        <v>0.6514307662761667</v>
      </c>
      <c r="BQ18" s="10">
        <v>10723</v>
      </c>
      <c r="BR18" s="156">
        <f t="shared" si="7"/>
        <v>0.68644773061903852</v>
      </c>
      <c r="BS18" s="10">
        <v>10685</v>
      </c>
      <c r="BT18" s="156">
        <f t="shared" si="7"/>
        <v>0.6840151078676141</v>
      </c>
      <c r="BU18" s="10">
        <v>11399</v>
      </c>
      <c r="BV18" s="156">
        <f t="shared" si="7"/>
        <v>0.72972280903911402</v>
      </c>
      <c r="BW18" s="10">
        <v>10593</v>
      </c>
      <c r="BX18" s="156">
        <f t="shared" si="7"/>
        <v>0.67812560015363932</v>
      </c>
      <c r="BY18" s="10">
        <v>10864</v>
      </c>
      <c r="BZ18" s="156">
        <f t="shared" si="8"/>
        <v>0.69547404135458679</v>
      </c>
      <c r="CA18" s="10">
        <v>10519</v>
      </c>
      <c r="CB18" s="156">
        <f t="shared" si="9"/>
        <v>0.67338838742718132</v>
      </c>
      <c r="CC18" s="10">
        <v>9719</v>
      </c>
      <c r="CD18" s="156">
        <f t="shared" si="10"/>
        <v>0.62217527687087892</v>
      </c>
      <c r="CE18" s="10">
        <v>10109</v>
      </c>
      <c r="CF18" s="156">
        <f t="shared" si="10"/>
        <v>0.64714166826707642</v>
      </c>
      <c r="CG18" s="10">
        <v>7951</v>
      </c>
      <c r="CH18" s="156">
        <f t="shared" si="10"/>
        <v>0.50899430254145062</v>
      </c>
      <c r="CI18" s="10">
        <v>7424</v>
      </c>
      <c r="CJ18" s="156">
        <f t="shared" si="10"/>
        <v>0.47525766596248642</v>
      </c>
      <c r="CK18" s="10">
        <v>7473</v>
      </c>
      <c r="CL18" s="156">
        <f t="shared" si="10"/>
        <v>0.47839446898405991</v>
      </c>
      <c r="CM18" s="10">
        <v>10211</v>
      </c>
      <c r="CN18" s="156">
        <f t="shared" si="11"/>
        <v>0.65367133986300496</v>
      </c>
      <c r="CO18" s="10">
        <v>13122</v>
      </c>
      <c r="CP18" s="156">
        <f t="shared" si="12"/>
        <v>0.8400230458997503</v>
      </c>
      <c r="CQ18" s="10">
        <v>9954</v>
      </c>
      <c r="CR18" s="156">
        <f t="shared" si="13"/>
        <v>0.63721912809679282</v>
      </c>
      <c r="CS18" s="10">
        <v>9189</v>
      </c>
      <c r="CT18" s="156">
        <f t="shared" si="13"/>
        <v>0.58824659112732858</v>
      </c>
      <c r="CU18" s="10">
        <v>13616</v>
      </c>
      <c r="CV18" s="156">
        <f t="shared" si="13"/>
        <v>0.87164714166826707</v>
      </c>
      <c r="CW18" s="10">
        <v>10150</v>
      </c>
      <c r="CX18" s="156">
        <f t="shared" si="13"/>
        <v>0.64976634018308688</v>
      </c>
      <c r="CY18" s="10">
        <v>10415</v>
      </c>
      <c r="CZ18" s="156">
        <f t="shared" si="13"/>
        <v>0.66673068305486205</v>
      </c>
      <c r="DA18" s="10">
        <v>12915</v>
      </c>
      <c r="DB18" s="156">
        <f t="shared" si="14"/>
        <v>0.82677165354330706</v>
      </c>
      <c r="DC18" s="10">
        <v>8801</v>
      </c>
      <c r="DE18" s="10">
        <v>10050</v>
      </c>
      <c r="DG18" s="10">
        <v>13382</v>
      </c>
      <c r="DI18" s="10">
        <v>11673</v>
      </c>
      <c r="DK18" s="10">
        <v>8745</v>
      </c>
      <c r="DM18" s="10">
        <v>13957</v>
      </c>
      <c r="DO18" s="10">
        <v>9149</v>
      </c>
      <c r="DP18" s="10" t="s">
        <v>1718</v>
      </c>
    </row>
    <row r="19" spans="1:120" ht="15.75" customHeight="1">
      <c r="A19" s="1209">
        <v>17</v>
      </c>
      <c r="B19" s="1214" t="s">
        <v>134</v>
      </c>
      <c r="C19" s="1215" t="s">
        <v>138</v>
      </c>
      <c r="D19" s="122"/>
      <c r="E19" s="122" t="str">
        <f>F19&amp;G19&amp;H19&amp;I19&amp;J19&amp;K19&amp;L19&amp;M19&amp;N19&amp;O19&amp;P19&amp;Q19&amp;R19&amp;S19&amp;T19&amp;U19&amp;V19&amp;W19&amp;X19</f>
        <v>{"username":"Bern.Sachbearbeiterin@diartis.ch","password":"XXxa22?pdTA66-S@"}</v>
      </c>
      <c r="F19" s="609" t="s">
        <v>29</v>
      </c>
      <c r="G19" s="611" t="s">
        <v>30</v>
      </c>
      <c r="H19" s="609" t="s">
        <v>31</v>
      </c>
      <c r="I19" s="611" t="s">
        <v>32</v>
      </c>
      <c r="J19" s="609" t="s">
        <v>37</v>
      </c>
      <c r="AI19" s="169">
        <v>5250</v>
      </c>
      <c r="AJ19" s="3">
        <v>5362</v>
      </c>
      <c r="AK19" s="156">
        <f t="shared" ref="AK19:AM19" si="31">AJ19/($AI19)</f>
        <v>1.0213333333333334</v>
      </c>
      <c r="AL19" s="3">
        <v>7719</v>
      </c>
      <c r="AM19" s="156">
        <f t="shared" si="31"/>
        <v>1.4702857142857142</v>
      </c>
      <c r="AN19" s="3">
        <v>4573</v>
      </c>
      <c r="AO19" s="156">
        <f t="shared" si="3"/>
        <v>0.87104761904761907</v>
      </c>
      <c r="AP19" s="3">
        <v>5665</v>
      </c>
      <c r="AQ19" s="156">
        <f t="shared" si="3"/>
        <v>1.079047619047619</v>
      </c>
      <c r="AR19" s="3">
        <v>6175</v>
      </c>
      <c r="AS19" s="156">
        <f t="shared" si="3"/>
        <v>1.1761904761904762</v>
      </c>
      <c r="AT19" s="3">
        <v>5429</v>
      </c>
      <c r="AU19" s="156">
        <f t="shared" si="3"/>
        <v>1.0340952380952382</v>
      </c>
      <c r="AV19" s="3">
        <v>5523</v>
      </c>
      <c r="AW19" s="156">
        <f t="shared" si="3"/>
        <v>1.052</v>
      </c>
      <c r="AX19" s="3">
        <v>5061</v>
      </c>
      <c r="AY19" s="156">
        <f t="shared" si="4"/>
        <v>0.96399999999999997</v>
      </c>
      <c r="AZ19" s="3">
        <v>4933</v>
      </c>
      <c r="BA19" s="156">
        <f t="shared" si="5"/>
        <v>0.93961904761904758</v>
      </c>
      <c r="BB19" s="2">
        <v>3906</v>
      </c>
      <c r="BC19" s="156">
        <f t="shared" si="5"/>
        <v>0.74399999999999999</v>
      </c>
      <c r="BD19" s="2">
        <v>3543</v>
      </c>
      <c r="BE19" s="156">
        <f t="shared" si="5"/>
        <v>0.67485714285714282</v>
      </c>
      <c r="BF19" s="2">
        <v>9465</v>
      </c>
      <c r="BG19" s="156">
        <f t="shared" si="5"/>
        <v>1.8028571428571429</v>
      </c>
      <c r="BH19" s="2">
        <v>10226</v>
      </c>
      <c r="BI19" s="156">
        <f t="shared" si="5"/>
        <v>1.9478095238095239</v>
      </c>
      <c r="BJ19" s="2">
        <v>9244</v>
      </c>
      <c r="BK19" s="156">
        <f t="shared" si="5"/>
        <v>1.7607619047619048</v>
      </c>
      <c r="BM19" s="2">
        <v>10029</v>
      </c>
      <c r="BN19" s="156">
        <f t="shared" si="6"/>
        <v>1.9102857142857144</v>
      </c>
      <c r="BO19" s="2">
        <v>10404</v>
      </c>
      <c r="BP19" s="156">
        <f t="shared" si="7"/>
        <v>1.9817142857142858</v>
      </c>
      <c r="BQ19" s="2">
        <v>10020</v>
      </c>
      <c r="BR19" s="156">
        <f t="shared" si="7"/>
        <v>1.9085714285714286</v>
      </c>
      <c r="BS19" s="2">
        <v>9764</v>
      </c>
      <c r="BT19" s="156">
        <f t="shared" si="7"/>
        <v>1.8598095238095238</v>
      </c>
      <c r="BU19" s="2">
        <v>9988</v>
      </c>
      <c r="BV19" s="156">
        <f t="shared" si="7"/>
        <v>1.9024761904761904</v>
      </c>
      <c r="BW19" s="2">
        <v>10196</v>
      </c>
      <c r="BX19" s="156">
        <f t="shared" si="7"/>
        <v>1.9420952380952381</v>
      </c>
      <c r="BY19" s="2">
        <v>9355</v>
      </c>
      <c r="BZ19" s="156">
        <f t="shared" si="8"/>
        <v>1.7819047619047619</v>
      </c>
      <c r="CA19" s="2">
        <v>10297</v>
      </c>
      <c r="CB19" s="156">
        <f t="shared" si="9"/>
        <v>1.9613333333333334</v>
      </c>
      <c r="CC19" s="2">
        <v>9799</v>
      </c>
      <c r="CD19" s="156">
        <f t="shared" si="10"/>
        <v>1.8664761904761904</v>
      </c>
      <c r="CE19" s="2">
        <v>10027</v>
      </c>
      <c r="CF19" s="156">
        <f t="shared" si="10"/>
        <v>1.909904761904762</v>
      </c>
      <c r="CG19" s="2">
        <v>9317</v>
      </c>
      <c r="CH19" s="156">
        <f t="shared" si="10"/>
        <v>1.7746666666666666</v>
      </c>
      <c r="CI19" s="2">
        <v>9361</v>
      </c>
      <c r="CJ19" s="156">
        <f t="shared" si="10"/>
        <v>1.783047619047619</v>
      </c>
      <c r="CK19" s="2">
        <v>9205</v>
      </c>
      <c r="CL19" s="156">
        <f t="shared" si="10"/>
        <v>1.7533333333333334</v>
      </c>
      <c r="CM19" s="2">
        <v>10113</v>
      </c>
      <c r="CN19" s="156">
        <f t="shared" si="11"/>
        <v>1.9262857142857144</v>
      </c>
      <c r="CO19" s="2">
        <v>9245</v>
      </c>
      <c r="CP19" s="156">
        <f t="shared" si="12"/>
        <v>1.760952380952381</v>
      </c>
      <c r="CQ19" s="2">
        <v>9200</v>
      </c>
      <c r="CR19" s="156">
        <f t="shared" si="13"/>
        <v>1.7523809523809524</v>
      </c>
      <c r="CS19" s="2">
        <v>8804</v>
      </c>
      <c r="CT19" s="156">
        <f t="shared" si="13"/>
        <v>1.676952380952381</v>
      </c>
      <c r="CU19" s="2">
        <v>8623</v>
      </c>
      <c r="CV19" s="156">
        <f t="shared" si="13"/>
        <v>1.6424761904761904</v>
      </c>
      <c r="CW19" s="2">
        <v>9983</v>
      </c>
      <c r="CX19" s="156">
        <f t="shared" si="13"/>
        <v>1.9015238095238096</v>
      </c>
      <c r="CY19" s="2">
        <v>15188</v>
      </c>
      <c r="CZ19" s="156">
        <f t="shared" si="13"/>
        <v>2.8929523809523809</v>
      </c>
      <c r="DA19" s="2">
        <v>10018</v>
      </c>
      <c r="DB19" s="156">
        <f t="shared" si="14"/>
        <v>1.9081904761904762</v>
      </c>
      <c r="DC19" s="2">
        <v>12725</v>
      </c>
      <c r="DE19" s="2">
        <v>11976</v>
      </c>
      <c r="DG19" s="2">
        <v>19140</v>
      </c>
      <c r="DI19" s="2">
        <v>13752</v>
      </c>
      <c r="DK19" s="2">
        <v>11580</v>
      </c>
      <c r="DM19" s="2">
        <v>9634</v>
      </c>
      <c r="DO19" s="2">
        <v>9673</v>
      </c>
      <c r="DP19" s="2" t="s">
        <v>1718</v>
      </c>
    </row>
    <row r="20" spans="1:120" s="53" customFormat="1" ht="15.75" customHeight="1">
      <c r="A20" s="1209"/>
      <c r="B20" s="1212" t="s">
        <v>22</v>
      </c>
      <c r="C20" s="1210" t="s">
        <v>23</v>
      </c>
      <c r="D20" s="122"/>
      <c r="E20" s="593"/>
      <c r="F20" s="624"/>
      <c r="G20" s="652"/>
      <c r="H20" s="611"/>
      <c r="I20" s="611"/>
      <c r="J20" s="611"/>
      <c r="K20" s="611"/>
      <c r="L20" s="611"/>
      <c r="M20" s="611"/>
      <c r="N20" s="611"/>
      <c r="O20" s="611"/>
      <c r="P20" s="611"/>
      <c r="Q20" s="611"/>
      <c r="R20" s="611"/>
      <c r="S20" s="611"/>
      <c r="T20" s="611"/>
      <c r="U20" s="611"/>
      <c r="V20" s="611"/>
      <c r="W20" s="611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169">
        <v>4014</v>
      </c>
      <c r="AJ20" s="157">
        <v>4014</v>
      </c>
      <c r="AK20" s="156">
        <f t="shared" ref="AK20:AM20" si="32">AJ20/($AI20)</f>
        <v>1</v>
      </c>
      <c r="AL20" s="157">
        <v>4021</v>
      </c>
      <c r="AM20" s="156">
        <f t="shared" si="32"/>
        <v>1.0017438963627305</v>
      </c>
      <c r="AN20" s="157">
        <v>4019</v>
      </c>
      <c r="AO20" s="156">
        <f t="shared" si="3"/>
        <v>1.0012456402590932</v>
      </c>
      <c r="AP20" s="157">
        <v>4011</v>
      </c>
      <c r="AQ20" s="156">
        <f t="shared" si="3"/>
        <v>0.99925261584454406</v>
      </c>
      <c r="AR20" s="157">
        <v>4046</v>
      </c>
      <c r="AS20" s="156">
        <f t="shared" si="3"/>
        <v>1.0079720976581963</v>
      </c>
      <c r="AT20" s="157">
        <v>4024</v>
      </c>
      <c r="AU20" s="156">
        <f t="shared" si="3"/>
        <v>1.0024912805181863</v>
      </c>
      <c r="AV20" s="157">
        <v>4040</v>
      </c>
      <c r="AW20" s="156">
        <f t="shared" si="3"/>
        <v>1.0064773293472844</v>
      </c>
      <c r="AX20" s="157">
        <v>4020</v>
      </c>
      <c r="AY20" s="156">
        <f t="shared" si="4"/>
        <v>1.0014947683109119</v>
      </c>
      <c r="AZ20" s="3">
        <v>4015</v>
      </c>
      <c r="BA20" s="156">
        <f t="shared" si="5"/>
        <v>1.0002491280518186</v>
      </c>
      <c r="BB20" s="2">
        <v>4015</v>
      </c>
      <c r="BC20" s="156">
        <f t="shared" si="5"/>
        <v>1.0002491280518186</v>
      </c>
      <c r="BD20" s="2">
        <v>4025</v>
      </c>
      <c r="BE20" s="156">
        <f t="shared" si="5"/>
        <v>1.0027404085700049</v>
      </c>
      <c r="BG20" s="156">
        <f t="shared" si="5"/>
        <v>0</v>
      </c>
      <c r="BI20" s="156">
        <f t="shared" si="5"/>
        <v>0</v>
      </c>
      <c r="BK20" s="156">
        <f t="shared" si="5"/>
        <v>0</v>
      </c>
      <c r="BN20" s="156">
        <f t="shared" si="6"/>
        <v>0</v>
      </c>
      <c r="BP20" s="156">
        <f t="shared" si="7"/>
        <v>0</v>
      </c>
      <c r="BR20" s="156">
        <f t="shared" si="7"/>
        <v>0</v>
      </c>
      <c r="BT20" s="156">
        <f t="shared" si="7"/>
        <v>0</v>
      </c>
      <c r="BV20" s="156">
        <f t="shared" si="7"/>
        <v>0</v>
      </c>
      <c r="BX20" s="156">
        <f t="shared" si="7"/>
        <v>0</v>
      </c>
      <c r="BZ20" s="156">
        <f t="shared" si="8"/>
        <v>0</v>
      </c>
      <c r="CB20" s="156">
        <f t="shared" si="9"/>
        <v>0</v>
      </c>
      <c r="CD20" s="156">
        <f t="shared" si="10"/>
        <v>0</v>
      </c>
      <c r="CF20" s="156">
        <f t="shared" si="10"/>
        <v>0</v>
      </c>
      <c r="CH20" s="156">
        <f t="shared" si="10"/>
        <v>0</v>
      </c>
      <c r="CJ20" s="156">
        <f t="shared" si="10"/>
        <v>0</v>
      </c>
      <c r="CL20" s="156">
        <f t="shared" si="10"/>
        <v>0</v>
      </c>
      <c r="CN20" s="156">
        <f t="shared" si="11"/>
        <v>0</v>
      </c>
      <c r="CP20" s="156">
        <f t="shared" si="12"/>
        <v>0</v>
      </c>
      <c r="CR20" s="156">
        <f t="shared" si="13"/>
        <v>0</v>
      </c>
      <c r="CT20" s="156">
        <f t="shared" si="13"/>
        <v>0</v>
      </c>
      <c r="CV20" s="156">
        <f t="shared" si="13"/>
        <v>0</v>
      </c>
      <c r="CX20" s="156">
        <f t="shared" si="13"/>
        <v>0</v>
      </c>
      <c r="CZ20" s="156">
        <f t="shared" si="13"/>
        <v>0</v>
      </c>
      <c r="DB20" s="156">
        <f t="shared" si="14"/>
        <v>0</v>
      </c>
    </row>
    <row r="21" spans="1:120" s="10" customFormat="1" ht="20.25" customHeight="1">
      <c r="A21" s="1209">
        <v>19</v>
      </c>
      <c r="B21" s="1212" t="s">
        <v>139</v>
      </c>
      <c r="C21" s="1213" t="str">
        <f>E21</f>
        <v>{"searchDossierOrKlient":p.DossierName2,"resultType":"Dossiers"}</v>
      </c>
      <c r="D21" s="122"/>
      <c r="E21" s="121" t="str">
        <f>F21&amp;G21&amp;H21&amp;I21&amp;J21&amp;K21&amp;L21&amp;M21&amp;N21&amp;O21&amp;P21&amp;Q21&amp;R21&amp;S21&amp;T21&amp;U21&amp;V21&amp;W21&amp;X21</f>
        <v>{"searchDossierOrKlient":p.DossierName2,"resultType":"Dossiers"}</v>
      </c>
      <c r="F21" s="609" t="s">
        <v>140</v>
      </c>
      <c r="G21" s="611" t="str">
        <f>G18</f>
        <v>p.DossierName2</v>
      </c>
      <c r="H21" s="609" t="s">
        <v>141</v>
      </c>
      <c r="I21" s="611" t="s">
        <v>142</v>
      </c>
      <c r="J21" s="609" t="s">
        <v>37</v>
      </c>
      <c r="K21" s="611"/>
      <c r="L21" s="609"/>
      <c r="M21" s="611"/>
      <c r="N21" s="609"/>
      <c r="O21" s="611"/>
      <c r="P21" s="609"/>
      <c r="Q21" s="611"/>
      <c r="R21" s="609"/>
      <c r="S21" s="611"/>
      <c r="T21" s="609"/>
      <c r="U21" s="611"/>
      <c r="V21" s="609"/>
      <c r="W21" s="611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169">
        <v>10637</v>
      </c>
      <c r="AJ21" s="162">
        <v>10857</v>
      </c>
      <c r="AK21" s="156">
        <f t="shared" ref="AK21:AM21" si="33">AJ21/($AI21)</f>
        <v>1.0206825232678387</v>
      </c>
      <c r="AL21" s="162">
        <v>11582</v>
      </c>
      <c r="AM21" s="156">
        <f t="shared" si="33"/>
        <v>1.088840838582307</v>
      </c>
      <c r="AN21" s="162">
        <v>11107</v>
      </c>
      <c r="AO21" s="156">
        <f t="shared" si="3"/>
        <v>1.0441853906176553</v>
      </c>
      <c r="AP21" s="162">
        <v>10818</v>
      </c>
      <c r="AQ21" s="156">
        <f t="shared" si="3"/>
        <v>1.0170160759612672</v>
      </c>
      <c r="AR21" s="162">
        <v>11086</v>
      </c>
      <c r="AS21" s="156">
        <f t="shared" si="3"/>
        <v>1.0422111497602708</v>
      </c>
      <c r="AT21" s="162">
        <v>11069</v>
      </c>
      <c r="AU21" s="156">
        <f t="shared" si="3"/>
        <v>1.0406129547804832</v>
      </c>
      <c r="AV21" s="162">
        <v>10674</v>
      </c>
      <c r="AW21" s="156">
        <f t="shared" si="3"/>
        <v>1.0034784243677728</v>
      </c>
      <c r="AX21" s="162">
        <v>2476</v>
      </c>
      <c r="AY21" s="156">
        <f t="shared" si="4"/>
        <v>0.23277239823258439</v>
      </c>
      <c r="AZ21" s="3">
        <v>2438</v>
      </c>
      <c r="BA21" s="156">
        <f t="shared" si="5"/>
        <v>0.22919996239541224</v>
      </c>
      <c r="BB21" s="2">
        <v>0</v>
      </c>
      <c r="BC21" s="156">
        <f t="shared" si="5"/>
        <v>0</v>
      </c>
      <c r="BD21" s="2">
        <v>2621</v>
      </c>
      <c r="BE21" s="156">
        <f t="shared" si="5"/>
        <v>0.24640406129547804</v>
      </c>
      <c r="BF21" s="2">
        <v>5694</v>
      </c>
      <c r="BG21" s="156">
        <f t="shared" si="5"/>
        <v>0.53530130675942467</v>
      </c>
      <c r="BH21" s="2">
        <v>7028</v>
      </c>
      <c r="BI21" s="156">
        <f t="shared" si="5"/>
        <v>0.66071260693804645</v>
      </c>
      <c r="BJ21" s="2">
        <v>6521</v>
      </c>
      <c r="BK21" s="156">
        <f t="shared" si="5"/>
        <v>0.61304879195261819</v>
      </c>
      <c r="BM21" s="10">
        <v>5963</v>
      </c>
      <c r="BN21" s="156">
        <f t="shared" si="6"/>
        <v>0.56059039202782734</v>
      </c>
      <c r="BO21" s="10">
        <v>6705</v>
      </c>
      <c r="BP21" s="156">
        <f t="shared" si="7"/>
        <v>0.63034690232208335</v>
      </c>
      <c r="BQ21" s="10">
        <v>6252</v>
      </c>
      <c r="BR21" s="156">
        <f t="shared" si="7"/>
        <v>0.58775970668421551</v>
      </c>
      <c r="BS21" s="10">
        <v>6235</v>
      </c>
      <c r="BT21" s="156">
        <f t="shared" si="7"/>
        <v>0.58616151170442798</v>
      </c>
      <c r="BU21" s="10">
        <v>5975</v>
      </c>
      <c r="BV21" s="156">
        <f t="shared" si="7"/>
        <v>0.56171852966061864</v>
      </c>
      <c r="BW21" s="10">
        <v>6279</v>
      </c>
      <c r="BX21" s="156">
        <f t="shared" si="7"/>
        <v>0.59029801635799573</v>
      </c>
      <c r="BY21" s="10">
        <v>6147</v>
      </c>
      <c r="BZ21" s="156">
        <f t="shared" si="8"/>
        <v>0.5778885023972925</v>
      </c>
      <c r="CA21" s="10">
        <v>6195</v>
      </c>
      <c r="CB21" s="156">
        <f t="shared" si="9"/>
        <v>0.58240105292845723</v>
      </c>
      <c r="CC21" s="10">
        <v>6032</v>
      </c>
      <c r="CD21" s="156">
        <f t="shared" si="10"/>
        <v>0.56707718341637681</v>
      </c>
      <c r="CE21" s="10">
        <v>5693</v>
      </c>
      <c r="CF21" s="156">
        <f t="shared" si="10"/>
        <v>0.53520729529002542</v>
      </c>
      <c r="CG21" s="10">
        <v>2904</v>
      </c>
      <c r="CH21" s="156">
        <f t="shared" si="10"/>
        <v>0.2730093071354705</v>
      </c>
      <c r="CI21" s="10">
        <v>2896</v>
      </c>
      <c r="CJ21" s="156">
        <f t="shared" si="10"/>
        <v>0.27225721538027642</v>
      </c>
      <c r="CK21" s="10">
        <v>3441</v>
      </c>
      <c r="CL21" s="156">
        <f t="shared" si="10"/>
        <v>0.32349346620287678</v>
      </c>
      <c r="CM21" s="10">
        <v>5957</v>
      </c>
      <c r="CN21" s="156">
        <f t="shared" si="11"/>
        <v>0.56002632321143175</v>
      </c>
      <c r="CO21" s="10">
        <v>5527</v>
      </c>
      <c r="CP21" s="156">
        <f t="shared" si="12"/>
        <v>0.51960139136974715</v>
      </c>
      <c r="CQ21" s="10">
        <v>4923</v>
      </c>
      <c r="CR21" s="156">
        <f t="shared" si="13"/>
        <v>0.46281846385259001</v>
      </c>
      <c r="CS21" s="10">
        <v>9034</v>
      </c>
      <c r="CT21" s="156">
        <f t="shared" si="13"/>
        <v>0.84929961455297542</v>
      </c>
      <c r="CU21" s="10">
        <v>6512</v>
      </c>
      <c r="CV21" s="156">
        <f t="shared" si="13"/>
        <v>0.61220268872802486</v>
      </c>
      <c r="CW21" s="10">
        <v>7114</v>
      </c>
      <c r="CX21" s="156">
        <f t="shared" si="13"/>
        <v>0.66879759330638333</v>
      </c>
      <c r="CY21" s="10">
        <v>6394</v>
      </c>
      <c r="CZ21" s="156">
        <f t="shared" si="13"/>
        <v>0.60110933533891131</v>
      </c>
      <c r="DA21" s="10">
        <v>9200</v>
      </c>
      <c r="DB21" s="156">
        <f t="shared" si="14"/>
        <v>0.8649055184732537</v>
      </c>
      <c r="DC21" s="10">
        <v>4985</v>
      </c>
      <c r="DE21" s="10">
        <v>5806</v>
      </c>
      <c r="DG21" s="10">
        <v>6873</v>
      </c>
      <c r="DI21" s="10">
        <v>5331</v>
      </c>
      <c r="DK21" s="10">
        <v>4534</v>
      </c>
      <c r="DM21" s="10">
        <v>9624</v>
      </c>
      <c r="DO21" s="10">
        <v>10135</v>
      </c>
      <c r="DP21" s="10" t="s">
        <v>1718</v>
      </c>
    </row>
    <row r="22" spans="1:120" s="10" customFormat="1" ht="15.75" customHeight="1" thickBot="1">
      <c r="A22" s="1209">
        <v>20</v>
      </c>
      <c r="B22" s="1211" t="s">
        <v>143</v>
      </c>
      <c r="C22" s="1213" t="str">
        <f t="shared" si="22"/>
        <v>{"vermieter":"Graber Immobilien","wohnungsgrosse":"4 Zimmer","mietkosten":1200,"nebenkosten":100}</v>
      </c>
      <c r="D22" s="122"/>
      <c r="E22" s="121" t="str">
        <f t="shared" si="23"/>
        <v>{"vermieter":"Graber Immobilien","wohnungsgrosse":"4 Zimmer","mietkosten":1200,"nebenkosten":100}</v>
      </c>
      <c r="F22" s="611" t="s">
        <v>144</v>
      </c>
      <c r="G22" s="609" t="s">
        <v>145</v>
      </c>
      <c r="H22" s="611" t="s">
        <v>146</v>
      </c>
      <c r="I22" s="611" t="s">
        <v>147</v>
      </c>
      <c r="J22" s="611" t="s">
        <v>148</v>
      </c>
      <c r="K22" s="611">
        <v>1200</v>
      </c>
      <c r="L22" s="611" t="s">
        <v>149</v>
      </c>
      <c r="M22" s="611">
        <v>100</v>
      </c>
      <c r="N22" s="611" t="s">
        <v>109</v>
      </c>
      <c r="O22" s="611"/>
      <c r="P22" s="611"/>
      <c r="Q22" s="611"/>
      <c r="R22" s="611"/>
      <c r="S22" s="611"/>
      <c r="T22" s="611"/>
      <c r="U22" s="611"/>
      <c r="V22" s="611"/>
      <c r="W22" s="611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69">
        <v>2986</v>
      </c>
      <c r="AJ22" s="154">
        <v>3116</v>
      </c>
      <c r="AK22" s="156">
        <f t="shared" ref="AK22:AM22" si="34">AJ22/($AI22)</f>
        <v>1.043536503683858</v>
      </c>
      <c r="AL22" s="154">
        <v>5279</v>
      </c>
      <c r="AM22" s="156">
        <f t="shared" si="34"/>
        <v>1.7679169457468185</v>
      </c>
      <c r="AN22" s="154">
        <v>6470</v>
      </c>
      <c r="AO22" s="156">
        <f t="shared" si="3"/>
        <v>2.1667782987273947</v>
      </c>
      <c r="AP22" s="154">
        <v>5434</v>
      </c>
      <c r="AQ22" s="156">
        <f t="shared" si="3"/>
        <v>1.8198258539852645</v>
      </c>
      <c r="AR22" s="154">
        <v>5337</v>
      </c>
      <c r="AS22" s="156">
        <f t="shared" si="3"/>
        <v>1.7873409243134628</v>
      </c>
      <c r="AT22" s="154">
        <v>5270</v>
      </c>
      <c r="AU22" s="156">
        <f t="shared" si="3"/>
        <v>1.7649028801071667</v>
      </c>
      <c r="AV22" s="154">
        <v>5249</v>
      </c>
      <c r="AW22" s="156">
        <f t="shared" si="3"/>
        <v>1.7578700602813129</v>
      </c>
      <c r="AX22" s="154">
        <v>5105</v>
      </c>
      <c r="AY22" s="156">
        <f t="shared" si="4"/>
        <v>1.7096450100468854</v>
      </c>
      <c r="AZ22" s="3">
        <v>5247</v>
      </c>
      <c r="BA22" s="156">
        <f t="shared" si="5"/>
        <v>1.7572002679169458</v>
      </c>
      <c r="BB22" s="2">
        <v>419</v>
      </c>
      <c r="BC22" s="156">
        <f t="shared" si="5"/>
        <v>0.14032150033489618</v>
      </c>
      <c r="BD22" s="2">
        <v>5146</v>
      </c>
      <c r="BE22" s="156">
        <f t="shared" si="5"/>
        <v>1.7233757535164098</v>
      </c>
      <c r="BF22" s="2">
        <v>3711</v>
      </c>
      <c r="BG22" s="156">
        <f t="shared" si="5"/>
        <v>1.2427997320830542</v>
      </c>
      <c r="BH22" s="2">
        <v>3172</v>
      </c>
      <c r="BI22" s="156">
        <f t="shared" si="5"/>
        <v>1.0622906898861353</v>
      </c>
      <c r="BJ22" s="2">
        <v>3227</v>
      </c>
      <c r="BK22" s="156">
        <f t="shared" si="5"/>
        <v>1.080709979906229</v>
      </c>
      <c r="BM22" s="10">
        <v>4441</v>
      </c>
      <c r="BN22" s="156">
        <f t="shared" si="6"/>
        <v>1.487273945077026</v>
      </c>
      <c r="BO22" s="10">
        <v>6127</v>
      </c>
      <c r="BP22" s="156">
        <f t="shared" si="7"/>
        <v>2.0519089082384463</v>
      </c>
      <c r="BQ22" s="10">
        <v>4579</v>
      </c>
      <c r="BR22" s="156">
        <f t="shared" si="7"/>
        <v>1.5334896182183524</v>
      </c>
      <c r="BS22" s="10">
        <v>4599</v>
      </c>
      <c r="BT22" s="156">
        <f t="shared" si="7"/>
        <v>1.5401875418620228</v>
      </c>
      <c r="BU22" s="10">
        <v>4432</v>
      </c>
      <c r="BV22" s="156">
        <f t="shared" si="7"/>
        <v>1.4842598794373745</v>
      </c>
      <c r="BW22" s="10">
        <v>4337</v>
      </c>
      <c r="BX22" s="156">
        <f t="shared" si="7"/>
        <v>1.4524447421299398</v>
      </c>
      <c r="BY22" s="10">
        <v>4286</v>
      </c>
      <c r="BZ22" s="156">
        <f t="shared" si="8"/>
        <v>1.43536503683858</v>
      </c>
      <c r="CA22" s="10">
        <v>4235</v>
      </c>
      <c r="CB22" s="156">
        <f t="shared" si="9"/>
        <v>1.4182853315472204</v>
      </c>
      <c r="CC22" s="10">
        <v>3364</v>
      </c>
      <c r="CD22" s="156">
        <f t="shared" si="10"/>
        <v>1.1265907568653717</v>
      </c>
      <c r="CE22" s="10">
        <v>4437</v>
      </c>
      <c r="CF22" s="156">
        <f t="shared" si="10"/>
        <v>1.485934360348292</v>
      </c>
      <c r="CG22" s="10">
        <v>4561</v>
      </c>
      <c r="CH22" s="156">
        <f t="shared" si="10"/>
        <v>1.5274614869390488</v>
      </c>
      <c r="CI22" s="10">
        <v>4256</v>
      </c>
      <c r="CJ22" s="156">
        <f t="shared" si="10"/>
        <v>1.4253181513730744</v>
      </c>
      <c r="CK22" s="10">
        <v>4261</v>
      </c>
      <c r="CL22" s="156">
        <f t="shared" si="10"/>
        <v>1.4269926322839919</v>
      </c>
      <c r="CM22" s="10">
        <v>6494</v>
      </c>
      <c r="CN22" s="156">
        <f t="shared" si="11"/>
        <v>2.1748158070997992</v>
      </c>
      <c r="CO22" s="10">
        <v>4454</v>
      </c>
      <c r="CP22" s="156">
        <f t="shared" si="12"/>
        <v>1.4916275954454119</v>
      </c>
      <c r="CQ22" s="10">
        <v>3499</v>
      </c>
      <c r="CR22" s="156">
        <f t="shared" si="13"/>
        <v>1.1718017414601474</v>
      </c>
      <c r="CS22" s="10">
        <v>9873</v>
      </c>
      <c r="CT22" s="156">
        <f t="shared" si="13"/>
        <v>3.3064300066979238</v>
      </c>
      <c r="CU22" s="10">
        <v>3537</v>
      </c>
      <c r="CV22" s="156">
        <f t="shared" si="13"/>
        <v>1.1845277963831213</v>
      </c>
      <c r="CW22" s="10">
        <v>9513</v>
      </c>
      <c r="CX22" s="156">
        <f t="shared" si="13"/>
        <v>3.1858673811118554</v>
      </c>
      <c r="CY22" s="10">
        <v>4328</v>
      </c>
      <c r="CZ22" s="156">
        <f t="shared" si="13"/>
        <v>1.449430676490288</v>
      </c>
      <c r="DA22" s="10">
        <v>5305</v>
      </c>
      <c r="DB22" s="156">
        <f t="shared" si="14"/>
        <v>1.7766242464835902</v>
      </c>
      <c r="DC22" s="10">
        <v>4518</v>
      </c>
      <c r="DE22" s="10">
        <v>3667</v>
      </c>
      <c r="DG22" s="10">
        <v>5652</v>
      </c>
      <c r="DI22" s="10">
        <v>6904</v>
      </c>
      <c r="DK22" s="10">
        <v>6191</v>
      </c>
      <c r="DM22" s="10">
        <v>4847</v>
      </c>
      <c r="DO22" s="10">
        <v>4221</v>
      </c>
      <c r="DP22" s="10" t="s">
        <v>1718</v>
      </c>
    </row>
    <row r="23" spans="1:120" s="10" customFormat="1" ht="15.75" customHeight="1">
      <c r="A23" s="1209">
        <v>21</v>
      </c>
      <c r="B23" s="1214" t="s">
        <v>150</v>
      </c>
      <c r="C23" s="1213" t="str">
        <f t="shared" ca="1" si="22"/>
        <v>{"name":p.FamilyName2,"vorname":p.WomanFirstName2,"geburtsdatum":p.BirthdayAdult3,"ahvNumber":p.AHVNumber6,"personInhausltVon":"01.11.2025","inHauslt":"Übernehmen","ereignis":"Eheschliessung"}</v>
      </c>
      <c r="D23" s="122"/>
      <c r="E23" s="121" t="str">
        <f t="shared" ca="1" si="23"/>
        <v>{"name":p.FamilyName2,"vorname":p.WomanFirstName2,"geburtsdatum":p.BirthdayAdult3,"ahvNumber":p.AHVNumber6,"personInhausltVon":"01.11.2025","inHauslt":"Übernehmen","ereignis":"Eheschliessung"}</v>
      </c>
      <c r="F23" s="611" t="s">
        <v>78</v>
      </c>
      <c r="G23" s="611" t="str">
        <f>G7</f>
        <v>p.FamilyName2</v>
      </c>
      <c r="H23" s="611" t="s">
        <v>79</v>
      </c>
      <c r="I23" s="609" t="str">
        <f>H72</f>
        <v>p.WomanFirstName2</v>
      </c>
      <c r="J23" s="611" t="s">
        <v>151</v>
      </c>
      <c r="K23" s="614" t="str">
        <f>J72</f>
        <v>p.BirthdayAdult3</v>
      </c>
      <c r="L23" s="611" t="s">
        <v>83</v>
      </c>
      <c r="M23" s="609" t="str">
        <f>I72</f>
        <v>p.AHVNumber6</v>
      </c>
      <c r="N23" s="611" t="s">
        <v>152</v>
      </c>
      <c r="O23" s="653" t="str">
        <f ca="1">"01."&amp;MONTH(TODAY())&amp;"."&amp;YEAR(TODAY())</f>
        <v>01.11.2025</v>
      </c>
      <c r="P23" s="611" t="s">
        <v>153</v>
      </c>
      <c r="Q23" s="611" t="s">
        <v>154</v>
      </c>
      <c r="R23" s="611" t="s">
        <v>155</v>
      </c>
      <c r="S23" s="611" t="s">
        <v>156</v>
      </c>
      <c r="T23" s="611" t="s">
        <v>37</v>
      </c>
      <c r="U23" s="611"/>
      <c r="V23" s="611"/>
      <c r="W23" s="611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69">
        <v>2074</v>
      </c>
      <c r="AJ23" s="154">
        <v>2332</v>
      </c>
      <c r="AK23" s="156">
        <f t="shared" ref="AK23:AM23" si="35">AJ23/($AI23)</f>
        <v>1.1243972999035681</v>
      </c>
      <c r="AL23" s="154">
        <v>4232</v>
      </c>
      <c r="AM23" s="156">
        <f t="shared" si="35"/>
        <v>2.0405014464802314</v>
      </c>
      <c r="AN23" s="154">
        <v>5306</v>
      </c>
      <c r="AO23" s="156">
        <f t="shared" si="3"/>
        <v>2.5583413693346193</v>
      </c>
      <c r="AP23" s="154">
        <v>5393</v>
      </c>
      <c r="AQ23" s="156">
        <f t="shared" si="3"/>
        <v>2.6002892960462876</v>
      </c>
      <c r="AR23" s="154">
        <v>5273</v>
      </c>
      <c r="AS23" s="156">
        <f t="shared" si="3"/>
        <v>2.5424300867888139</v>
      </c>
      <c r="AT23" s="154">
        <v>5473</v>
      </c>
      <c r="AU23" s="156">
        <f t="shared" si="3"/>
        <v>2.6388621022179364</v>
      </c>
      <c r="AV23" s="154">
        <v>5256</v>
      </c>
      <c r="AW23" s="156">
        <f t="shared" si="3"/>
        <v>2.5342333654773386</v>
      </c>
      <c r="AX23" s="154">
        <v>3995</v>
      </c>
      <c r="AY23" s="156">
        <f t="shared" si="4"/>
        <v>1.9262295081967213</v>
      </c>
      <c r="AZ23" s="3">
        <v>3975</v>
      </c>
      <c r="BA23" s="156">
        <f t="shared" si="5"/>
        <v>1.9165863066538091</v>
      </c>
      <c r="BC23" s="156">
        <f t="shared" si="5"/>
        <v>0</v>
      </c>
      <c r="BD23" s="2">
        <v>3998</v>
      </c>
      <c r="BE23" s="156">
        <f t="shared" si="5"/>
        <v>1.9276759884281582</v>
      </c>
      <c r="BF23" s="2">
        <v>2275</v>
      </c>
      <c r="BG23" s="156">
        <f t="shared" si="5"/>
        <v>1.0969141755062681</v>
      </c>
      <c r="BH23" s="2">
        <v>2299</v>
      </c>
      <c r="BI23" s="156">
        <f t="shared" si="5"/>
        <v>1.1084860173577629</v>
      </c>
      <c r="BJ23" s="2">
        <v>2392</v>
      </c>
      <c r="BK23" s="156">
        <f t="shared" si="5"/>
        <v>1.1533269045323047</v>
      </c>
      <c r="BM23" s="10">
        <v>2889</v>
      </c>
      <c r="BN23" s="156">
        <f t="shared" si="6"/>
        <v>1.392960462873674</v>
      </c>
      <c r="BO23" s="10">
        <v>2587</v>
      </c>
      <c r="BP23" s="156">
        <f t="shared" si="7"/>
        <v>1.247348119575699</v>
      </c>
      <c r="BQ23" s="10">
        <v>2886</v>
      </c>
      <c r="BR23" s="156">
        <f t="shared" si="7"/>
        <v>1.3915139826422371</v>
      </c>
      <c r="BS23" s="10">
        <v>2821</v>
      </c>
      <c r="BT23" s="156">
        <f t="shared" si="7"/>
        <v>1.3601735776277724</v>
      </c>
      <c r="BU23" s="10">
        <v>2833</v>
      </c>
      <c r="BV23" s="156">
        <f t="shared" si="7"/>
        <v>1.3659594985535197</v>
      </c>
      <c r="BW23" s="10">
        <v>3179</v>
      </c>
      <c r="BX23" s="156">
        <f t="shared" si="7"/>
        <v>1.5327868852459017</v>
      </c>
      <c r="BY23" s="10">
        <v>2738</v>
      </c>
      <c r="BZ23" s="156">
        <f t="shared" si="8"/>
        <v>1.3201542912246866</v>
      </c>
      <c r="CA23" s="10">
        <v>2927</v>
      </c>
      <c r="CB23" s="156">
        <f t="shared" si="9"/>
        <v>1.4112825458052074</v>
      </c>
      <c r="CC23" s="10">
        <v>2494</v>
      </c>
      <c r="CD23" s="156">
        <f t="shared" si="10"/>
        <v>1.2025072324011572</v>
      </c>
      <c r="CE23" s="10">
        <v>2579</v>
      </c>
      <c r="CF23" s="156">
        <f t="shared" si="10"/>
        <v>1.2434908389585342</v>
      </c>
      <c r="CG23" s="10">
        <v>2757</v>
      </c>
      <c r="CH23" s="156">
        <f t="shared" si="10"/>
        <v>1.3293153326904532</v>
      </c>
      <c r="CI23" s="10">
        <v>2441</v>
      </c>
      <c r="CJ23" s="156">
        <f t="shared" si="10"/>
        <v>1.1769527483124398</v>
      </c>
      <c r="CK23" s="10">
        <v>2436</v>
      </c>
      <c r="CL23" s="156">
        <f t="shared" si="10"/>
        <v>1.1745419479267116</v>
      </c>
      <c r="CM23" s="10">
        <v>2345</v>
      </c>
      <c r="CN23" s="156">
        <f t="shared" si="11"/>
        <v>1.1306653809064608</v>
      </c>
      <c r="CO23" s="10">
        <v>2255</v>
      </c>
      <c r="CP23" s="156">
        <f t="shared" si="12"/>
        <v>1.0872709739633559</v>
      </c>
      <c r="CQ23" s="10">
        <v>2254</v>
      </c>
      <c r="CR23" s="156">
        <f t="shared" si="13"/>
        <v>1.0867888138862103</v>
      </c>
      <c r="CS23" s="10">
        <v>2377</v>
      </c>
      <c r="CT23" s="156">
        <f t="shared" si="13"/>
        <v>1.1460945033751206</v>
      </c>
      <c r="CU23" s="10">
        <v>2343</v>
      </c>
      <c r="CV23" s="156">
        <f t="shared" si="13"/>
        <v>1.1297010607521698</v>
      </c>
      <c r="CW23" s="10">
        <v>2341</v>
      </c>
      <c r="CX23" s="156">
        <f t="shared" si="13"/>
        <v>1.1287367405978785</v>
      </c>
      <c r="CY23" s="10">
        <v>2427</v>
      </c>
      <c r="CZ23" s="156">
        <f t="shared" si="13"/>
        <v>1.1702025072324012</v>
      </c>
      <c r="DA23" s="10">
        <v>1771</v>
      </c>
      <c r="DB23" s="156">
        <f t="shared" si="14"/>
        <v>0.85390549662487947</v>
      </c>
      <c r="DC23" s="10">
        <v>2974</v>
      </c>
      <c r="DE23" s="10">
        <v>2339</v>
      </c>
      <c r="DG23" s="10">
        <v>7258</v>
      </c>
      <c r="DI23" s="10">
        <v>3462</v>
      </c>
      <c r="DK23" s="10">
        <v>4176</v>
      </c>
      <c r="DM23" s="10">
        <v>3398</v>
      </c>
      <c r="DO23" s="10">
        <v>5412</v>
      </c>
      <c r="DP23" s="10" t="s">
        <v>1718</v>
      </c>
    </row>
    <row r="24" spans="1:120" s="10" customFormat="1" ht="15.75" customHeight="1">
      <c r="A24" s="1209">
        <v>22</v>
      </c>
      <c r="B24" s="1214" t="s">
        <v>150</v>
      </c>
      <c r="C24" s="1213" t="str">
        <f t="shared" ca="1" si="22"/>
        <v>{"name":p.FamilyName2,"vorname":p.GirlFirstName2,"geburtsdatum":p.BirthdayKid2,"ahvNumber":p.AHVNumber7,"personInhausltVon":"01.11.2025","inHauslt":"Übernehmen","ereignis":"Geburt"}</v>
      </c>
      <c r="D24" s="122"/>
      <c r="E24" s="121" t="str">
        <f t="shared" ca="1" si="23"/>
        <v>{"name":p.FamilyName2,"vorname":p.GirlFirstName2,"geburtsdatum":p.BirthdayKid2,"ahvNumber":p.AHVNumber7,"personInhausltVon":"01.11.2025","inHauslt":"Übernehmen","ereignis":"Geburt"}</v>
      </c>
      <c r="F24" s="611" t="s">
        <v>78</v>
      </c>
      <c r="G24" s="611" t="str">
        <f>G23</f>
        <v>p.FamilyName2</v>
      </c>
      <c r="H24" s="611" t="s">
        <v>79</v>
      </c>
      <c r="I24" s="609" t="str">
        <f>H73</f>
        <v>p.GirlFirstName2</v>
      </c>
      <c r="J24" s="611" t="s">
        <v>151</v>
      </c>
      <c r="K24" s="614" t="str">
        <f>J73</f>
        <v>p.BirthdayKid2</v>
      </c>
      <c r="L24" s="611" t="s">
        <v>83</v>
      </c>
      <c r="M24" s="609" t="str">
        <f>I73</f>
        <v>p.AHVNumber7</v>
      </c>
      <c r="N24" s="611" t="s">
        <v>152</v>
      </c>
      <c r="O24" s="654" t="str">
        <f ca="1">"01."&amp;MONTH(TODAY())&amp;"."&amp;YEAR(TODAY())</f>
        <v>01.11.2025</v>
      </c>
      <c r="P24" s="611" t="s">
        <v>153</v>
      </c>
      <c r="Q24" s="611" t="s">
        <v>154</v>
      </c>
      <c r="R24" s="611" t="s">
        <v>155</v>
      </c>
      <c r="S24" s="611" t="s">
        <v>157</v>
      </c>
      <c r="T24" s="611" t="s">
        <v>37</v>
      </c>
      <c r="U24" s="611"/>
      <c r="V24" s="611"/>
      <c r="W24" s="611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69">
        <v>2896</v>
      </c>
      <c r="AJ24" s="154">
        <v>5142</v>
      </c>
      <c r="AK24" s="156">
        <f t="shared" ref="AK24:AM24" si="36">AJ24/($AI24)</f>
        <v>1.7755524861878453</v>
      </c>
      <c r="AL24" s="154">
        <v>4675</v>
      </c>
      <c r="AM24" s="156">
        <f t="shared" si="36"/>
        <v>1.6142955801104972</v>
      </c>
      <c r="AN24" s="154">
        <v>5632</v>
      </c>
      <c r="AO24" s="156">
        <f t="shared" si="3"/>
        <v>1.9447513812154695</v>
      </c>
      <c r="AP24" s="154">
        <v>5191</v>
      </c>
      <c r="AQ24" s="156">
        <f t="shared" si="3"/>
        <v>1.7924723756906078</v>
      </c>
      <c r="AR24" s="154">
        <v>5077</v>
      </c>
      <c r="AS24" s="156">
        <f t="shared" si="3"/>
        <v>1.7531077348066297</v>
      </c>
      <c r="AT24" s="154">
        <v>5284</v>
      </c>
      <c r="AU24" s="156">
        <f t="shared" si="3"/>
        <v>1.8245856353591161</v>
      </c>
      <c r="AV24" s="154">
        <v>5253</v>
      </c>
      <c r="AW24" s="156">
        <f t="shared" si="3"/>
        <v>1.8138812154696133</v>
      </c>
      <c r="AX24" s="154">
        <v>4921</v>
      </c>
      <c r="AY24" s="156">
        <f t="shared" si="4"/>
        <v>1.6992403314917126</v>
      </c>
      <c r="AZ24" s="3">
        <v>4685</v>
      </c>
      <c r="BA24" s="156">
        <f t="shared" si="5"/>
        <v>1.6177486187845305</v>
      </c>
      <c r="BC24" s="156">
        <f t="shared" si="5"/>
        <v>0</v>
      </c>
      <c r="BD24" s="2">
        <v>4501</v>
      </c>
      <c r="BE24" s="156">
        <f t="shared" si="5"/>
        <v>1.5542127071823204</v>
      </c>
      <c r="BF24" s="2">
        <v>3395</v>
      </c>
      <c r="BG24" s="156">
        <f t="shared" si="5"/>
        <v>1.1723066298342542</v>
      </c>
      <c r="BH24" s="2">
        <v>3229</v>
      </c>
      <c r="BI24" s="156">
        <f t="shared" si="5"/>
        <v>1.1149861878453038</v>
      </c>
      <c r="BJ24" s="2">
        <v>3015</v>
      </c>
      <c r="BK24" s="156">
        <f t="shared" si="5"/>
        <v>1.0410911602209945</v>
      </c>
      <c r="BM24" s="10">
        <v>3825</v>
      </c>
      <c r="BN24" s="156">
        <f t="shared" si="6"/>
        <v>1.3207872928176796</v>
      </c>
      <c r="BO24" s="10">
        <v>3911</v>
      </c>
      <c r="BP24" s="156">
        <f t="shared" si="7"/>
        <v>1.3504834254143647</v>
      </c>
      <c r="BQ24" s="10">
        <v>3574</v>
      </c>
      <c r="BR24" s="156">
        <f t="shared" si="7"/>
        <v>1.2341160220994476</v>
      </c>
      <c r="BS24" s="10">
        <v>3691</v>
      </c>
      <c r="BT24" s="156">
        <f t="shared" si="7"/>
        <v>1.2745165745856353</v>
      </c>
      <c r="BU24" s="10">
        <v>3608</v>
      </c>
      <c r="BV24" s="156">
        <f t="shared" si="7"/>
        <v>1.2458563535911602</v>
      </c>
      <c r="BW24" s="10">
        <v>4887</v>
      </c>
      <c r="BX24" s="156">
        <f t="shared" si="7"/>
        <v>1.6875</v>
      </c>
      <c r="BY24" s="10">
        <v>3426</v>
      </c>
      <c r="BZ24" s="156">
        <f t="shared" si="8"/>
        <v>1.1830110497237569</v>
      </c>
      <c r="CA24" s="10">
        <v>3722</v>
      </c>
      <c r="CB24" s="156">
        <f t="shared" si="9"/>
        <v>1.285220994475138</v>
      </c>
      <c r="CC24" s="10">
        <v>3122</v>
      </c>
      <c r="CD24" s="156">
        <f t="shared" si="10"/>
        <v>1.0780386740331491</v>
      </c>
      <c r="CE24" s="10">
        <v>3172</v>
      </c>
      <c r="CF24" s="156">
        <f t="shared" si="10"/>
        <v>1.0953038674033149</v>
      </c>
      <c r="CG24" s="10">
        <v>3990</v>
      </c>
      <c r="CH24" s="156">
        <f t="shared" si="10"/>
        <v>1.3777624309392265</v>
      </c>
      <c r="CI24" s="10">
        <v>3179</v>
      </c>
      <c r="CJ24" s="156">
        <f t="shared" si="10"/>
        <v>1.097720994475138</v>
      </c>
      <c r="CK24" s="10">
        <v>3068</v>
      </c>
      <c r="CL24" s="156">
        <f t="shared" si="10"/>
        <v>1.0593922651933703</v>
      </c>
      <c r="CM24" s="10">
        <v>4511</v>
      </c>
      <c r="CN24" s="156">
        <f t="shared" si="11"/>
        <v>1.5576657458563536</v>
      </c>
      <c r="CO24" s="10">
        <v>4031</v>
      </c>
      <c r="CP24" s="156">
        <f t="shared" si="12"/>
        <v>1.3919198895027625</v>
      </c>
      <c r="CQ24" s="10">
        <v>3240</v>
      </c>
      <c r="CR24" s="156">
        <f t="shared" si="13"/>
        <v>1.1187845303867403</v>
      </c>
      <c r="CS24" s="10">
        <v>4276</v>
      </c>
      <c r="CT24" s="156">
        <f t="shared" si="13"/>
        <v>1.4765193370165746</v>
      </c>
      <c r="CU24" s="10">
        <v>3988</v>
      </c>
      <c r="CV24" s="156">
        <f t="shared" si="13"/>
        <v>1.3770718232044199</v>
      </c>
      <c r="CW24" s="10">
        <v>3242</v>
      </c>
      <c r="CX24" s="156">
        <f t="shared" si="13"/>
        <v>1.1194751381215469</v>
      </c>
      <c r="CY24" s="10">
        <v>5909</v>
      </c>
      <c r="CZ24" s="156">
        <f t="shared" si="13"/>
        <v>2.0404005524861879</v>
      </c>
      <c r="DA24" s="10">
        <v>7371</v>
      </c>
      <c r="DB24" s="156">
        <f t="shared" si="14"/>
        <v>2.5452348066298343</v>
      </c>
      <c r="DC24" s="10">
        <v>4086</v>
      </c>
      <c r="DE24" s="10">
        <v>2481</v>
      </c>
      <c r="DG24" s="10">
        <v>5452</v>
      </c>
      <c r="DI24" s="10">
        <v>3392</v>
      </c>
      <c r="DK24" s="10">
        <v>3549</v>
      </c>
      <c r="DM24" s="10">
        <v>3991</v>
      </c>
      <c r="DO24" s="10">
        <v>2414</v>
      </c>
      <c r="DP24" s="10" t="s">
        <v>1718</v>
      </c>
    </row>
    <row r="25" spans="1:120" s="10" customFormat="1" ht="15.75" customHeight="1" thickBot="1">
      <c r="A25" s="1209">
        <v>23</v>
      </c>
      <c r="B25" s="1214" t="s">
        <v>150</v>
      </c>
      <c r="C25" s="1213" t="str">
        <f t="shared" ca="1" si="22"/>
        <v>{"name":p.FamilyName2,"vorname":p.ManFirstName3,"geburtsdatum":p.BirthdayKid3,"ahvNumber":p.AHVNumber8,"personInhausltVon":"01.11.2025","inHauslt":"Übernehmen","ereignis":"Geburt"}</v>
      </c>
      <c r="D25" s="122"/>
      <c r="E25" s="121" t="str">
        <f t="shared" ca="1" si="23"/>
        <v>{"name":p.FamilyName2,"vorname":p.ManFirstName3,"geburtsdatum":p.BirthdayKid3,"ahvNumber":p.AHVNumber8,"personInhausltVon":"01.11.2025","inHauslt":"Übernehmen","ereignis":"Geburt"}</v>
      </c>
      <c r="F25" s="611" t="s">
        <v>78</v>
      </c>
      <c r="G25" s="611" t="str">
        <f>G24</f>
        <v>p.FamilyName2</v>
      </c>
      <c r="H25" s="611" t="s">
        <v>79</v>
      </c>
      <c r="I25" s="609" t="str">
        <f>H74</f>
        <v>p.ManFirstName3</v>
      </c>
      <c r="J25" s="611" t="s">
        <v>151</v>
      </c>
      <c r="K25" s="614" t="str">
        <f>J74</f>
        <v>p.BirthdayKid3</v>
      </c>
      <c r="L25" s="611" t="s">
        <v>83</v>
      </c>
      <c r="M25" s="609" t="str">
        <f>I74</f>
        <v>p.AHVNumber8</v>
      </c>
      <c r="N25" s="611" t="s">
        <v>152</v>
      </c>
      <c r="O25" s="655" t="str">
        <f ca="1">"01."&amp;MONTH(TODAY())&amp;"."&amp;YEAR(TODAY())</f>
        <v>01.11.2025</v>
      </c>
      <c r="P25" s="611" t="s">
        <v>153</v>
      </c>
      <c r="Q25" s="611" t="s">
        <v>154</v>
      </c>
      <c r="R25" s="611" t="s">
        <v>155</v>
      </c>
      <c r="S25" s="611" t="s">
        <v>157</v>
      </c>
      <c r="T25" s="611" t="s">
        <v>37</v>
      </c>
      <c r="U25" s="611"/>
      <c r="V25" s="611"/>
      <c r="W25" s="611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69">
        <v>2533</v>
      </c>
      <c r="AJ25" s="154">
        <v>2835</v>
      </c>
      <c r="AK25" s="156">
        <f t="shared" ref="AK25:AM25" si="37">AJ25/($AI25)</f>
        <v>1.1192262139755231</v>
      </c>
      <c r="AL25" s="154">
        <v>5377</v>
      </c>
      <c r="AM25" s="156">
        <f t="shared" si="37"/>
        <v>2.1227793130675088</v>
      </c>
      <c r="AN25" s="154">
        <v>5245</v>
      </c>
      <c r="AO25" s="156">
        <f t="shared" si="3"/>
        <v>2.0706671930517175</v>
      </c>
      <c r="AP25" s="154">
        <v>5094</v>
      </c>
      <c r="AQ25" s="156">
        <f t="shared" si="3"/>
        <v>2.0110540860639556</v>
      </c>
      <c r="AR25" s="154">
        <v>5054</v>
      </c>
      <c r="AS25" s="156">
        <f t="shared" si="3"/>
        <v>1.9952625345440189</v>
      </c>
      <c r="AT25" s="154">
        <v>5209</v>
      </c>
      <c r="AU25" s="156">
        <f t="shared" si="3"/>
        <v>2.0564547966837741</v>
      </c>
      <c r="AV25" s="154">
        <v>5183</v>
      </c>
      <c r="AW25" s="156">
        <f t="shared" si="3"/>
        <v>2.0461902881958154</v>
      </c>
      <c r="AX25" s="154">
        <v>4301</v>
      </c>
      <c r="AY25" s="156">
        <f t="shared" si="4"/>
        <v>1.6979865771812082</v>
      </c>
      <c r="AZ25" s="3">
        <v>4302</v>
      </c>
      <c r="BA25" s="156">
        <f t="shared" si="5"/>
        <v>1.6983813659692064</v>
      </c>
      <c r="BC25" s="156">
        <f t="shared" si="5"/>
        <v>0</v>
      </c>
      <c r="BD25" s="2">
        <v>4395</v>
      </c>
      <c r="BE25" s="156">
        <f t="shared" si="5"/>
        <v>1.7350967232530596</v>
      </c>
      <c r="BF25" s="2">
        <v>2625</v>
      </c>
      <c r="BG25" s="156">
        <f t="shared" si="5"/>
        <v>1.0363205684958547</v>
      </c>
      <c r="BH25" s="2">
        <v>2905</v>
      </c>
      <c r="BI25" s="156">
        <f t="shared" si="5"/>
        <v>1.1468614291354124</v>
      </c>
      <c r="BJ25" s="2">
        <v>2719</v>
      </c>
      <c r="BK25" s="156">
        <f t="shared" si="5"/>
        <v>1.0734307145677062</v>
      </c>
      <c r="BM25" s="10">
        <v>3171</v>
      </c>
      <c r="BN25" s="156">
        <f t="shared" si="6"/>
        <v>1.2518752467429926</v>
      </c>
      <c r="BO25" s="10">
        <v>3121</v>
      </c>
      <c r="BP25" s="156">
        <f t="shared" si="7"/>
        <v>1.2321358073430715</v>
      </c>
      <c r="BQ25" s="10">
        <v>3054</v>
      </c>
      <c r="BR25" s="156">
        <f t="shared" si="7"/>
        <v>1.2056849585471772</v>
      </c>
      <c r="BS25" s="10">
        <v>2989</v>
      </c>
      <c r="BT25" s="156">
        <f t="shared" si="7"/>
        <v>1.1800236873272798</v>
      </c>
      <c r="BU25" s="10">
        <v>3020</v>
      </c>
      <c r="BV25" s="156">
        <f t="shared" si="7"/>
        <v>1.1922621397552309</v>
      </c>
      <c r="BW25" s="10">
        <v>3179</v>
      </c>
      <c r="BX25" s="156">
        <f t="shared" si="7"/>
        <v>1.2550335570469799</v>
      </c>
      <c r="BY25" s="10">
        <v>3439</v>
      </c>
      <c r="BZ25" s="156">
        <f t="shared" si="8"/>
        <v>1.3576786419265694</v>
      </c>
      <c r="CA25" s="10">
        <v>2937</v>
      </c>
      <c r="CB25" s="156">
        <f t="shared" si="9"/>
        <v>1.159494670351362</v>
      </c>
      <c r="CC25" s="10">
        <v>2705</v>
      </c>
      <c r="CD25" s="156">
        <f t="shared" si="10"/>
        <v>1.0679036715357284</v>
      </c>
      <c r="CE25" s="10">
        <v>2953</v>
      </c>
      <c r="CF25" s="156">
        <f t="shared" si="10"/>
        <v>1.1658112909593368</v>
      </c>
      <c r="CG25" s="10">
        <v>3524</v>
      </c>
      <c r="CH25" s="156">
        <f t="shared" si="10"/>
        <v>1.391235688906435</v>
      </c>
      <c r="CI25" s="10">
        <v>2790</v>
      </c>
      <c r="CJ25" s="156">
        <f t="shared" si="10"/>
        <v>1.1014607185155942</v>
      </c>
      <c r="CK25" s="10">
        <v>2904</v>
      </c>
      <c r="CL25" s="156">
        <f t="shared" si="10"/>
        <v>1.1464666403474142</v>
      </c>
      <c r="CM25" s="10">
        <v>3231</v>
      </c>
      <c r="CN25" s="156">
        <f t="shared" si="11"/>
        <v>1.2755625740228977</v>
      </c>
      <c r="CO25" s="10">
        <v>3190</v>
      </c>
      <c r="CP25" s="156">
        <f t="shared" si="12"/>
        <v>1.2593762337149625</v>
      </c>
      <c r="CQ25" s="10">
        <v>4299</v>
      </c>
      <c r="CR25" s="156">
        <f t="shared" si="13"/>
        <v>1.6971969996052112</v>
      </c>
      <c r="CS25" s="10">
        <v>3791</v>
      </c>
      <c r="CT25" s="156">
        <f t="shared" si="13"/>
        <v>1.4966442953020134</v>
      </c>
      <c r="CU25" s="10">
        <v>3223</v>
      </c>
      <c r="CV25" s="156">
        <f t="shared" si="13"/>
        <v>1.2724042637189104</v>
      </c>
      <c r="CW25" s="10">
        <v>3168</v>
      </c>
      <c r="CX25" s="156">
        <f t="shared" si="13"/>
        <v>1.2506908803789973</v>
      </c>
      <c r="CY25" s="10">
        <v>3297</v>
      </c>
      <c r="CZ25" s="156">
        <f t="shared" si="13"/>
        <v>1.3016186340307936</v>
      </c>
      <c r="DA25" s="10">
        <v>2726</v>
      </c>
      <c r="DB25" s="156">
        <f t="shared" si="14"/>
        <v>1.0761942360836951</v>
      </c>
      <c r="DC25" s="10">
        <v>3092</v>
      </c>
      <c r="DE25" s="10">
        <v>3240</v>
      </c>
      <c r="DG25" s="10">
        <v>4924</v>
      </c>
      <c r="DI25" s="10">
        <v>2422</v>
      </c>
      <c r="DK25" s="10">
        <v>2931</v>
      </c>
      <c r="DM25" s="10">
        <v>4231</v>
      </c>
      <c r="DO25" s="10">
        <v>2177</v>
      </c>
      <c r="DP25" s="10" t="s">
        <v>1718</v>
      </c>
    </row>
    <row r="26" spans="1:120" s="10" customFormat="1" ht="18.75" customHeight="1">
      <c r="A26" s="1209">
        <v>19</v>
      </c>
      <c r="B26" s="1212" t="s">
        <v>139</v>
      </c>
      <c r="C26" s="1213" t="str">
        <f>E26</f>
        <v>{"searchDossierOrKlient":p.DossierName2,"resultType":"Dossiers"}</v>
      </c>
      <c r="D26" s="122"/>
      <c r="E26" s="121" t="str">
        <f>F26&amp;G26&amp;H26&amp;I26&amp;J26&amp;K26&amp;L26&amp;M26&amp;N26&amp;O26&amp;P26&amp;Q26&amp;R26&amp;S26&amp;T26&amp;U26&amp;V26&amp;W26&amp;X26</f>
        <v>{"searchDossierOrKlient":p.DossierName2,"resultType":"Dossiers"}</v>
      </c>
      <c r="F26" s="609" t="s">
        <v>140</v>
      </c>
      <c r="G26" s="611" t="str">
        <f>G14</f>
        <v>p.DossierName2</v>
      </c>
      <c r="H26" s="609" t="s">
        <v>141</v>
      </c>
      <c r="I26" s="611" t="s">
        <v>142</v>
      </c>
      <c r="J26" s="609" t="s">
        <v>37</v>
      </c>
      <c r="K26" s="611"/>
      <c r="L26" s="609"/>
      <c r="M26" s="611"/>
      <c r="N26" s="609"/>
      <c r="O26" s="611"/>
      <c r="P26" s="609"/>
      <c r="Q26" s="611"/>
      <c r="R26" s="609"/>
      <c r="S26" s="611"/>
      <c r="T26" s="609"/>
      <c r="U26" s="611"/>
      <c r="V26" s="609"/>
      <c r="W26" s="611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169">
        <v>10637</v>
      </c>
      <c r="AJ26" s="162">
        <v>10857</v>
      </c>
      <c r="AK26" s="156">
        <f t="shared" ref="AK26:AM26" si="38">AJ26/($AI26)</f>
        <v>1.0206825232678387</v>
      </c>
      <c r="AL26" s="162">
        <v>11582</v>
      </c>
      <c r="AM26" s="156">
        <f t="shared" si="38"/>
        <v>1.088840838582307</v>
      </c>
      <c r="AN26" s="162">
        <v>0</v>
      </c>
      <c r="AO26" s="156">
        <f t="shared" si="3"/>
        <v>0</v>
      </c>
      <c r="AP26" s="162">
        <v>0</v>
      </c>
      <c r="AQ26" s="156">
        <f t="shared" si="3"/>
        <v>0</v>
      </c>
      <c r="AR26" s="162">
        <v>11295</v>
      </c>
      <c r="AS26" s="156">
        <f t="shared" si="3"/>
        <v>1.0618595468647174</v>
      </c>
      <c r="AT26" s="162">
        <v>11302</v>
      </c>
      <c r="AU26" s="156">
        <f t="shared" si="3"/>
        <v>1.0625176271505123</v>
      </c>
      <c r="AV26" s="162">
        <v>10903</v>
      </c>
      <c r="AW26" s="156">
        <f t="shared" si="3"/>
        <v>1.0250070508602049</v>
      </c>
      <c r="AX26" s="162">
        <v>3706</v>
      </c>
      <c r="AY26" s="156">
        <f t="shared" si="4"/>
        <v>0.34840650559368241</v>
      </c>
      <c r="AZ26" s="3">
        <v>3706</v>
      </c>
      <c r="BA26" s="156">
        <f t="shared" si="5"/>
        <v>0.34840650559368241</v>
      </c>
      <c r="BC26" s="156">
        <f t="shared" si="5"/>
        <v>0</v>
      </c>
      <c r="BD26" s="2">
        <v>3719</v>
      </c>
      <c r="BE26" s="156">
        <f t="shared" si="5"/>
        <v>0.3496286546958729</v>
      </c>
      <c r="BF26" s="2">
        <v>4982</v>
      </c>
      <c r="BG26" s="156">
        <f t="shared" si="5"/>
        <v>0.46836514054714673</v>
      </c>
      <c r="BH26" s="2">
        <v>5063</v>
      </c>
      <c r="BI26" s="156">
        <f t="shared" si="5"/>
        <v>0.47598006956848737</v>
      </c>
      <c r="BJ26" s="2">
        <v>5077</v>
      </c>
      <c r="BK26" s="156">
        <f t="shared" si="5"/>
        <v>0.4772962301400771</v>
      </c>
      <c r="BM26" s="10">
        <v>5238</v>
      </c>
      <c r="BN26" s="156">
        <f t="shared" si="6"/>
        <v>0.49243207671335903</v>
      </c>
      <c r="BO26" s="10">
        <v>6035</v>
      </c>
      <c r="BP26" s="156">
        <f t="shared" si="7"/>
        <v>0.56735921782457455</v>
      </c>
      <c r="BQ26" s="10">
        <v>5706</v>
      </c>
      <c r="BR26" s="156">
        <f t="shared" si="7"/>
        <v>0.53642944439221585</v>
      </c>
      <c r="BS26" s="10">
        <v>5489</v>
      </c>
      <c r="BT26" s="156">
        <f t="shared" si="7"/>
        <v>0.516028955532575</v>
      </c>
      <c r="BU26" s="10">
        <v>5718</v>
      </c>
      <c r="BV26" s="156">
        <f t="shared" si="7"/>
        <v>0.53755758202500703</v>
      </c>
      <c r="BW26" s="10">
        <v>6057</v>
      </c>
      <c r="BX26" s="156">
        <f t="shared" si="7"/>
        <v>0.56942747015135842</v>
      </c>
      <c r="BY26" s="10">
        <v>5533</v>
      </c>
      <c r="BZ26" s="156">
        <f t="shared" si="8"/>
        <v>0.52016546018614274</v>
      </c>
      <c r="CA26" s="10">
        <v>5308</v>
      </c>
      <c r="CB26" s="156">
        <f t="shared" si="9"/>
        <v>0.49901287957130769</v>
      </c>
      <c r="CC26" s="10">
        <v>5622</v>
      </c>
      <c r="CD26" s="156">
        <f t="shared" si="10"/>
        <v>0.52853248096267746</v>
      </c>
      <c r="CE26" s="10">
        <v>5055</v>
      </c>
      <c r="CF26" s="156">
        <f t="shared" si="10"/>
        <v>0.47522797781329323</v>
      </c>
      <c r="CG26" s="10">
        <v>2619</v>
      </c>
      <c r="CH26" s="156">
        <f t="shared" si="10"/>
        <v>0.24621603835667952</v>
      </c>
      <c r="CI26" s="10">
        <v>2383</v>
      </c>
      <c r="CJ26" s="156">
        <f t="shared" si="10"/>
        <v>0.22402933157845256</v>
      </c>
      <c r="CK26" s="10">
        <v>3143</v>
      </c>
      <c r="CL26" s="156">
        <f t="shared" si="10"/>
        <v>0.29547804832189528</v>
      </c>
      <c r="CM26" s="10">
        <v>5658</v>
      </c>
      <c r="CN26" s="156">
        <f t="shared" si="11"/>
        <v>0.53191689386105101</v>
      </c>
      <c r="CO26" s="10">
        <v>5190</v>
      </c>
      <c r="CP26" s="156">
        <f t="shared" si="12"/>
        <v>0.48791952618219425</v>
      </c>
      <c r="CQ26" s="10">
        <v>5020</v>
      </c>
      <c r="CR26" s="156">
        <f t="shared" si="13"/>
        <v>0.47193757638431888</v>
      </c>
      <c r="CS26" s="10">
        <v>5019</v>
      </c>
      <c r="CT26" s="156">
        <f t="shared" si="13"/>
        <v>0.47184356491491963</v>
      </c>
      <c r="CU26" s="10">
        <v>5612</v>
      </c>
      <c r="CV26" s="156">
        <f t="shared" si="13"/>
        <v>0.52759236626868478</v>
      </c>
      <c r="CW26" s="10">
        <v>3983</v>
      </c>
      <c r="CX26" s="156">
        <f t="shared" si="13"/>
        <v>0.37444768261727929</v>
      </c>
      <c r="CY26" s="10">
        <v>4132</v>
      </c>
      <c r="CZ26" s="156">
        <f t="shared" si="13"/>
        <v>0.38845539155777004</v>
      </c>
      <c r="DA26" s="10">
        <v>5402</v>
      </c>
      <c r="DB26" s="156">
        <f t="shared" si="14"/>
        <v>0.50784995769483876</v>
      </c>
      <c r="DC26" s="10">
        <v>5693</v>
      </c>
      <c r="DE26" s="10">
        <v>5607</v>
      </c>
      <c r="DG26" s="10">
        <v>5923</v>
      </c>
      <c r="DI26" s="10">
        <v>4767</v>
      </c>
      <c r="DK26" s="10">
        <v>4455</v>
      </c>
      <c r="DM26" s="10">
        <v>5635</v>
      </c>
      <c r="DO26" s="10">
        <v>4872</v>
      </c>
      <c r="DP26" s="10" t="s">
        <v>1718</v>
      </c>
    </row>
    <row r="27" spans="1:120" s="10" customFormat="1" ht="15.75" customHeight="1">
      <c r="A27" s="1209"/>
      <c r="B27" s="1211" t="s">
        <v>143</v>
      </c>
      <c r="C27" s="1213" t="str">
        <f t="shared" si="22"/>
        <v>{"vermieter":"Graber Immobilien","wohnungsgrosse":"4 Zimmer","mietkosten":3000,"nebenkosten":300}</v>
      </c>
      <c r="D27" s="122"/>
      <c r="E27" s="121" t="str">
        <f t="shared" si="23"/>
        <v>{"vermieter":"Graber Immobilien","wohnungsgrosse":"4 Zimmer","mietkosten":3000,"nebenkosten":300}</v>
      </c>
      <c r="F27" s="609" t="s">
        <v>144</v>
      </c>
      <c r="G27" s="609" t="s">
        <v>145</v>
      </c>
      <c r="H27" s="609" t="s">
        <v>146</v>
      </c>
      <c r="I27" s="611" t="s">
        <v>147</v>
      </c>
      <c r="J27" s="609" t="s">
        <v>148</v>
      </c>
      <c r="K27" s="611">
        <v>3000</v>
      </c>
      <c r="L27" s="609" t="s">
        <v>149</v>
      </c>
      <c r="M27" s="611">
        <v>300</v>
      </c>
      <c r="N27" s="609" t="s">
        <v>109</v>
      </c>
      <c r="O27" s="611"/>
      <c r="P27" s="609"/>
      <c r="Q27" s="611"/>
      <c r="R27" s="609"/>
      <c r="S27" s="611"/>
      <c r="T27" s="609"/>
      <c r="U27" s="611"/>
      <c r="V27" s="609"/>
      <c r="W27" s="61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9">
        <v>3309</v>
      </c>
      <c r="AJ27" s="173">
        <v>3054</v>
      </c>
      <c r="AK27" s="156">
        <f t="shared" ref="AK27:AM27" si="39">AJ27/($AI27)</f>
        <v>0.92293744333635541</v>
      </c>
      <c r="AL27" s="173">
        <v>6910</v>
      </c>
      <c r="AM27" s="156">
        <f t="shared" si="39"/>
        <v>2.0882441825324873</v>
      </c>
      <c r="AN27" s="173">
        <v>408</v>
      </c>
      <c r="AO27" s="156">
        <f t="shared" si="3"/>
        <v>0.12330009066183137</v>
      </c>
      <c r="AP27" s="173">
        <v>445</v>
      </c>
      <c r="AQ27" s="156">
        <f t="shared" si="3"/>
        <v>0.13448171653067392</v>
      </c>
      <c r="AR27" s="173">
        <v>4967</v>
      </c>
      <c r="AS27" s="156">
        <f t="shared" si="3"/>
        <v>1.5010577213659715</v>
      </c>
      <c r="AT27" s="173">
        <v>5157</v>
      </c>
      <c r="AU27" s="156">
        <f t="shared" si="3"/>
        <v>1.558476881233001</v>
      </c>
      <c r="AV27" s="173">
        <v>5031</v>
      </c>
      <c r="AW27" s="156">
        <f t="shared" si="3"/>
        <v>1.5203989120580235</v>
      </c>
      <c r="AX27" s="173">
        <v>4713</v>
      </c>
      <c r="AY27" s="156">
        <f t="shared" si="4"/>
        <v>1.4242973708068902</v>
      </c>
      <c r="AZ27" s="3">
        <v>4648</v>
      </c>
      <c r="BA27" s="156">
        <f t="shared" si="5"/>
        <v>1.404653974010275</v>
      </c>
      <c r="BC27" s="156">
        <f t="shared" si="5"/>
        <v>0</v>
      </c>
      <c r="BD27" s="2">
        <v>4270</v>
      </c>
      <c r="BE27" s="156">
        <f t="shared" si="5"/>
        <v>1.2904200664853429</v>
      </c>
      <c r="BF27" s="2">
        <v>2843</v>
      </c>
      <c r="BG27" s="156">
        <f t="shared" si="5"/>
        <v>0.85917195527349655</v>
      </c>
      <c r="BH27" s="2">
        <v>2751</v>
      </c>
      <c r="BI27" s="156">
        <f t="shared" si="5"/>
        <v>0.83136899365367178</v>
      </c>
      <c r="BJ27" s="2">
        <v>2833</v>
      </c>
      <c r="BK27" s="156">
        <f t="shared" si="5"/>
        <v>0.85614989422786336</v>
      </c>
      <c r="BM27" s="10">
        <v>2999</v>
      </c>
      <c r="BN27" s="156">
        <f t="shared" si="6"/>
        <v>0.90631610758537318</v>
      </c>
      <c r="BO27" s="10">
        <v>3320</v>
      </c>
      <c r="BP27" s="156">
        <f t="shared" si="7"/>
        <v>1.0033242671501965</v>
      </c>
      <c r="BQ27" s="10">
        <v>3109</v>
      </c>
      <c r="BR27" s="156">
        <f t="shared" si="7"/>
        <v>0.93955877908733754</v>
      </c>
      <c r="BS27" s="10">
        <v>3118</v>
      </c>
      <c r="BT27" s="156">
        <f t="shared" si="7"/>
        <v>0.94227863402840739</v>
      </c>
      <c r="BU27" s="10">
        <v>3114</v>
      </c>
      <c r="BV27" s="156">
        <f t="shared" si="7"/>
        <v>0.94106980961015407</v>
      </c>
      <c r="BW27" s="10">
        <v>3060</v>
      </c>
      <c r="BX27" s="156">
        <f t="shared" si="7"/>
        <v>0.92475067996373528</v>
      </c>
      <c r="BY27" s="10">
        <v>3119</v>
      </c>
      <c r="BZ27" s="156">
        <f t="shared" si="8"/>
        <v>0.94258084013297072</v>
      </c>
      <c r="CA27" s="10">
        <v>3087</v>
      </c>
      <c r="CB27" s="156">
        <f t="shared" si="9"/>
        <v>0.93291024478694473</v>
      </c>
      <c r="CC27" s="10">
        <v>2674</v>
      </c>
      <c r="CD27" s="156">
        <f t="shared" si="10"/>
        <v>0.80809912360229674</v>
      </c>
      <c r="CE27" s="10">
        <v>2930</v>
      </c>
      <c r="CF27" s="156">
        <f t="shared" si="10"/>
        <v>0.88546388637050466</v>
      </c>
      <c r="CG27" s="10">
        <v>2755</v>
      </c>
      <c r="CH27" s="156">
        <f t="shared" si="10"/>
        <v>0.8325778180719251</v>
      </c>
      <c r="CI27" s="10">
        <v>2852</v>
      </c>
      <c r="CJ27" s="156">
        <f t="shared" si="10"/>
        <v>0.86189181021456629</v>
      </c>
      <c r="CK27" s="10">
        <v>2889</v>
      </c>
      <c r="CL27" s="156">
        <f t="shared" si="10"/>
        <v>0.87307343608340893</v>
      </c>
      <c r="CM27" s="10">
        <v>2741</v>
      </c>
      <c r="CN27" s="156">
        <f t="shared" si="11"/>
        <v>0.82834693260803871</v>
      </c>
      <c r="CO27" s="10">
        <v>4351</v>
      </c>
      <c r="CP27" s="156">
        <f t="shared" si="12"/>
        <v>1.3148987609549714</v>
      </c>
      <c r="CQ27" s="10">
        <v>3110</v>
      </c>
      <c r="CR27" s="156">
        <f t="shared" si="13"/>
        <v>0.93986098519190087</v>
      </c>
      <c r="CS27" s="10">
        <v>2627</v>
      </c>
      <c r="CT27" s="156">
        <f t="shared" si="13"/>
        <v>0.79389543668782114</v>
      </c>
      <c r="CU27" s="10">
        <v>2601</v>
      </c>
      <c r="CV27" s="156">
        <f t="shared" si="13"/>
        <v>0.78603807796917502</v>
      </c>
      <c r="CW27" s="10">
        <v>2513</v>
      </c>
      <c r="CX27" s="156">
        <f t="shared" si="13"/>
        <v>0.75944394076760346</v>
      </c>
      <c r="CY27" s="10">
        <v>3185</v>
      </c>
      <c r="CZ27" s="156">
        <f t="shared" si="13"/>
        <v>0.96252644303414925</v>
      </c>
      <c r="DA27" s="10">
        <v>2633</v>
      </c>
      <c r="DB27" s="156">
        <f t="shared" si="14"/>
        <v>0.79570867331520101</v>
      </c>
      <c r="DC27" s="10">
        <v>2057</v>
      </c>
    </row>
    <row r="28" spans="1:120" s="10" customFormat="1" ht="15.75" customHeight="1" thickBot="1">
      <c r="A28" s="1209">
        <v>25</v>
      </c>
      <c r="B28" s="1216" t="s">
        <v>158</v>
      </c>
      <c r="C28" s="1213" t="str">
        <f t="shared" si="22"/>
        <v>{"dossier":p.DossierName2,"klientschaft":`${p.FamilyName2}, ${p.ManFirstName2}`}</v>
      </c>
      <c r="D28" s="122"/>
      <c r="E28" s="121" t="str">
        <f t="shared" si="23"/>
        <v>{"dossier":p.DossierName2,"klientschaft":`${p.FamilyName2}, ${p.ManFirstName2}`}</v>
      </c>
      <c r="F28" s="609" t="s">
        <v>159</v>
      </c>
      <c r="G28" s="611" t="str">
        <f>G14</f>
        <v>p.DossierName2</v>
      </c>
      <c r="H28" s="611" t="s">
        <v>129</v>
      </c>
      <c r="I28" s="609" t="str">
        <f>"${"&amp;$G$6&amp;"}, ${"&amp;$I$6&amp;"}"</f>
        <v>${p.FamilyName2}, ${p.ManFirstName2}</v>
      </c>
      <c r="J28" s="611" t="s">
        <v>160</v>
      </c>
      <c r="K28" s="611"/>
      <c r="L28" s="611"/>
      <c r="M28" s="611"/>
      <c r="N28" s="611"/>
      <c r="O28" s="611"/>
      <c r="P28" s="611"/>
      <c r="Q28" s="611"/>
      <c r="R28" s="611"/>
      <c r="S28" s="611"/>
      <c r="T28" s="611"/>
      <c r="U28" s="611"/>
      <c r="V28" s="611"/>
      <c r="W28" s="611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69">
        <v>10963</v>
      </c>
      <c r="AJ28" s="154">
        <v>11176</v>
      </c>
      <c r="AK28" s="156">
        <f t="shared" ref="AK28:AO29" si="40">AJ28/($AI28)</f>
        <v>1.0194289884155796</v>
      </c>
      <c r="AL28" s="154">
        <v>12418</v>
      </c>
      <c r="AM28" s="156">
        <f t="shared" si="40"/>
        <v>1.1327191462191006</v>
      </c>
      <c r="AN28" s="174"/>
      <c r="AO28" s="156">
        <f t="shared" si="3"/>
        <v>0</v>
      </c>
      <c r="AP28" s="174"/>
      <c r="AQ28" s="156">
        <f t="shared" si="3"/>
        <v>0</v>
      </c>
      <c r="AR28" s="154">
        <v>11457</v>
      </c>
      <c r="AS28" s="156">
        <f t="shared" si="3"/>
        <v>1.0450606585788562</v>
      </c>
      <c r="AT28" s="154">
        <v>11555</v>
      </c>
      <c r="AU28" s="156">
        <f t="shared" si="3"/>
        <v>1.0539998175681839</v>
      </c>
      <c r="AV28" s="154">
        <v>11067</v>
      </c>
      <c r="AW28" s="156">
        <f t="shared" si="3"/>
        <v>1.0094864544376538</v>
      </c>
      <c r="AX28" s="154">
        <v>4870</v>
      </c>
      <c r="AY28" s="156">
        <f t="shared" si="4"/>
        <v>0.444221472224756</v>
      </c>
      <c r="AZ28" s="3">
        <v>4747</v>
      </c>
      <c r="BA28" s="156">
        <f t="shared" si="5"/>
        <v>0.43300191553406914</v>
      </c>
      <c r="BC28" s="156">
        <f t="shared" si="5"/>
        <v>0</v>
      </c>
      <c r="BD28" s="2">
        <v>5007</v>
      </c>
      <c r="BE28" s="156">
        <f t="shared" si="5"/>
        <v>0.45671805162820395</v>
      </c>
      <c r="BF28" s="2">
        <v>4755</v>
      </c>
      <c r="BG28" s="156">
        <f t="shared" si="5"/>
        <v>0.43373164279850407</v>
      </c>
      <c r="BH28" s="2">
        <v>4809</v>
      </c>
      <c r="BI28" s="156">
        <f t="shared" si="5"/>
        <v>0.43865730183343976</v>
      </c>
      <c r="BJ28" s="2">
        <v>4782</v>
      </c>
      <c r="BK28" s="156">
        <f t="shared" si="5"/>
        <v>0.43619447231597192</v>
      </c>
      <c r="BM28" s="10">
        <v>4984</v>
      </c>
      <c r="BN28" s="156">
        <f t="shared" si="6"/>
        <v>0.45462008574295359</v>
      </c>
      <c r="BO28" s="10">
        <v>5211</v>
      </c>
      <c r="BP28" s="156">
        <f t="shared" si="7"/>
        <v>0.47532609687129435</v>
      </c>
      <c r="BQ28" s="10">
        <v>5257</v>
      </c>
      <c r="BR28" s="156">
        <f t="shared" si="7"/>
        <v>0.47952202864179511</v>
      </c>
      <c r="BS28" s="10">
        <v>5121</v>
      </c>
      <c r="BT28" s="156">
        <f t="shared" si="7"/>
        <v>0.46711666514640154</v>
      </c>
      <c r="BU28" s="10">
        <v>5257</v>
      </c>
      <c r="BV28" s="156">
        <f t="shared" si="7"/>
        <v>0.47952202864179511</v>
      </c>
      <c r="BW28" s="10">
        <v>5260</v>
      </c>
      <c r="BX28" s="156">
        <f t="shared" si="7"/>
        <v>0.47979567636595821</v>
      </c>
      <c r="BY28" s="10">
        <v>5184</v>
      </c>
      <c r="BZ28" s="156">
        <f t="shared" si="8"/>
        <v>0.4728632673538265</v>
      </c>
      <c r="CA28" s="10">
        <v>4982</v>
      </c>
      <c r="CB28" s="156">
        <f t="shared" si="9"/>
        <v>0.45443765392684482</v>
      </c>
      <c r="CC28" s="10">
        <v>5250</v>
      </c>
      <c r="CD28" s="156">
        <f t="shared" si="10"/>
        <v>0.47888351728541456</v>
      </c>
      <c r="CE28" s="10">
        <v>4703</v>
      </c>
      <c r="CF28" s="156">
        <f t="shared" si="10"/>
        <v>0.4289884155796771</v>
      </c>
      <c r="CG28" s="10">
        <v>2147</v>
      </c>
      <c r="CH28" s="156">
        <f t="shared" si="10"/>
        <v>0.19584055459272098</v>
      </c>
      <c r="CI28" s="10">
        <v>2117</v>
      </c>
      <c r="CJ28" s="156">
        <f t="shared" si="10"/>
        <v>0.19310407735109003</v>
      </c>
      <c r="CK28" s="10">
        <v>2139</v>
      </c>
      <c r="CL28" s="156">
        <f t="shared" si="10"/>
        <v>0.19511082732828605</v>
      </c>
      <c r="CM28" s="10">
        <v>5168</v>
      </c>
      <c r="CN28" s="156">
        <f t="shared" si="11"/>
        <v>0.47140381282495669</v>
      </c>
      <c r="CO28" s="10">
        <v>5176</v>
      </c>
      <c r="CP28" s="156">
        <f t="shared" si="12"/>
        <v>0.47213354008939157</v>
      </c>
      <c r="CQ28" s="10">
        <v>7711</v>
      </c>
      <c r="CR28" s="156">
        <f t="shared" si="13"/>
        <v>0.70336586700720605</v>
      </c>
      <c r="CS28" s="10">
        <v>5024</v>
      </c>
      <c r="CT28" s="156">
        <f t="shared" si="13"/>
        <v>0.45826872206512814</v>
      </c>
      <c r="CU28" s="10">
        <v>4496</v>
      </c>
      <c r="CV28" s="156">
        <f t="shared" si="13"/>
        <v>0.41010672261242359</v>
      </c>
      <c r="CW28" s="10">
        <v>3978</v>
      </c>
      <c r="CX28" s="156">
        <f t="shared" si="13"/>
        <v>0.36285688224026269</v>
      </c>
      <c r="CY28" s="10">
        <v>4473</v>
      </c>
      <c r="CZ28" s="156">
        <f t="shared" si="13"/>
        <v>0.40800875672717324</v>
      </c>
      <c r="DA28" s="10">
        <v>4849</v>
      </c>
      <c r="DB28" s="156">
        <f t="shared" si="14"/>
        <v>0.44230593815561436</v>
      </c>
      <c r="DC28" s="10">
        <v>5910</v>
      </c>
      <c r="DE28" s="10">
        <v>4663</v>
      </c>
      <c r="DG28" s="10">
        <v>8210</v>
      </c>
      <c r="DI28" s="10">
        <v>5601</v>
      </c>
      <c r="DK28" s="10">
        <v>5469</v>
      </c>
      <c r="DM28" s="10">
        <v>6924</v>
      </c>
      <c r="DO28" s="10">
        <v>4913</v>
      </c>
      <c r="DP28" s="10" t="s">
        <v>1718</v>
      </c>
    </row>
    <row r="29" spans="1:120" s="2722" customFormat="1" ht="16.5" customHeight="1" thickBot="1">
      <c r="A29" s="2721"/>
      <c r="B29" s="2722" t="s">
        <v>22</v>
      </c>
      <c r="C29" s="2723" t="s">
        <v>280</v>
      </c>
      <c r="D29" s="2724"/>
      <c r="E29" s="2725"/>
      <c r="F29" s="2726"/>
      <c r="G29" s="2727"/>
      <c r="H29" s="2727"/>
      <c r="I29" s="2727"/>
      <c r="J29" s="2727"/>
      <c r="K29" s="2727"/>
      <c r="L29" s="2727"/>
      <c r="M29" s="2727"/>
      <c r="N29" s="2727"/>
      <c r="O29" s="2727"/>
      <c r="P29" s="2727"/>
      <c r="Q29" s="2727"/>
      <c r="R29" s="2727"/>
      <c r="S29" s="2727"/>
      <c r="T29" s="2727"/>
      <c r="U29" s="2727"/>
      <c r="V29" s="2727"/>
      <c r="W29" s="2727"/>
      <c r="X29" s="2724"/>
      <c r="Y29" s="2724"/>
      <c r="Z29" s="2724"/>
      <c r="AA29" s="2724"/>
      <c r="AB29" s="2724"/>
      <c r="AC29" s="2724"/>
      <c r="AD29" s="2724"/>
      <c r="AE29" s="2724"/>
      <c r="AF29" s="2724"/>
      <c r="AG29" s="2724"/>
      <c r="AH29" s="2724"/>
      <c r="AI29" s="2724">
        <v>2011</v>
      </c>
      <c r="AJ29" s="2728"/>
      <c r="AK29" s="2729"/>
      <c r="AL29" s="2724">
        <v>2008</v>
      </c>
      <c r="AM29" s="2730">
        <f t="shared" si="40"/>
        <v>0.99850820487319747</v>
      </c>
      <c r="AN29" s="2724">
        <v>2011</v>
      </c>
      <c r="AO29" s="2730">
        <f t="shared" si="40"/>
        <v>1</v>
      </c>
      <c r="AP29" s="2724"/>
      <c r="AQ29" s="2730">
        <f t="shared" si="3"/>
        <v>0</v>
      </c>
      <c r="AR29" s="2724">
        <v>2013</v>
      </c>
      <c r="AS29" s="2730">
        <f t="shared" si="3"/>
        <v>1.0009945300845351</v>
      </c>
      <c r="AT29" s="2724">
        <v>2020</v>
      </c>
      <c r="AU29" s="2730">
        <f t="shared" si="3"/>
        <v>1.0044753853804078</v>
      </c>
      <c r="AV29" s="2724">
        <v>2017</v>
      </c>
      <c r="AW29" s="2730">
        <f t="shared" si="3"/>
        <v>1.0029835902536051</v>
      </c>
      <c r="AX29" s="2724">
        <v>2019</v>
      </c>
      <c r="AY29" s="2730">
        <f t="shared" si="3"/>
        <v>1.0039781203381402</v>
      </c>
      <c r="AZ29" s="2724">
        <v>2013</v>
      </c>
      <c r="BA29" s="2724"/>
      <c r="BB29" s="2724">
        <v>341</v>
      </c>
      <c r="BC29" s="2730">
        <f t="shared" si="5"/>
        <v>0.16956737941322725</v>
      </c>
      <c r="BD29" s="2724">
        <v>2007</v>
      </c>
      <c r="BE29" s="2730">
        <f t="shared" si="5"/>
        <v>0.99801093983092992</v>
      </c>
      <c r="BF29" s="2724">
        <v>2003</v>
      </c>
      <c r="BG29" s="2730">
        <f t="shared" si="5"/>
        <v>0.99602187966185973</v>
      </c>
      <c r="BH29" s="2724">
        <v>2009</v>
      </c>
      <c r="BI29" s="2730">
        <f t="shared" si="5"/>
        <v>0.99900546991546491</v>
      </c>
      <c r="BK29" s="2722">
        <v>2019</v>
      </c>
      <c r="BL29" s="2730">
        <f t="shared" ref="BL29" si="41">BK29/($AI29)</f>
        <v>1.0039781203381402</v>
      </c>
      <c r="BM29" s="2722">
        <v>2008</v>
      </c>
      <c r="BN29" s="2730">
        <f t="shared" si="6"/>
        <v>0.99850820487319747</v>
      </c>
      <c r="BO29" s="2722">
        <v>2005</v>
      </c>
      <c r="BP29" s="2730">
        <f t="shared" ref="BP29" si="42">BO29/($AI29)</f>
        <v>0.99701640974639483</v>
      </c>
      <c r="BQ29" s="2722">
        <v>2012</v>
      </c>
      <c r="BR29" s="2730">
        <f t="shared" ref="BR29" si="43">BQ29/($AI29)</f>
        <v>1.0004972650422674</v>
      </c>
      <c r="BS29" s="2722">
        <v>2004</v>
      </c>
      <c r="BT29" s="2730">
        <f t="shared" ref="BT29" si="44">BS29/($AI29)</f>
        <v>0.99651914470412728</v>
      </c>
      <c r="BU29" s="2722">
        <v>2005</v>
      </c>
      <c r="BV29" s="2730">
        <f t="shared" ref="BV29" si="45">BU29/($AI29)</f>
        <v>0.99701640974639483</v>
      </c>
      <c r="BW29" s="2722">
        <v>2013</v>
      </c>
      <c r="BX29" s="2730">
        <f t="shared" ref="BX29" si="46">BW29/($AI29)</f>
        <v>1.0009945300845351</v>
      </c>
      <c r="BY29" s="2722">
        <v>2013</v>
      </c>
      <c r="BZ29" s="2730">
        <f t="shared" si="8"/>
        <v>1.0009945300845351</v>
      </c>
      <c r="CA29" s="2722">
        <v>2006</v>
      </c>
      <c r="CB29" s="2730">
        <f t="shared" si="9"/>
        <v>0.99751367478866237</v>
      </c>
      <c r="CC29" s="2722">
        <v>2006</v>
      </c>
      <c r="CD29" s="2730">
        <f t="shared" ref="CD29" si="47">CC29/($AI29)</f>
        <v>0.99751367478866237</v>
      </c>
      <c r="CE29" s="2722">
        <v>2015</v>
      </c>
      <c r="CF29" s="2730">
        <f t="shared" ref="CF29" si="48">CE29/($AI29)</f>
        <v>1.0019890601690702</v>
      </c>
      <c r="CG29" s="2722">
        <v>2010</v>
      </c>
      <c r="CH29" s="2730">
        <f t="shared" ref="CH29" si="49">CG29/($AI29)</f>
        <v>0.99950273495773245</v>
      </c>
      <c r="CI29" s="2722">
        <v>2012</v>
      </c>
      <c r="CJ29" s="2730">
        <f t="shared" ref="CJ29" si="50">CI29/($AI29)</f>
        <v>1.0004972650422674</v>
      </c>
      <c r="CK29" s="2722">
        <v>2005</v>
      </c>
      <c r="CL29" s="2730">
        <f t="shared" ref="CL29" si="51">CK29/($AI29)</f>
        <v>0.99701640974639483</v>
      </c>
      <c r="CN29" s="2730">
        <f t="shared" si="11"/>
        <v>0</v>
      </c>
      <c r="CO29" s="2722">
        <v>4190</v>
      </c>
      <c r="CP29" s="2730">
        <f t="shared" si="12"/>
        <v>2.0835405271009448</v>
      </c>
      <c r="CQ29" s="2722">
        <v>4228</v>
      </c>
      <c r="CR29" s="2730">
        <f t="shared" si="12"/>
        <v>2.102436598707111</v>
      </c>
      <c r="CS29" s="2722">
        <v>4085</v>
      </c>
      <c r="CT29" s="2730">
        <f t="shared" si="12"/>
        <v>2.0313276976628543</v>
      </c>
      <c r="CU29" s="2722">
        <v>4191</v>
      </c>
      <c r="CV29" s="2730">
        <f t="shared" si="12"/>
        <v>2.0840377921432123</v>
      </c>
      <c r="CW29" s="2722">
        <v>4489</v>
      </c>
      <c r="CX29" s="2730">
        <f t="shared" ref="CX29" si="52">CW29/($AI29)</f>
        <v>2.2322227747389358</v>
      </c>
      <c r="CY29" s="2722">
        <v>5077</v>
      </c>
    </row>
    <row r="30" spans="1:120" s="10" customFormat="1" ht="15.75" customHeight="1" thickBot="1">
      <c r="A30" s="1209"/>
      <c r="B30" s="1213" t="s">
        <v>161</v>
      </c>
      <c r="C30" s="1213" t="str">
        <f t="shared" ca="1" si="22"/>
        <v>{"zahlbarDurch":"BKW Energie AG","pensumm":"100","betrag":"1000","gueltigVon":"01.01.2024","gueltigBis":"31.12.2025","checkbox":"x"}</v>
      </c>
      <c r="D30" s="122"/>
      <c r="E30" s="121" t="str">
        <f t="shared" ca="1" si="23"/>
        <v>{"zahlbarDurch":"BKW Energie AG","pensumm":"100","betrag":"1000","gueltigVon":"01.01.2024","gueltigBis":"31.12.2025","checkbox":"x"}</v>
      </c>
      <c r="F30" s="619"/>
      <c r="G30" s="611" t="s">
        <v>162</v>
      </c>
      <c r="H30" s="611" t="s">
        <v>163</v>
      </c>
      <c r="I30" s="611" t="s">
        <v>164</v>
      </c>
      <c r="J30" s="611" t="s">
        <v>165</v>
      </c>
      <c r="K30" s="611">
        <v>100</v>
      </c>
      <c r="L30" s="611" t="s">
        <v>166</v>
      </c>
      <c r="M30" s="611">
        <v>1000</v>
      </c>
      <c r="N30" s="611" t="s">
        <v>167</v>
      </c>
      <c r="O30" s="655" t="str">
        <f ca="1">TEXT(1,"DD")&amp;"."&amp;TEXT(1,"MM")&amp;"."&amp;TEXT(TODAY()-365,"YYYY")</f>
        <v>01.01.2024</v>
      </c>
      <c r="P30" s="611" t="s">
        <v>168</v>
      </c>
      <c r="Q30" s="655" t="str">
        <f ca="1">"31.12."&amp;TEXT(TODAY(),"YYYY")</f>
        <v>31.12.2025</v>
      </c>
      <c r="R30" s="611" t="s">
        <v>169</v>
      </c>
      <c r="S30" s="611" t="s">
        <v>170</v>
      </c>
      <c r="T30" s="611" t="s">
        <v>37</v>
      </c>
      <c r="U30" s="611"/>
      <c r="V30" s="611"/>
      <c r="W30" s="611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69">
        <v>3160</v>
      </c>
      <c r="AJ30" s="154">
        <v>3932</v>
      </c>
      <c r="AK30" s="156">
        <f t="shared" ref="AK30:AM30" si="53">AJ30/($AI30)</f>
        <v>1.2443037974683544</v>
      </c>
      <c r="AL30" s="154">
        <v>5083</v>
      </c>
      <c r="AM30" s="156">
        <f t="shared" si="53"/>
        <v>1.6085443037974683</v>
      </c>
      <c r="AN30" s="174"/>
      <c r="AO30" s="156">
        <f t="shared" si="3"/>
        <v>0</v>
      </c>
      <c r="AP30" s="174"/>
      <c r="AQ30" s="156">
        <f t="shared" si="3"/>
        <v>0</v>
      </c>
      <c r="AR30" s="154">
        <v>3835</v>
      </c>
      <c r="AS30" s="156">
        <f t="shared" si="3"/>
        <v>1.2136075949367089</v>
      </c>
      <c r="AT30" s="154">
        <v>3682</v>
      </c>
      <c r="AU30" s="156">
        <f t="shared" si="3"/>
        <v>1.1651898734177215</v>
      </c>
      <c r="AV30" s="154">
        <v>3564</v>
      </c>
      <c r="AW30" s="156">
        <f t="shared" si="3"/>
        <v>1.1278481012658228</v>
      </c>
      <c r="AX30" s="154">
        <v>3407</v>
      </c>
      <c r="AY30" s="156">
        <f t="shared" si="4"/>
        <v>1.0781645569620253</v>
      </c>
      <c r="AZ30" s="3">
        <v>3133</v>
      </c>
      <c r="BA30" s="156">
        <f t="shared" si="5"/>
        <v>0.9914556962025316</v>
      </c>
      <c r="BC30" s="156">
        <f t="shared" si="5"/>
        <v>0</v>
      </c>
      <c r="BD30" s="2">
        <v>2802</v>
      </c>
      <c r="BE30" s="156">
        <f t="shared" si="5"/>
        <v>0.88670886075949362</v>
      </c>
      <c r="BF30" s="2">
        <v>3434</v>
      </c>
      <c r="BG30" s="156">
        <f t="shared" si="5"/>
        <v>1.0867088607594937</v>
      </c>
      <c r="BH30" s="2">
        <v>3377</v>
      </c>
      <c r="BI30" s="156">
        <f t="shared" si="5"/>
        <v>1.0686708860759493</v>
      </c>
      <c r="BJ30" s="2">
        <v>3469</v>
      </c>
      <c r="BK30" s="156">
        <f t="shared" si="5"/>
        <v>1.0977848101265824</v>
      </c>
      <c r="BM30" s="10">
        <v>3830</v>
      </c>
      <c r="BN30" s="156">
        <f t="shared" si="6"/>
        <v>1.2120253164556962</v>
      </c>
      <c r="BO30" s="10">
        <v>5485</v>
      </c>
      <c r="BP30" s="156">
        <f t="shared" si="7"/>
        <v>1.735759493670886</v>
      </c>
      <c r="BQ30" s="10">
        <v>3859</v>
      </c>
      <c r="BR30" s="156">
        <f t="shared" si="7"/>
        <v>1.2212025316455697</v>
      </c>
      <c r="BS30" s="10">
        <v>3847</v>
      </c>
      <c r="BT30" s="156">
        <f t="shared" si="7"/>
        <v>1.2174050632911393</v>
      </c>
      <c r="BU30" s="10">
        <v>4040</v>
      </c>
      <c r="BV30" s="156">
        <f t="shared" si="7"/>
        <v>1.2784810126582278</v>
      </c>
      <c r="BW30" s="10">
        <v>4197</v>
      </c>
      <c r="BX30" s="156">
        <f t="shared" si="7"/>
        <v>1.3281645569620253</v>
      </c>
      <c r="BY30" s="10">
        <v>3838</v>
      </c>
      <c r="BZ30" s="156">
        <f t="shared" si="8"/>
        <v>1.2145569620253165</v>
      </c>
      <c r="CA30" s="10">
        <v>3748</v>
      </c>
      <c r="CB30" s="156">
        <f t="shared" si="9"/>
        <v>1.1860759493670887</v>
      </c>
      <c r="CC30" s="10">
        <v>3227</v>
      </c>
      <c r="CD30" s="156">
        <f t="shared" si="10"/>
        <v>1.0212025316455695</v>
      </c>
      <c r="CE30" s="10">
        <v>4689</v>
      </c>
      <c r="CF30" s="156">
        <f t="shared" si="10"/>
        <v>1.4838607594936708</v>
      </c>
      <c r="CG30" s="10">
        <v>3481</v>
      </c>
      <c r="CH30" s="156">
        <f t="shared" si="10"/>
        <v>1.1015822784810128</v>
      </c>
      <c r="CI30" s="10">
        <v>3660</v>
      </c>
      <c r="CJ30" s="156">
        <f t="shared" si="10"/>
        <v>1.1582278481012658</v>
      </c>
      <c r="CK30" s="10">
        <v>3569</v>
      </c>
      <c r="CL30" s="156">
        <f t="shared" si="10"/>
        <v>1.1294303797468355</v>
      </c>
      <c r="CM30" s="10">
        <v>5661</v>
      </c>
      <c r="CN30" s="156">
        <f t="shared" si="11"/>
        <v>1.7914556962025316</v>
      </c>
      <c r="CO30" s="10">
        <v>6941</v>
      </c>
      <c r="CP30" s="156">
        <f t="shared" si="12"/>
        <v>2.1965189873417721</v>
      </c>
      <c r="CQ30" s="10">
        <v>4147</v>
      </c>
      <c r="CR30" s="156">
        <f t="shared" si="13"/>
        <v>1.3123417721518988</v>
      </c>
      <c r="CS30" s="10">
        <v>4197</v>
      </c>
      <c r="CT30" s="156">
        <f t="shared" si="13"/>
        <v>1.3281645569620253</v>
      </c>
      <c r="CU30" s="10">
        <v>4035</v>
      </c>
      <c r="CV30" s="156">
        <f t="shared" si="13"/>
        <v>1.2768987341772151</v>
      </c>
      <c r="CW30" s="10">
        <v>4339</v>
      </c>
      <c r="CX30" s="156">
        <f t="shared" si="13"/>
        <v>1.3731012658227848</v>
      </c>
      <c r="CY30" s="10">
        <v>4688</v>
      </c>
      <c r="CZ30" s="156">
        <f t="shared" si="13"/>
        <v>1.4835443037974683</v>
      </c>
      <c r="DA30" s="10">
        <v>4534</v>
      </c>
      <c r="DB30" s="156">
        <f t="shared" si="14"/>
        <v>1.4348101265822786</v>
      </c>
      <c r="DC30" s="10">
        <v>4796</v>
      </c>
    </row>
    <row r="31" spans="1:120" s="10" customFormat="1" ht="15.75" hidden="1" customHeight="1">
      <c r="A31" s="1206"/>
      <c r="B31" s="1207" t="s">
        <v>139</v>
      </c>
      <c r="C31" s="1208" t="str">
        <f>E31</f>
        <v>{"searchDossierOrKlient":p.DossierName2,"resultType":"Dossiers"}</v>
      </c>
      <c r="D31" s="56"/>
      <c r="E31" s="109" t="str">
        <f>F31&amp;G31&amp;H31&amp;I31&amp;J31&amp;K31&amp;L31&amp;M31&amp;N31&amp;O31&amp;P31&amp;Q31&amp;R31&amp;S31&amp;T31&amp;U31&amp;V31&amp;W31&amp;X31</f>
        <v>{"searchDossierOrKlient":p.DossierName2,"resultType":"Dossiers"}</v>
      </c>
      <c r="F31" s="609" t="s">
        <v>140</v>
      </c>
      <c r="G31" s="614" t="str">
        <f>G28</f>
        <v>p.DossierName2</v>
      </c>
      <c r="H31" s="609" t="s">
        <v>141</v>
      </c>
      <c r="I31" s="611" t="s">
        <v>142</v>
      </c>
      <c r="J31" s="609" t="s">
        <v>37</v>
      </c>
      <c r="K31" s="611"/>
      <c r="L31" s="609"/>
      <c r="M31" s="611"/>
      <c r="N31" s="609"/>
      <c r="O31" s="611"/>
      <c r="P31" s="609"/>
      <c r="Q31" s="611"/>
      <c r="R31" s="609"/>
      <c r="S31" s="611"/>
      <c r="T31" s="609"/>
      <c r="U31" s="611"/>
      <c r="V31" s="609"/>
      <c r="W31" s="611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156" t="e">
        <f t="shared" ref="AK31:AM31" si="54">AJ31/($AI31)</f>
        <v>#DIV/0!</v>
      </c>
      <c r="AL31" s="56"/>
      <c r="AM31" s="156" t="e">
        <f t="shared" si="54"/>
        <v>#DIV/0!</v>
      </c>
      <c r="AN31" s="56"/>
      <c r="AO31" s="156" t="e">
        <f t="shared" si="3"/>
        <v>#DIV/0!</v>
      </c>
      <c r="AP31" s="56"/>
      <c r="AQ31" s="156" t="e">
        <f t="shared" si="3"/>
        <v>#DIV/0!</v>
      </c>
      <c r="AR31" s="157"/>
      <c r="AS31" s="156" t="e">
        <f t="shared" si="3"/>
        <v>#DIV/0!</v>
      </c>
      <c r="AT31" s="157"/>
      <c r="AU31" s="156" t="e">
        <f t="shared" si="3"/>
        <v>#DIV/0!</v>
      </c>
      <c r="AV31" s="157"/>
      <c r="AW31" s="156" t="e">
        <f t="shared" si="3"/>
        <v>#DIV/0!</v>
      </c>
      <c r="AX31" s="157"/>
      <c r="AY31" s="156" t="e">
        <f t="shared" si="4"/>
        <v>#DIV/0!</v>
      </c>
      <c r="AZ31" s="53"/>
      <c r="BA31" s="156" t="e">
        <f t="shared" si="5"/>
        <v>#DIV/0!</v>
      </c>
      <c r="BC31" s="156" t="e">
        <f t="shared" si="5"/>
        <v>#DIV/0!</v>
      </c>
      <c r="BE31" s="156" t="e">
        <f t="shared" si="5"/>
        <v>#DIV/0!</v>
      </c>
      <c r="BG31" s="156" t="e">
        <f t="shared" si="5"/>
        <v>#DIV/0!</v>
      </c>
      <c r="BI31" s="156" t="e">
        <f t="shared" si="5"/>
        <v>#DIV/0!</v>
      </c>
      <c r="BK31" s="156" t="e">
        <f t="shared" si="5"/>
        <v>#DIV/0!</v>
      </c>
      <c r="BN31" s="156" t="e">
        <f t="shared" si="6"/>
        <v>#DIV/0!</v>
      </c>
      <c r="BP31" s="156" t="e">
        <f t="shared" si="7"/>
        <v>#DIV/0!</v>
      </c>
      <c r="BR31" s="156" t="e">
        <f t="shared" si="7"/>
        <v>#DIV/0!</v>
      </c>
      <c r="BT31" s="156" t="e">
        <f t="shared" si="7"/>
        <v>#DIV/0!</v>
      </c>
      <c r="BV31" s="156" t="e">
        <f t="shared" si="7"/>
        <v>#DIV/0!</v>
      </c>
      <c r="BX31" s="156" t="e">
        <f t="shared" si="7"/>
        <v>#DIV/0!</v>
      </c>
      <c r="BZ31" s="156" t="e">
        <f t="shared" si="8"/>
        <v>#DIV/0!</v>
      </c>
      <c r="CB31" s="156" t="e">
        <f t="shared" si="9"/>
        <v>#DIV/0!</v>
      </c>
      <c r="CD31" s="156" t="e">
        <f t="shared" si="10"/>
        <v>#DIV/0!</v>
      </c>
      <c r="CF31" s="156" t="e">
        <f t="shared" si="10"/>
        <v>#DIV/0!</v>
      </c>
      <c r="CH31" s="156" t="e">
        <f t="shared" si="10"/>
        <v>#DIV/0!</v>
      </c>
      <c r="CJ31" s="156" t="e">
        <f t="shared" si="10"/>
        <v>#DIV/0!</v>
      </c>
      <c r="CL31" s="156" t="e">
        <f t="shared" si="10"/>
        <v>#DIV/0!</v>
      </c>
      <c r="CN31" s="156" t="e">
        <f t="shared" si="11"/>
        <v>#DIV/0!</v>
      </c>
      <c r="CP31" s="156" t="e">
        <f t="shared" si="12"/>
        <v>#DIV/0!</v>
      </c>
      <c r="CR31" s="156" t="e">
        <f t="shared" si="13"/>
        <v>#DIV/0!</v>
      </c>
      <c r="CT31" s="156" t="e">
        <f t="shared" si="13"/>
        <v>#DIV/0!</v>
      </c>
      <c r="CV31" s="156" t="e">
        <f t="shared" si="13"/>
        <v>#DIV/0!</v>
      </c>
      <c r="CX31" s="156" t="e">
        <f t="shared" si="13"/>
        <v>#DIV/0!</v>
      </c>
      <c r="CZ31" s="156" t="e">
        <f t="shared" si="13"/>
        <v>#DIV/0!</v>
      </c>
      <c r="DB31" s="156" t="e">
        <f t="shared" si="14"/>
        <v>#DIV/0!</v>
      </c>
    </row>
    <row r="32" spans="1:120" s="10" customFormat="1" ht="15.75" hidden="1" customHeight="1">
      <c r="A32" s="21"/>
      <c r="B32" s="112" t="s">
        <v>180</v>
      </c>
      <c r="C32" s="38" t="str">
        <f ca="1">E32</f>
        <v>{"entscheidVom":"04.11.2025","begrundung":"Gar keine Begründung","unterstutzungab":"01.11.2025"}</v>
      </c>
      <c r="D32" s="56"/>
      <c r="E32" s="109" t="str">
        <f ca="1">F32&amp;G32&amp;H32&amp;I32&amp;J32&amp;K32&amp;L32&amp;M32&amp;N32&amp;O32&amp;P32&amp;Q32&amp;R32&amp;S32&amp;T32&amp;U32&amp;V32&amp;W32&amp;X32</f>
        <v>{"entscheidVom":"04.11.2025","begrundung":"Gar keine Begründung","unterstutzungab":"01.11.2025"}</v>
      </c>
      <c r="F32" s="609" t="s">
        <v>181</v>
      </c>
      <c r="G32" s="614" t="str">
        <f ca="1">TEXT(TEXT(TODAY(),"DD")&amp;"."&amp;TEXT(TODAY(),"MM")&amp;"."&amp;TEXT(TODAY(),"YYYY"),"DD.MM.YYYY")</f>
        <v>04.11.2025</v>
      </c>
      <c r="H32" s="609" t="s">
        <v>182</v>
      </c>
      <c r="I32" s="611" t="s">
        <v>183</v>
      </c>
      <c r="J32" s="609" t="s">
        <v>184</v>
      </c>
      <c r="K32" s="614" t="str">
        <f ca="1">TEXT(TEXT(1,"DD")&amp;"."&amp;TEXT(TODAY(),"MM")&amp;"."&amp;TEXT(TODAY(),"YYYY"),"DD.MM.YYYY")</f>
        <v>01.11.2025</v>
      </c>
      <c r="L32" s="609" t="s">
        <v>37</v>
      </c>
      <c r="M32" s="611"/>
      <c r="N32" s="609"/>
      <c r="O32" s="611"/>
      <c r="P32" s="609"/>
      <c r="Q32" s="611"/>
      <c r="R32" s="609"/>
      <c r="S32" s="611"/>
      <c r="T32" s="609"/>
      <c r="U32" s="611"/>
      <c r="V32" s="609"/>
      <c r="W32" s="611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156" t="e">
        <f t="shared" ref="AK32:AM32" si="55">AJ32/($AI32)</f>
        <v>#DIV/0!</v>
      </c>
      <c r="AL32" s="56"/>
      <c r="AM32" s="156" t="e">
        <f t="shared" si="55"/>
        <v>#DIV/0!</v>
      </c>
      <c r="AN32" s="56"/>
      <c r="AO32" s="156" t="e">
        <f t="shared" si="3"/>
        <v>#DIV/0!</v>
      </c>
      <c r="AP32" s="56"/>
      <c r="AQ32" s="156" t="e">
        <f t="shared" si="3"/>
        <v>#DIV/0!</v>
      </c>
      <c r="AR32" s="157"/>
      <c r="AS32" s="156" t="e">
        <f t="shared" si="3"/>
        <v>#DIV/0!</v>
      </c>
      <c r="AT32" s="157"/>
      <c r="AU32" s="156" t="e">
        <f t="shared" si="3"/>
        <v>#DIV/0!</v>
      </c>
      <c r="AV32" s="157"/>
      <c r="AW32" s="156" t="e">
        <f t="shared" ref="AW32:BK61" si="56">AV32/($AI32)</f>
        <v>#DIV/0!</v>
      </c>
      <c r="AX32" s="157"/>
      <c r="AY32" s="156" t="e">
        <f t="shared" si="56"/>
        <v>#DIV/0!</v>
      </c>
      <c r="AZ32" s="53"/>
      <c r="BA32" s="156" t="e">
        <f t="shared" si="56"/>
        <v>#DIV/0!</v>
      </c>
      <c r="BC32" s="156" t="e">
        <f t="shared" si="56"/>
        <v>#DIV/0!</v>
      </c>
      <c r="BE32" s="156" t="e">
        <f t="shared" si="56"/>
        <v>#DIV/0!</v>
      </c>
      <c r="BG32" s="156" t="e">
        <f t="shared" si="56"/>
        <v>#DIV/0!</v>
      </c>
      <c r="BI32" s="156" t="e">
        <f t="shared" si="56"/>
        <v>#DIV/0!</v>
      </c>
      <c r="BK32" s="156" t="e">
        <f t="shared" si="56"/>
        <v>#DIV/0!</v>
      </c>
      <c r="BN32" s="156" t="e">
        <f t="shared" si="6"/>
        <v>#DIV/0!</v>
      </c>
      <c r="BP32" s="156" t="e">
        <f t="shared" si="7"/>
        <v>#DIV/0!</v>
      </c>
      <c r="BR32" s="156" t="e">
        <f t="shared" si="7"/>
        <v>#DIV/0!</v>
      </c>
      <c r="BT32" s="156" t="e">
        <f t="shared" si="7"/>
        <v>#DIV/0!</v>
      </c>
      <c r="BV32" s="156" t="e">
        <f t="shared" si="7"/>
        <v>#DIV/0!</v>
      </c>
      <c r="BX32" s="156" t="e">
        <f t="shared" si="7"/>
        <v>#DIV/0!</v>
      </c>
      <c r="BZ32" s="156" t="e">
        <f t="shared" si="8"/>
        <v>#DIV/0!</v>
      </c>
      <c r="CB32" s="156" t="e">
        <f t="shared" si="9"/>
        <v>#DIV/0!</v>
      </c>
      <c r="CD32" s="156" t="e">
        <f t="shared" si="10"/>
        <v>#DIV/0!</v>
      </c>
      <c r="CF32" s="156" t="e">
        <f t="shared" si="10"/>
        <v>#DIV/0!</v>
      </c>
      <c r="CH32" s="156" t="e">
        <f t="shared" si="10"/>
        <v>#DIV/0!</v>
      </c>
      <c r="CJ32" s="156" t="e">
        <f t="shared" si="10"/>
        <v>#DIV/0!</v>
      </c>
      <c r="CL32" s="156" t="e">
        <f t="shared" si="10"/>
        <v>#DIV/0!</v>
      </c>
      <c r="CN32" s="156" t="e">
        <f t="shared" si="11"/>
        <v>#DIV/0!</v>
      </c>
      <c r="CP32" s="156" t="e">
        <f t="shared" si="12"/>
        <v>#DIV/0!</v>
      </c>
      <c r="CR32" s="156" t="e">
        <f t="shared" si="13"/>
        <v>#DIV/0!</v>
      </c>
      <c r="CT32" s="156" t="e">
        <f t="shared" si="13"/>
        <v>#DIV/0!</v>
      </c>
      <c r="CV32" s="156" t="e">
        <f t="shared" si="13"/>
        <v>#DIV/0!</v>
      </c>
      <c r="CX32" s="156" t="e">
        <f t="shared" si="13"/>
        <v>#DIV/0!</v>
      </c>
      <c r="CZ32" s="156" t="e">
        <f t="shared" si="13"/>
        <v>#DIV/0!</v>
      </c>
      <c r="DB32" s="156" t="e">
        <f t="shared" si="14"/>
        <v>#DIV/0!</v>
      </c>
    </row>
    <row r="33" spans="1:106" s="53" customFormat="1" ht="15.75" hidden="1" customHeight="1">
      <c r="A33" s="49"/>
      <c r="B33" s="72" t="s">
        <v>22</v>
      </c>
      <c r="C33" s="55" t="s">
        <v>287</v>
      </c>
      <c r="D33" s="56"/>
      <c r="E33" s="57"/>
      <c r="F33" s="624"/>
      <c r="G33" s="652"/>
      <c r="H33" s="611"/>
      <c r="I33" s="611"/>
      <c r="J33" s="611"/>
      <c r="K33" s="611"/>
      <c r="L33" s="611"/>
      <c r="M33" s="611"/>
      <c r="N33" s="611"/>
      <c r="O33" s="611"/>
      <c r="P33" s="611"/>
      <c r="Q33" s="611"/>
      <c r="R33" s="611"/>
      <c r="S33" s="611"/>
      <c r="T33" s="611"/>
      <c r="U33" s="611"/>
      <c r="V33" s="611"/>
      <c r="W33" s="611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156" t="e">
        <f t="shared" ref="AK33:AM33" si="57">AJ33/($AI33)</f>
        <v>#DIV/0!</v>
      </c>
      <c r="AL33" s="56"/>
      <c r="AM33" s="156" t="e">
        <f t="shared" si="57"/>
        <v>#DIV/0!</v>
      </c>
      <c r="AN33" s="56"/>
      <c r="AO33" s="156" t="e">
        <f t="shared" si="3"/>
        <v>#DIV/0!</v>
      </c>
      <c r="AP33" s="56"/>
      <c r="AQ33" s="156" t="e">
        <f t="shared" si="3"/>
        <v>#DIV/0!</v>
      </c>
      <c r="AR33" s="157"/>
      <c r="AS33" s="156" t="e">
        <f t="shared" si="3"/>
        <v>#DIV/0!</v>
      </c>
      <c r="AT33" s="157"/>
      <c r="AU33" s="156" t="e">
        <f t="shared" si="3"/>
        <v>#DIV/0!</v>
      </c>
      <c r="AV33" s="157"/>
      <c r="AW33" s="156" t="e">
        <f t="shared" si="56"/>
        <v>#DIV/0!</v>
      </c>
      <c r="AX33" s="157"/>
      <c r="AY33" s="156" t="e">
        <f t="shared" si="56"/>
        <v>#DIV/0!</v>
      </c>
      <c r="BA33" s="156" t="e">
        <f t="shared" si="56"/>
        <v>#DIV/0!</v>
      </c>
      <c r="BC33" s="156" t="e">
        <f t="shared" si="56"/>
        <v>#DIV/0!</v>
      </c>
      <c r="BE33" s="156" t="e">
        <f t="shared" si="56"/>
        <v>#DIV/0!</v>
      </c>
      <c r="BG33" s="156" t="e">
        <f t="shared" si="56"/>
        <v>#DIV/0!</v>
      </c>
      <c r="BI33" s="156" t="e">
        <f t="shared" si="56"/>
        <v>#DIV/0!</v>
      </c>
      <c r="BK33" s="156" t="e">
        <f t="shared" si="56"/>
        <v>#DIV/0!</v>
      </c>
      <c r="BN33" s="156" t="e">
        <f t="shared" si="6"/>
        <v>#DIV/0!</v>
      </c>
      <c r="BP33" s="156" t="e">
        <f t="shared" si="7"/>
        <v>#DIV/0!</v>
      </c>
      <c r="BR33" s="156" t="e">
        <f t="shared" si="7"/>
        <v>#DIV/0!</v>
      </c>
      <c r="BT33" s="156" t="e">
        <f t="shared" si="7"/>
        <v>#DIV/0!</v>
      </c>
      <c r="BV33" s="156" t="e">
        <f t="shared" si="7"/>
        <v>#DIV/0!</v>
      </c>
      <c r="BX33" s="156" t="e">
        <f t="shared" si="7"/>
        <v>#DIV/0!</v>
      </c>
      <c r="BZ33" s="156" t="e">
        <f t="shared" si="8"/>
        <v>#DIV/0!</v>
      </c>
      <c r="CB33" s="156" t="e">
        <f t="shared" si="9"/>
        <v>#DIV/0!</v>
      </c>
      <c r="CD33" s="156" t="e">
        <f t="shared" si="10"/>
        <v>#DIV/0!</v>
      </c>
      <c r="CF33" s="156" t="e">
        <f t="shared" si="10"/>
        <v>#DIV/0!</v>
      </c>
      <c r="CH33" s="156" t="e">
        <f t="shared" si="10"/>
        <v>#DIV/0!</v>
      </c>
      <c r="CJ33" s="156" t="e">
        <f t="shared" si="10"/>
        <v>#DIV/0!</v>
      </c>
      <c r="CL33" s="156" t="e">
        <f t="shared" si="10"/>
        <v>#DIV/0!</v>
      </c>
      <c r="CN33" s="156" t="e">
        <f t="shared" si="11"/>
        <v>#DIV/0!</v>
      </c>
      <c r="CP33" s="156" t="e">
        <f t="shared" si="12"/>
        <v>#DIV/0!</v>
      </c>
      <c r="CR33" s="156" t="e">
        <f t="shared" si="13"/>
        <v>#DIV/0!</v>
      </c>
      <c r="CT33" s="156" t="e">
        <f t="shared" si="13"/>
        <v>#DIV/0!</v>
      </c>
      <c r="CV33" s="156" t="e">
        <f t="shared" si="13"/>
        <v>#DIV/0!</v>
      </c>
      <c r="CX33" s="156" t="e">
        <f t="shared" si="13"/>
        <v>#DIV/0!</v>
      </c>
      <c r="CZ33" s="156" t="e">
        <f t="shared" si="13"/>
        <v>#DIV/0!</v>
      </c>
      <c r="DB33" s="156" t="e">
        <f t="shared" si="14"/>
        <v>#DIV/0!</v>
      </c>
    </row>
    <row r="34" spans="1:106" s="10" customFormat="1" ht="15.75" hidden="1" customHeight="1">
      <c r="A34" s="159"/>
      <c r="B34" s="175" t="s">
        <v>185</v>
      </c>
      <c r="C34" s="172" t="str">
        <f ca="1">E34</f>
        <v>{"ubernahmeWohnkostenCFH":"100","uebernahmeWohnkostenVon":"01.11.2025","uebernahmeWohnkostenBis":"27.5.2025","uebernahemBegruendung":"Die Wohnungen sind teuer hier"}</v>
      </c>
      <c r="D34" s="161"/>
      <c r="E34" s="172" t="str">
        <f ca="1">F34&amp;G34&amp;H34&amp;I34&amp;J34&amp;K34&amp;L34&amp;M34&amp;N34&amp;O34&amp;P34&amp;Q34&amp;R34&amp;S34&amp;T34&amp;U34&amp;V34&amp;W34&amp;X34</f>
        <v>{"ubernahmeWohnkostenCFH":"100","uebernahmeWohnkostenVon":"01.11.2025","uebernahmeWohnkostenBis":"27.5.2025","uebernahemBegruendung":"Die Wohnungen sind teuer hier"}</v>
      </c>
      <c r="F34" s="609" t="s">
        <v>186</v>
      </c>
      <c r="G34" s="611">
        <v>100</v>
      </c>
      <c r="H34" s="611" t="s">
        <v>187</v>
      </c>
      <c r="I34" s="614" t="str">
        <f ca="1">"01."&amp;MONTH(TODAY())&amp;"."&amp;YEAR(TODAY())</f>
        <v>01.11.2025</v>
      </c>
      <c r="J34" s="611" t="s">
        <v>188</v>
      </c>
      <c r="K34" s="614" t="str">
        <f ca="1">"27."&amp;MONTH(TODAY()+180)&amp;"."&amp;YEAR(TODAY())</f>
        <v>27.5.2025</v>
      </c>
      <c r="L34" s="609" t="s">
        <v>189</v>
      </c>
      <c r="M34" s="611" t="s">
        <v>190</v>
      </c>
      <c r="N34" s="609" t="s">
        <v>37</v>
      </c>
      <c r="O34" s="611"/>
      <c r="P34" s="611"/>
      <c r="Q34" s="611"/>
      <c r="R34" s="611"/>
      <c r="S34" s="611"/>
      <c r="T34" s="611"/>
      <c r="U34" s="611"/>
      <c r="V34" s="611"/>
      <c r="W34" s="61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30"/>
      <c r="AK34" s="156" t="e">
        <f t="shared" ref="AK34:AM34" si="58">AJ34/($AI34)</f>
        <v>#DIV/0!</v>
      </c>
      <c r="AL34" s="30"/>
      <c r="AM34" s="156" t="e">
        <f t="shared" si="58"/>
        <v>#DIV/0!</v>
      </c>
      <c r="AN34" s="30"/>
      <c r="AO34" s="156" t="e">
        <f t="shared" si="3"/>
        <v>#DIV/0!</v>
      </c>
      <c r="AP34" s="30"/>
      <c r="AQ34" s="156" t="e">
        <f t="shared" si="3"/>
        <v>#DIV/0!</v>
      </c>
      <c r="AR34" s="30"/>
      <c r="AS34" s="156" t="e">
        <f t="shared" si="3"/>
        <v>#DIV/0!</v>
      </c>
      <c r="AT34" s="30"/>
      <c r="AU34" s="156" t="e">
        <f t="shared" si="3"/>
        <v>#DIV/0!</v>
      </c>
      <c r="AV34" s="173"/>
      <c r="AW34" s="156" t="e">
        <f t="shared" si="56"/>
        <v>#DIV/0!</v>
      </c>
      <c r="AX34" s="173"/>
      <c r="AY34" s="156" t="e">
        <f t="shared" si="56"/>
        <v>#DIV/0!</v>
      </c>
      <c r="AZ34" s="53"/>
      <c r="BA34" s="156" t="e">
        <f t="shared" si="56"/>
        <v>#DIV/0!</v>
      </c>
      <c r="BC34" s="156" t="e">
        <f t="shared" si="56"/>
        <v>#DIV/0!</v>
      </c>
      <c r="BE34" s="156" t="e">
        <f t="shared" si="56"/>
        <v>#DIV/0!</v>
      </c>
      <c r="BG34" s="156" t="e">
        <f t="shared" si="56"/>
        <v>#DIV/0!</v>
      </c>
      <c r="BI34" s="156" t="e">
        <f t="shared" si="56"/>
        <v>#DIV/0!</v>
      </c>
      <c r="BK34" s="156" t="e">
        <f t="shared" si="56"/>
        <v>#DIV/0!</v>
      </c>
      <c r="BN34" s="156" t="e">
        <f t="shared" si="6"/>
        <v>#DIV/0!</v>
      </c>
      <c r="BP34" s="156" t="e">
        <f t="shared" si="7"/>
        <v>#DIV/0!</v>
      </c>
      <c r="BR34" s="156" t="e">
        <f t="shared" si="7"/>
        <v>#DIV/0!</v>
      </c>
      <c r="BT34" s="156" t="e">
        <f t="shared" si="7"/>
        <v>#DIV/0!</v>
      </c>
      <c r="BV34" s="156" t="e">
        <f t="shared" si="7"/>
        <v>#DIV/0!</v>
      </c>
      <c r="BX34" s="156" t="e">
        <f t="shared" si="7"/>
        <v>#DIV/0!</v>
      </c>
      <c r="BZ34" s="156" t="e">
        <f t="shared" si="8"/>
        <v>#DIV/0!</v>
      </c>
      <c r="CB34" s="156" t="e">
        <f t="shared" si="9"/>
        <v>#DIV/0!</v>
      </c>
      <c r="CD34" s="156" t="e">
        <f t="shared" si="10"/>
        <v>#DIV/0!</v>
      </c>
      <c r="CF34" s="156" t="e">
        <f t="shared" si="10"/>
        <v>#DIV/0!</v>
      </c>
      <c r="CH34" s="156" t="e">
        <f t="shared" si="10"/>
        <v>#DIV/0!</v>
      </c>
      <c r="CJ34" s="156" t="e">
        <f t="shared" si="10"/>
        <v>#DIV/0!</v>
      </c>
      <c r="CL34" s="156" t="e">
        <f t="shared" si="10"/>
        <v>#DIV/0!</v>
      </c>
      <c r="CN34" s="156" t="e">
        <f t="shared" si="11"/>
        <v>#DIV/0!</v>
      </c>
      <c r="CP34" s="156" t="e">
        <f t="shared" si="12"/>
        <v>#DIV/0!</v>
      </c>
      <c r="CR34" s="156" t="e">
        <f t="shared" si="13"/>
        <v>#DIV/0!</v>
      </c>
      <c r="CT34" s="156" t="e">
        <f t="shared" si="13"/>
        <v>#DIV/0!</v>
      </c>
      <c r="CV34" s="156" t="e">
        <f t="shared" si="13"/>
        <v>#DIV/0!</v>
      </c>
      <c r="CX34" s="156" t="e">
        <f t="shared" si="13"/>
        <v>#DIV/0!</v>
      </c>
      <c r="CZ34" s="156" t="e">
        <f t="shared" si="13"/>
        <v>#DIV/0!</v>
      </c>
      <c r="DB34" s="156" t="e">
        <f t="shared" si="14"/>
        <v>#DIV/0!</v>
      </c>
    </row>
    <row r="35" spans="1:106" s="53" customFormat="1" ht="15.75" hidden="1" customHeight="1">
      <c r="A35" s="49"/>
      <c r="B35" s="72" t="s">
        <v>22</v>
      </c>
      <c r="C35" s="55" t="s">
        <v>287</v>
      </c>
      <c r="D35" s="56"/>
      <c r="E35" s="57"/>
      <c r="F35" s="624"/>
      <c r="G35" s="652"/>
      <c r="H35" s="611"/>
      <c r="I35" s="611"/>
      <c r="J35" s="611"/>
      <c r="K35" s="611"/>
      <c r="L35" s="611"/>
      <c r="M35" s="611"/>
      <c r="N35" s="611"/>
      <c r="O35" s="611"/>
      <c r="P35" s="611"/>
      <c r="Q35" s="611"/>
      <c r="R35" s="611"/>
      <c r="S35" s="611"/>
      <c r="T35" s="611"/>
      <c r="U35" s="611"/>
      <c r="V35" s="611"/>
      <c r="W35" s="611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156" t="e">
        <f t="shared" ref="AK35:AM35" si="59">AJ35/($AI35)</f>
        <v>#DIV/0!</v>
      </c>
      <c r="AL35" s="56"/>
      <c r="AM35" s="156" t="e">
        <f t="shared" si="59"/>
        <v>#DIV/0!</v>
      </c>
      <c r="AN35" s="56"/>
      <c r="AO35" s="156" t="e">
        <f t="shared" si="3"/>
        <v>#DIV/0!</v>
      </c>
      <c r="AP35" s="56"/>
      <c r="AQ35" s="156" t="e">
        <f t="shared" si="3"/>
        <v>#DIV/0!</v>
      </c>
      <c r="AR35" s="157"/>
      <c r="AS35" s="156" t="e">
        <f t="shared" si="3"/>
        <v>#DIV/0!</v>
      </c>
      <c r="AT35" s="157"/>
      <c r="AU35" s="156" t="e">
        <f t="shared" si="3"/>
        <v>#DIV/0!</v>
      </c>
      <c r="AV35" s="157"/>
      <c r="AW35" s="156" t="e">
        <f t="shared" si="56"/>
        <v>#DIV/0!</v>
      </c>
      <c r="AX35" s="157"/>
      <c r="AY35" s="156" t="e">
        <f t="shared" si="56"/>
        <v>#DIV/0!</v>
      </c>
      <c r="BA35" s="156" t="e">
        <f t="shared" si="56"/>
        <v>#DIV/0!</v>
      </c>
      <c r="BC35" s="156" t="e">
        <f t="shared" si="56"/>
        <v>#DIV/0!</v>
      </c>
      <c r="BE35" s="156" t="e">
        <f t="shared" si="56"/>
        <v>#DIV/0!</v>
      </c>
      <c r="BG35" s="156" t="e">
        <f t="shared" si="56"/>
        <v>#DIV/0!</v>
      </c>
      <c r="BI35" s="156" t="e">
        <f t="shared" si="56"/>
        <v>#DIV/0!</v>
      </c>
      <c r="BK35" s="156" t="e">
        <f t="shared" si="56"/>
        <v>#DIV/0!</v>
      </c>
      <c r="BN35" s="156" t="e">
        <f t="shared" si="6"/>
        <v>#DIV/0!</v>
      </c>
      <c r="BP35" s="156" t="e">
        <f t="shared" si="7"/>
        <v>#DIV/0!</v>
      </c>
      <c r="BR35" s="156" t="e">
        <f t="shared" si="7"/>
        <v>#DIV/0!</v>
      </c>
      <c r="BT35" s="156" t="e">
        <f t="shared" si="7"/>
        <v>#DIV/0!</v>
      </c>
      <c r="BV35" s="156" t="e">
        <f t="shared" si="7"/>
        <v>#DIV/0!</v>
      </c>
      <c r="BX35" s="156" t="e">
        <f t="shared" si="7"/>
        <v>#DIV/0!</v>
      </c>
      <c r="BZ35" s="156" t="e">
        <f t="shared" si="8"/>
        <v>#DIV/0!</v>
      </c>
      <c r="CB35" s="156" t="e">
        <f t="shared" si="9"/>
        <v>#DIV/0!</v>
      </c>
      <c r="CD35" s="156" t="e">
        <f t="shared" si="10"/>
        <v>#DIV/0!</v>
      </c>
      <c r="CF35" s="156" t="e">
        <f t="shared" si="10"/>
        <v>#DIV/0!</v>
      </c>
      <c r="CH35" s="156" t="e">
        <f t="shared" si="10"/>
        <v>#DIV/0!</v>
      </c>
      <c r="CJ35" s="156" t="e">
        <f t="shared" si="10"/>
        <v>#DIV/0!</v>
      </c>
      <c r="CL35" s="156" t="e">
        <f t="shared" si="10"/>
        <v>#DIV/0!</v>
      </c>
      <c r="CN35" s="156" t="e">
        <f t="shared" si="11"/>
        <v>#DIV/0!</v>
      </c>
      <c r="CP35" s="156" t="e">
        <f t="shared" si="12"/>
        <v>#DIV/0!</v>
      </c>
      <c r="CR35" s="156" t="e">
        <f t="shared" si="13"/>
        <v>#DIV/0!</v>
      </c>
      <c r="CT35" s="156" t="e">
        <f t="shared" si="13"/>
        <v>#DIV/0!</v>
      </c>
      <c r="CV35" s="156" t="e">
        <f t="shared" si="13"/>
        <v>#DIV/0!</v>
      </c>
      <c r="CX35" s="156" t="e">
        <f t="shared" si="13"/>
        <v>#DIV/0!</v>
      </c>
      <c r="CZ35" s="156" t="e">
        <f t="shared" si="13"/>
        <v>#DIV/0!</v>
      </c>
      <c r="DB35" s="156" t="e">
        <f t="shared" si="14"/>
        <v>#DIV/0!</v>
      </c>
    </row>
    <row r="36" spans="1:106" s="10" customFormat="1" ht="15.75" hidden="1" customHeight="1">
      <c r="A36" s="21"/>
      <c r="B36" s="115" t="s">
        <v>191</v>
      </c>
      <c r="C36" s="38" t="str">
        <f t="shared" ref="C36:C51" ca="1" si="60">E36</f>
        <v>{"lEvonDate":"04.11.2025","lEbisDate":"04.11.2026","checkStatus":"In Bearbeitung"}</v>
      </c>
      <c r="D36" s="82"/>
      <c r="E36" s="83" t="str">
        <f t="shared" ref="E36:E53" ca="1" si="61">F36&amp;G36&amp;H36&amp;I36&amp;J36&amp;K36&amp;L36&amp;M36&amp;N36&amp;O36&amp;P36&amp;Q36&amp;R36&amp;S36&amp;T36&amp;U36&amp;V36&amp;W36&amp;X36</f>
        <v>{"lEvonDate":"04.11.2025","lEbisDate":"04.11.2026","checkStatus":"In Bearbeitung"}</v>
      </c>
      <c r="F36" s="609" t="s">
        <v>192</v>
      </c>
      <c r="G36" s="614" t="str">
        <f ca="1">TEXT(TEXT(TODAY(),"DD")&amp;"."&amp;TEXT(TODAY(),"MM")&amp;"."&amp;TEXT(TODAY(),"YYYY"),"DD.MM.YYYY")</f>
        <v>04.11.2025</v>
      </c>
      <c r="H36" s="609" t="s">
        <v>193</v>
      </c>
      <c r="I36" s="614" t="str">
        <f ca="1">TEXT(TEXT(TODAY(),"DD")&amp;"."&amp;TEXT(TODAY(),"MM")&amp;"."&amp;TEXT(TODAY()+360,"YYYY"),"DD.MM.YYYY")</f>
        <v>04.11.2026</v>
      </c>
      <c r="J36" s="609" t="s">
        <v>132</v>
      </c>
      <c r="K36" s="611" t="s">
        <v>133</v>
      </c>
      <c r="L36" s="609" t="s">
        <v>37</v>
      </c>
      <c r="M36" s="611"/>
      <c r="N36" s="609"/>
      <c r="O36" s="611"/>
      <c r="P36" s="609"/>
      <c r="Q36" s="611"/>
      <c r="R36" s="609"/>
      <c r="S36" s="611"/>
      <c r="T36" s="609"/>
      <c r="U36" s="611"/>
      <c r="V36" s="609"/>
      <c r="W36" s="611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176"/>
      <c r="AK36" s="156" t="e">
        <f t="shared" ref="AK36:AM36" si="62">AJ36/($AI36)</f>
        <v>#DIV/0!</v>
      </c>
      <c r="AL36" s="176"/>
      <c r="AM36" s="156" t="e">
        <f t="shared" si="62"/>
        <v>#DIV/0!</v>
      </c>
      <c r="AN36" s="176"/>
      <c r="AO36" s="156" t="e">
        <f t="shared" si="3"/>
        <v>#DIV/0!</v>
      </c>
      <c r="AP36" s="176"/>
      <c r="AQ36" s="156" t="e">
        <f t="shared" si="3"/>
        <v>#DIV/0!</v>
      </c>
      <c r="AR36" s="176"/>
      <c r="AS36" s="156" t="e">
        <f t="shared" si="3"/>
        <v>#DIV/0!</v>
      </c>
      <c r="AT36" s="176"/>
      <c r="AU36" s="156" t="e">
        <f t="shared" si="3"/>
        <v>#DIV/0!</v>
      </c>
      <c r="AV36" s="171"/>
      <c r="AW36" s="156" t="e">
        <f t="shared" si="56"/>
        <v>#DIV/0!</v>
      </c>
      <c r="AX36" s="171"/>
      <c r="AY36" s="156" t="e">
        <f t="shared" si="56"/>
        <v>#DIV/0!</v>
      </c>
      <c r="AZ36" s="53"/>
      <c r="BA36" s="156" t="e">
        <f t="shared" si="56"/>
        <v>#DIV/0!</v>
      </c>
      <c r="BC36" s="156" t="e">
        <f t="shared" si="56"/>
        <v>#DIV/0!</v>
      </c>
      <c r="BE36" s="156" t="e">
        <f t="shared" si="56"/>
        <v>#DIV/0!</v>
      </c>
      <c r="BG36" s="156" t="e">
        <f t="shared" si="56"/>
        <v>#DIV/0!</v>
      </c>
      <c r="BI36" s="156" t="e">
        <f t="shared" si="56"/>
        <v>#DIV/0!</v>
      </c>
      <c r="BK36" s="156" t="e">
        <f t="shared" si="56"/>
        <v>#DIV/0!</v>
      </c>
      <c r="BN36" s="156" t="e">
        <f t="shared" si="6"/>
        <v>#DIV/0!</v>
      </c>
      <c r="BP36" s="156" t="e">
        <f t="shared" si="7"/>
        <v>#DIV/0!</v>
      </c>
      <c r="BR36" s="156" t="e">
        <f t="shared" si="7"/>
        <v>#DIV/0!</v>
      </c>
      <c r="BT36" s="156" t="e">
        <f t="shared" si="7"/>
        <v>#DIV/0!</v>
      </c>
      <c r="BV36" s="156" t="e">
        <f t="shared" si="7"/>
        <v>#DIV/0!</v>
      </c>
      <c r="BX36" s="156" t="e">
        <f t="shared" si="7"/>
        <v>#DIV/0!</v>
      </c>
      <c r="BZ36" s="156" t="e">
        <f t="shared" si="8"/>
        <v>#DIV/0!</v>
      </c>
      <c r="CB36" s="156" t="e">
        <f t="shared" si="9"/>
        <v>#DIV/0!</v>
      </c>
      <c r="CD36" s="156" t="e">
        <f t="shared" si="10"/>
        <v>#DIV/0!</v>
      </c>
      <c r="CF36" s="156" t="e">
        <f t="shared" si="10"/>
        <v>#DIV/0!</v>
      </c>
      <c r="CH36" s="156" t="e">
        <f t="shared" si="10"/>
        <v>#DIV/0!</v>
      </c>
      <c r="CJ36" s="156" t="e">
        <f t="shared" si="10"/>
        <v>#DIV/0!</v>
      </c>
      <c r="CL36" s="156" t="e">
        <f t="shared" si="10"/>
        <v>#DIV/0!</v>
      </c>
      <c r="CN36" s="156" t="e">
        <f t="shared" si="11"/>
        <v>#DIV/0!</v>
      </c>
      <c r="CP36" s="156" t="e">
        <f t="shared" si="12"/>
        <v>#DIV/0!</v>
      </c>
      <c r="CR36" s="156" t="e">
        <f t="shared" si="13"/>
        <v>#DIV/0!</v>
      </c>
      <c r="CT36" s="156" t="e">
        <f t="shared" si="13"/>
        <v>#DIV/0!</v>
      </c>
      <c r="CV36" s="156" t="e">
        <f t="shared" si="13"/>
        <v>#DIV/0!</v>
      </c>
      <c r="CX36" s="156" t="e">
        <f t="shared" si="13"/>
        <v>#DIV/0!</v>
      </c>
      <c r="CZ36" s="156" t="e">
        <f t="shared" si="13"/>
        <v>#DIV/0!</v>
      </c>
      <c r="DB36" s="156" t="e">
        <f t="shared" si="14"/>
        <v>#DIV/0!</v>
      </c>
    </row>
    <row r="37" spans="1:106" s="53" customFormat="1" ht="15.75" hidden="1" customHeight="1">
      <c r="A37" s="49"/>
      <c r="B37" s="72" t="s">
        <v>22</v>
      </c>
      <c r="C37" s="55" t="s">
        <v>287</v>
      </c>
      <c r="D37" s="56"/>
      <c r="E37" s="57"/>
      <c r="F37" s="624"/>
      <c r="G37" s="612"/>
      <c r="H37" s="611"/>
      <c r="I37" s="611"/>
      <c r="J37" s="611"/>
      <c r="K37" s="611"/>
      <c r="L37" s="611"/>
      <c r="M37" s="611"/>
      <c r="N37" s="611"/>
      <c r="O37" s="611"/>
      <c r="P37" s="611"/>
      <c r="Q37" s="611"/>
      <c r="R37" s="611"/>
      <c r="S37" s="611"/>
      <c r="T37" s="611"/>
      <c r="U37" s="611"/>
      <c r="V37" s="611"/>
      <c r="W37" s="611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156" t="e">
        <f t="shared" ref="AK37:AM37" si="63">AJ37/($AI37)</f>
        <v>#DIV/0!</v>
      </c>
      <c r="AL37" s="56"/>
      <c r="AM37" s="156" t="e">
        <f t="shared" si="63"/>
        <v>#DIV/0!</v>
      </c>
      <c r="AN37" s="56"/>
      <c r="AO37" s="156" t="e">
        <f t="shared" si="3"/>
        <v>#DIV/0!</v>
      </c>
      <c r="AP37" s="56"/>
      <c r="AQ37" s="156" t="e">
        <f t="shared" si="3"/>
        <v>#DIV/0!</v>
      </c>
      <c r="AR37" s="157"/>
      <c r="AS37" s="156" t="e">
        <f t="shared" si="3"/>
        <v>#DIV/0!</v>
      </c>
      <c r="AT37" s="157"/>
      <c r="AU37" s="156" t="e">
        <f t="shared" si="3"/>
        <v>#DIV/0!</v>
      </c>
      <c r="AV37" s="157"/>
      <c r="AW37" s="156" t="e">
        <f t="shared" si="56"/>
        <v>#DIV/0!</v>
      </c>
      <c r="AX37" s="157"/>
      <c r="AY37" s="156" t="e">
        <f t="shared" si="56"/>
        <v>#DIV/0!</v>
      </c>
      <c r="BA37" s="156" t="e">
        <f t="shared" si="56"/>
        <v>#DIV/0!</v>
      </c>
      <c r="BC37" s="156" t="e">
        <f t="shared" si="56"/>
        <v>#DIV/0!</v>
      </c>
      <c r="BE37" s="156" t="e">
        <f t="shared" si="56"/>
        <v>#DIV/0!</v>
      </c>
      <c r="BG37" s="156" t="e">
        <f t="shared" si="56"/>
        <v>#DIV/0!</v>
      </c>
      <c r="BI37" s="156" t="e">
        <f t="shared" si="56"/>
        <v>#DIV/0!</v>
      </c>
      <c r="BK37" s="156" t="e">
        <f t="shared" si="56"/>
        <v>#DIV/0!</v>
      </c>
      <c r="BN37" s="156" t="e">
        <f t="shared" si="6"/>
        <v>#DIV/0!</v>
      </c>
      <c r="BP37" s="156" t="e">
        <f t="shared" si="7"/>
        <v>#DIV/0!</v>
      </c>
      <c r="BR37" s="156" t="e">
        <f t="shared" si="7"/>
        <v>#DIV/0!</v>
      </c>
      <c r="BT37" s="156" t="e">
        <f t="shared" si="7"/>
        <v>#DIV/0!</v>
      </c>
      <c r="BV37" s="156" t="e">
        <f t="shared" si="7"/>
        <v>#DIV/0!</v>
      </c>
      <c r="BX37" s="156" t="e">
        <f t="shared" si="7"/>
        <v>#DIV/0!</v>
      </c>
      <c r="BZ37" s="156" t="e">
        <f t="shared" si="8"/>
        <v>#DIV/0!</v>
      </c>
      <c r="CB37" s="156" t="e">
        <f t="shared" si="9"/>
        <v>#DIV/0!</v>
      </c>
      <c r="CD37" s="156" t="e">
        <f t="shared" si="10"/>
        <v>#DIV/0!</v>
      </c>
      <c r="CF37" s="156" t="e">
        <f t="shared" si="10"/>
        <v>#DIV/0!</v>
      </c>
      <c r="CH37" s="156" t="e">
        <f t="shared" si="10"/>
        <v>#DIV/0!</v>
      </c>
      <c r="CJ37" s="156" t="e">
        <f t="shared" si="10"/>
        <v>#DIV/0!</v>
      </c>
      <c r="CL37" s="156" t="e">
        <f t="shared" si="10"/>
        <v>#DIV/0!</v>
      </c>
      <c r="CN37" s="156" t="e">
        <f t="shared" si="11"/>
        <v>#DIV/0!</v>
      </c>
      <c r="CP37" s="156" t="e">
        <f t="shared" si="12"/>
        <v>#DIV/0!</v>
      </c>
      <c r="CR37" s="156" t="e">
        <f t="shared" si="13"/>
        <v>#DIV/0!</v>
      </c>
      <c r="CT37" s="156" t="e">
        <f t="shared" si="13"/>
        <v>#DIV/0!</v>
      </c>
      <c r="CV37" s="156" t="e">
        <f t="shared" si="13"/>
        <v>#DIV/0!</v>
      </c>
      <c r="CX37" s="156" t="e">
        <f t="shared" si="13"/>
        <v>#DIV/0!</v>
      </c>
      <c r="CZ37" s="156" t="e">
        <f t="shared" si="13"/>
        <v>#DIV/0!</v>
      </c>
      <c r="DB37" s="156" t="e">
        <f t="shared" si="14"/>
        <v>#DIV/0!</v>
      </c>
    </row>
    <row r="38" spans="1:106" s="10" customFormat="1" ht="15.75" hidden="1" customHeight="1">
      <c r="A38" s="21"/>
      <c r="B38" s="137" t="s">
        <v>134</v>
      </c>
      <c r="C38" s="38" t="str">
        <f t="shared" si="60"/>
        <v>{"username":"Bern.Sachbearbeiterin@diartis.ch","password":"XXxa22?pdTA66-S@"}</v>
      </c>
      <c r="D38" s="82"/>
      <c r="E38" s="83" t="str">
        <f t="shared" si="61"/>
        <v>{"username":"Bern.Sachbearbeiterin@diartis.ch","password":"XXxa22?pdTA66-S@"}</v>
      </c>
      <c r="F38" s="609" t="s">
        <v>29</v>
      </c>
      <c r="G38" s="617" t="s">
        <v>30</v>
      </c>
      <c r="H38" s="609" t="s">
        <v>31</v>
      </c>
      <c r="I38" s="618" t="s">
        <v>32</v>
      </c>
      <c r="J38" s="609" t="s">
        <v>37</v>
      </c>
      <c r="K38" s="614"/>
      <c r="L38" s="609"/>
      <c r="M38" s="611"/>
      <c r="N38" s="609"/>
      <c r="O38" s="611"/>
      <c r="P38" s="609"/>
      <c r="Q38" s="611"/>
      <c r="R38" s="609"/>
      <c r="S38" s="611"/>
      <c r="T38" s="609"/>
      <c r="U38" s="611"/>
      <c r="V38" s="609"/>
      <c r="W38" s="611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176"/>
      <c r="AK38" s="156" t="e">
        <f t="shared" ref="AK38:AM38" si="64">AJ38/($AI38)</f>
        <v>#DIV/0!</v>
      </c>
      <c r="AL38" s="176"/>
      <c r="AM38" s="156" t="e">
        <f t="shared" si="64"/>
        <v>#DIV/0!</v>
      </c>
      <c r="AN38" s="176"/>
      <c r="AO38" s="156" t="e">
        <f t="shared" si="3"/>
        <v>#DIV/0!</v>
      </c>
      <c r="AP38" s="176"/>
      <c r="AQ38" s="156" t="e">
        <f t="shared" si="3"/>
        <v>#DIV/0!</v>
      </c>
      <c r="AR38" s="176"/>
      <c r="AS38" s="156" t="e">
        <f t="shared" si="3"/>
        <v>#DIV/0!</v>
      </c>
      <c r="AT38" s="176"/>
      <c r="AU38" s="156" t="e">
        <f t="shared" si="3"/>
        <v>#DIV/0!</v>
      </c>
      <c r="AV38" s="171"/>
      <c r="AW38" s="156" t="e">
        <f t="shared" si="56"/>
        <v>#DIV/0!</v>
      </c>
      <c r="AX38" s="171"/>
      <c r="AY38" s="156" t="e">
        <f t="shared" si="56"/>
        <v>#DIV/0!</v>
      </c>
      <c r="AZ38" s="53"/>
      <c r="BA38" s="156" t="e">
        <f t="shared" si="56"/>
        <v>#DIV/0!</v>
      </c>
      <c r="BC38" s="156" t="e">
        <f t="shared" si="56"/>
        <v>#DIV/0!</v>
      </c>
      <c r="BE38" s="156" t="e">
        <f t="shared" si="56"/>
        <v>#DIV/0!</v>
      </c>
      <c r="BG38" s="156" t="e">
        <f t="shared" si="56"/>
        <v>#DIV/0!</v>
      </c>
      <c r="BI38" s="156" t="e">
        <f t="shared" si="56"/>
        <v>#DIV/0!</v>
      </c>
      <c r="BK38" s="156" t="e">
        <f t="shared" si="56"/>
        <v>#DIV/0!</v>
      </c>
      <c r="BN38" s="156" t="e">
        <f t="shared" si="6"/>
        <v>#DIV/0!</v>
      </c>
      <c r="BP38" s="156" t="e">
        <f t="shared" si="7"/>
        <v>#DIV/0!</v>
      </c>
      <c r="BR38" s="156" t="e">
        <f t="shared" si="7"/>
        <v>#DIV/0!</v>
      </c>
      <c r="BT38" s="156" t="e">
        <f t="shared" si="7"/>
        <v>#DIV/0!</v>
      </c>
      <c r="BV38" s="156" t="e">
        <f t="shared" si="7"/>
        <v>#DIV/0!</v>
      </c>
      <c r="BX38" s="156" t="e">
        <f t="shared" si="7"/>
        <v>#DIV/0!</v>
      </c>
      <c r="BZ38" s="156" t="e">
        <f t="shared" si="8"/>
        <v>#DIV/0!</v>
      </c>
      <c r="CB38" s="156" t="e">
        <f t="shared" si="9"/>
        <v>#DIV/0!</v>
      </c>
      <c r="CD38" s="156" t="e">
        <f t="shared" si="10"/>
        <v>#DIV/0!</v>
      </c>
      <c r="CF38" s="156" t="e">
        <f t="shared" si="10"/>
        <v>#DIV/0!</v>
      </c>
      <c r="CH38" s="156" t="e">
        <f t="shared" si="10"/>
        <v>#DIV/0!</v>
      </c>
      <c r="CJ38" s="156" t="e">
        <f t="shared" si="10"/>
        <v>#DIV/0!</v>
      </c>
      <c r="CL38" s="156" t="e">
        <f t="shared" si="10"/>
        <v>#DIV/0!</v>
      </c>
      <c r="CN38" s="156" t="e">
        <f t="shared" si="11"/>
        <v>#DIV/0!</v>
      </c>
      <c r="CP38" s="156" t="e">
        <f t="shared" si="12"/>
        <v>#DIV/0!</v>
      </c>
      <c r="CR38" s="156" t="e">
        <f t="shared" si="13"/>
        <v>#DIV/0!</v>
      </c>
      <c r="CT38" s="156" t="e">
        <f t="shared" si="13"/>
        <v>#DIV/0!</v>
      </c>
      <c r="CV38" s="156" t="e">
        <f t="shared" si="13"/>
        <v>#DIV/0!</v>
      </c>
      <c r="CX38" s="156" t="e">
        <f t="shared" si="13"/>
        <v>#DIV/0!</v>
      </c>
      <c r="CZ38" s="156" t="e">
        <f t="shared" si="13"/>
        <v>#DIV/0!</v>
      </c>
      <c r="DB38" s="156" t="e">
        <f t="shared" si="14"/>
        <v>#DIV/0!</v>
      </c>
    </row>
    <row r="39" spans="1:106" s="53" customFormat="1" ht="15.75" hidden="1" customHeight="1">
      <c r="A39" s="49"/>
      <c r="B39" s="72" t="s">
        <v>22</v>
      </c>
      <c r="C39" s="55" t="s">
        <v>287</v>
      </c>
      <c r="D39" s="56"/>
      <c r="E39" s="57"/>
      <c r="F39" s="624"/>
      <c r="G39" s="612"/>
      <c r="H39" s="611"/>
      <c r="I39" s="611"/>
      <c r="J39" s="611"/>
      <c r="K39" s="611"/>
      <c r="L39" s="611"/>
      <c r="M39" s="611"/>
      <c r="N39" s="611"/>
      <c r="O39" s="611"/>
      <c r="P39" s="611"/>
      <c r="Q39" s="611"/>
      <c r="R39" s="611"/>
      <c r="S39" s="611"/>
      <c r="T39" s="611"/>
      <c r="U39" s="611"/>
      <c r="V39" s="611"/>
      <c r="W39" s="611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156" t="e">
        <f t="shared" ref="AK39:AM39" si="65">AJ39/($AI39)</f>
        <v>#DIV/0!</v>
      </c>
      <c r="AL39" s="56"/>
      <c r="AM39" s="156" t="e">
        <f t="shared" si="65"/>
        <v>#DIV/0!</v>
      </c>
      <c r="AN39" s="56"/>
      <c r="AO39" s="156" t="e">
        <f t="shared" si="3"/>
        <v>#DIV/0!</v>
      </c>
      <c r="AP39" s="56"/>
      <c r="AQ39" s="156" t="e">
        <f t="shared" si="3"/>
        <v>#DIV/0!</v>
      </c>
      <c r="AR39" s="157"/>
      <c r="AS39" s="156" t="e">
        <f t="shared" si="3"/>
        <v>#DIV/0!</v>
      </c>
      <c r="AT39" s="157"/>
      <c r="AU39" s="156" t="e">
        <f t="shared" si="3"/>
        <v>#DIV/0!</v>
      </c>
      <c r="AV39" s="157"/>
      <c r="AW39" s="156" t="e">
        <f t="shared" si="56"/>
        <v>#DIV/0!</v>
      </c>
      <c r="AX39" s="157"/>
      <c r="AY39" s="156" t="e">
        <f t="shared" si="56"/>
        <v>#DIV/0!</v>
      </c>
      <c r="BA39" s="156" t="e">
        <f t="shared" si="56"/>
        <v>#DIV/0!</v>
      </c>
      <c r="BC39" s="156" t="e">
        <f t="shared" si="56"/>
        <v>#DIV/0!</v>
      </c>
      <c r="BE39" s="156" t="e">
        <f t="shared" si="56"/>
        <v>#DIV/0!</v>
      </c>
      <c r="BG39" s="156" t="e">
        <f t="shared" si="56"/>
        <v>#DIV/0!</v>
      </c>
      <c r="BI39" s="156" t="e">
        <f t="shared" si="56"/>
        <v>#DIV/0!</v>
      </c>
      <c r="BK39" s="156" t="e">
        <f t="shared" si="56"/>
        <v>#DIV/0!</v>
      </c>
      <c r="BN39" s="156" t="e">
        <f t="shared" si="6"/>
        <v>#DIV/0!</v>
      </c>
      <c r="BP39" s="156" t="e">
        <f t="shared" si="7"/>
        <v>#DIV/0!</v>
      </c>
      <c r="BR39" s="156" t="e">
        <f t="shared" si="7"/>
        <v>#DIV/0!</v>
      </c>
      <c r="BT39" s="156" t="e">
        <f t="shared" si="7"/>
        <v>#DIV/0!</v>
      </c>
      <c r="BV39" s="156" t="e">
        <f t="shared" si="7"/>
        <v>#DIV/0!</v>
      </c>
      <c r="BX39" s="156" t="e">
        <f t="shared" si="7"/>
        <v>#DIV/0!</v>
      </c>
      <c r="BZ39" s="156" t="e">
        <f t="shared" si="8"/>
        <v>#DIV/0!</v>
      </c>
      <c r="CB39" s="156" t="e">
        <f t="shared" si="9"/>
        <v>#DIV/0!</v>
      </c>
      <c r="CD39" s="156" t="e">
        <f t="shared" si="10"/>
        <v>#DIV/0!</v>
      </c>
      <c r="CF39" s="156" t="e">
        <f t="shared" si="10"/>
        <v>#DIV/0!</v>
      </c>
      <c r="CH39" s="156" t="e">
        <f t="shared" si="10"/>
        <v>#DIV/0!</v>
      </c>
      <c r="CJ39" s="156" t="e">
        <f t="shared" si="10"/>
        <v>#DIV/0!</v>
      </c>
      <c r="CL39" s="156" t="e">
        <f t="shared" si="10"/>
        <v>#DIV/0!</v>
      </c>
      <c r="CN39" s="156" t="e">
        <f t="shared" si="11"/>
        <v>#DIV/0!</v>
      </c>
      <c r="CP39" s="156" t="e">
        <f t="shared" si="12"/>
        <v>#DIV/0!</v>
      </c>
      <c r="CR39" s="156" t="e">
        <f t="shared" si="13"/>
        <v>#DIV/0!</v>
      </c>
      <c r="CT39" s="156" t="e">
        <f t="shared" si="13"/>
        <v>#DIV/0!</v>
      </c>
      <c r="CV39" s="156" t="e">
        <f t="shared" si="13"/>
        <v>#DIV/0!</v>
      </c>
      <c r="CX39" s="156" t="e">
        <f t="shared" si="13"/>
        <v>#DIV/0!</v>
      </c>
      <c r="CZ39" s="156" t="e">
        <f t="shared" si="13"/>
        <v>#DIV/0!</v>
      </c>
      <c r="DB39" s="156" t="e">
        <f t="shared" si="14"/>
        <v>#DIV/0!</v>
      </c>
    </row>
    <row r="40" spans="1:106" s="10" customFormat="1" ht="15.75" hidden="1" customHeight="1">
      <c r="A40" s="21"/>
      <c r="B40" s="115" t="s">
        <v>273</v>
      </c>
      <c r="C40" s="38" t="str">
        <f>E40</f>
        <v>{"dossier":p.DossierName2,"buttonName":"Prüfung OK","checkStatus":"In Bearbeitung"}</v>
      </c>
      <c r="D40" s="82"/>
      <c r="E40" s="83" t="str">
        <f t="shared" si="61"/>
        <v>{"dossier":p.DossierName2,"buttonName":"Prüfung OK","checkStatus":"In Bearbeitung"}</v>
      </c>
      <c r="F40" s="609" t="s">
        <v>159</v>
      </c>
      <c r="G40" s="649" t="str">
        <f>G31</f>
        <v>p.DossierName2</v>
      </c>
      <c r="H40" s="609" t="s">
        <v>198</v>
      </c>
      <c r="I40" s="611" t="s">
        <v>199</v>
      </c>
      <c r="J40" s="609" t="s">
        <v>132</v>
      </c>
      <c r="K40" s="611" t="s">
        <v>133</v>
      </c>
      <c r="L40" s="609" t="s">
        <v>37</v>
      </c>
      <c r="M40" s="611"/>
      <c r="N40" s="609"/>
      <c r="O40" s="611"/>
      <c r="P40" s="609"/>
      <c r="Q40" s="611"/>
      <c r="R40" s="609"/>
      <c r="S40" s="611"/>
      <c r="T40" s="609"/>
      <c r="U40" s="611"/>
      <c r="V40" s="609"/>
      <c r="W40" s="611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176"/>
      <c r="AK40" s="156" t="e">
        <f t="shared" ref="AK40:AM40" si="66">AJ40/($AI40)</f>
        <v>#DIV/0!</v>
      </c>
      <c r="AL40" s="176"/>
      <c r="AM40" s="156" t="e">
        <f t="shared" si="66"/>
        <v>#DIV/0!</v>
      </c>
      <c r="AN40" s="176"/>
      <c r="AO40" s="156" t="e">
        <f t="shared" si="3"/>
        <v>#DIV/0!</v>
      </c>
      <c r="AP40" s="176"/>
      <c r="AQ40" s="156" t="e">
        <f t="shared" si="3"/>
        <v>#DIV/0!</v>
      </c>
      <c r="AR40" s="176"/>
      <c r="AS40" s="156" t="e">
        <f t="shared" si="3"/>
        <v>#DIV/0!</v>
      </c>
      <c r="AT40" s="176"/>
      <c r="AU40" s="156" t="e">
        <f t="shared" si="3"/>
        <v>#DIV/0!</v>
      </c>
      <c r="AV40" s="171"/>
      <c r="AW40" s="156" t="e">
        <f t="shared" si="56"/>
        <v>#DIV/0!</v>
      </c>
      <c r="AX40" s="171"/>
      <c r="AY40" s="156" t="e">
        <f t="shared" si="56"/>
        <v>#DIV/0!</v>
      </c>
      <c r="AZ40" s="53"/>
      <c r="BA40" s="156" t="e">
        <f t="shared" si="56"/>
        <v>#DIV/0!</v>
      </c>
      <c r="BC40" s="156" t="e">
        <f t="shared" si="56"/>
        <v>#DIV/0!</v>
      </c>
      <c r="BE40" s="156" t="e">
        <f t="shared" si="56"/>
        <v>#DIV/0!</v>
      </c>
      <c r="BG40" s="156" t="e">
        <f t="shared" si="56"/>
        <v>#DIV/0!</v>
      </c>
      <c r="BI40" s="156" t="e">
        <f t="shared" si="56"/>
        <v>#DIV/0!</v>
      </c>
      <c r="BK40" s="156" t="e">
        <f t="shared" si="56"/>
        <v>#DIV/0!</v>
      </c>
      <c r="BN40" s="156" t="e">
        <f t="shared" si="6"/>
        <v>#DIV/0!</v>
      </c>
      <c r="BP40" s="156" t="e">
        <f t="shared" si="7"/>
        <v>#DIV/0!</v>
      </c>
      <c r="BR40" s="156" t="e">
        <f t="shared" si="7"/>
        <v>#DIV/0!</v>
      </c>
      <c r="BT40" s="156" t="e">
        <f t="shared" si="7"/>
        <v>#DIV/0!</v>
      </c>
      <c r="BV40" s="156" t="e">
        <f t="shared" si="7"/>
        <v>#DIV/0!</v>
      </c>
      <c r="BX40" s="156" t="e">
        <f t="shared" si="7"/>
        <v>#DIV/0!</v>
      </c>
      <c r="BZ40" s="156" t="e">
        <f t="shared" si="8"/>
        <v>#DIV/0!</v>
      </c>
      <c r="CB40" s="156" t="e">
        <f t="shared" si="9"/>
        <v>#DIV/0!</v>
      </c>
      <c r="CD40" s="156" t="e">
        <f t="shared" si="10"/>
        <v>#DIV/0!</v>
      </c>
      <c r="CF40" s="156" t="e">
        <f t="shared" si="10"/>
        <v>#DIV/0!</v>
      </c>
      <c r="CH40" s="156" t="e">
        <f t="shared" si="10"/>
        <v>#DIV/0!</v>
      </c>
      <c r="CJ40" s="156" t="e">
        <f t="shared" si="10"/>
        <v>#DIV/0!</v>
      </c>
      <c r="CL40" s="156" t="e">
        <f t="shared" si="10"/>
        <v>#DIV/0!</v>
      </c>
      <c r="CN40" s="156" t="e">
        <f t="shared" si="11"/>
        <v>#DIV/0!</v>
      </c>
      <c r="CP40" s="156" t="e">
        <f t="shared" si="12"/>
        <v>#DIV/0!</v>
      </c>
      <c r="CR40" s="156" t="e">
        <f t="shared" si="13"/>
        <v>#DIV/0!</v>
      </c>
      <c r="CT40" s="156" t="e">
        <f t="shared" si="13"/>
        <v>#DIV/0!</v>
      </c>
      <c r="CV40" s="156" t="e">
        <f t="shared" si="13"/>
        <v>#DIV/0!</v>
      </c>
      <c r="CX40" s="156" t="e">
        <f t="shared" si="13"/>
        <v>#DIV/0!</v>
      </c>
      <c r="CZ40" s="156" t="e">
        <f t="shared" si="13"/>
        <v>#DIV/0!</v>
      </c>
      <c r="DB40" s="156" t="e">
        <f t="shared" si="14"/>
        <v>#DIV/0!</v>
      </c>
    </row>
    <row r="41" spans="1:106" s="10" customFormat="1" ht="15.75" hidden="1" customHeight="1">
      <c r="A41" s="49"/>
      <c r="B41" s="137" t="s">
        <v>134</v>
      </c>
      <c r="C41" s="38" t="str">
        <f t="shared" si="60"/>
        <v>{"username":"aventis-gemeinde-ma@diartis.ch","password":"#xFymiADPk7wJG/FWMz"}</v>
      </c>
      <c r="D41" s="82"/>
      <c r="E41" s="83" t="str">
        <f t="shared" si="61"/>
        <v>{"username":"aventis-gemeinde-ma@diartis.ch","password":"#xFymiADPk7wJG/FWMz"}</v>
      </c>
      <c r="F41" s="609" t="s">
        <v>29</v>
      </c>
      <c r="G41" s="617" t="s">
        <v>195</v>
      </c>
      <c r="H41" s="609" t="s">
        <v>31</v>
      </c>
      <c r="I41" s="618" t="s">
        <v>196</v>
      </c>
      <c r="J41" s="609" t="s">
        <v>37</v>
      </c>
      <c r="K41" s="614"/>
      <c r="L41" s="609"/>
      <c r="M41" s="611"/>
      <c r="N41" s="609"/>
      <c r="O41" s="611"/>
      <c r="P41" s="609"/>
      <c r="Q41" s="611"/>
      <c r="R41" s="609"/>
      <c r="S41" s="611"/>
      <c r="T41" s="609"/>
      <c r="U41" s="611"/>
      <c r="V41" s="609"/>
      <c r="W41" s="611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176"/>
      <c r="AK41" s="156" t="e">
        <f t="shared" ref="AK41:AM41" si="67">AJ41/($AI41)</f>
        <v>#DIV/0!</v>
      </c>
      <c r="AL41" s="176"/>
      <c r="AM41" s="156" t="e">
        <f t="shared" si="67"/>
        <v>#DIV/0!</v>
      </c>
      <c r="AN41" s="176"/>
      <c r="AO41" s="156" t="e">
        <f t="shared" si="3"/>
        <v>#DIV/0!</v>
      </c>
      <c r="AP41" s="176"/>
      <c r="AQ41" s="156" t="e">
        <f t="shared" si="3"/>
        <v>#DIV/0!</v>
      </c>
      <c r="AR41" s="176"/>
      <c r="AS41" s="156" t="e">
        <f t="shared" si="3"/>
        <v>#DIV/0!</v>
      </c>
      <c r="AT41" s="176"/>
      <c r="AU41" s="156" t="e">
        <f t="shared" si="3"/>
        <v>#DIV/0!</v>
      </c>
      <c r="AV41" s="171"/>
      <c r="AW41" s="156" t="e">
        <f t="shared" si="56"/>
        <v>#DIV/0!</v>
      </c>
      <c r="AX41" s="171"/>
      <c r="AY41" s="156" t="e">
        <f t="shared" si="56"/>
        <v>#DIV/0!</v>
      </c>
      <c r="AZ41" s="53"/>
      <c r="BA41" s="156" t="e">
        <f t="shared" si="56"/>
        <v>#DIV/0!</v>
      </c>
      <c r="BC41" s="156" t="e">
        <f t="shared" si="56"/>
        <v>#DIV/0!</v>
      </c>
      <c r="BE41" s="156" t="e">
        <f t="shared" si="56"/>
        <v>#DIV/0!</v>
      </c>
      <c r="BG41" s="156" t="e">
        <f t="shared" si="56"/>
        <v>#DIV/0!</v>
      </c>
      <c r="BI41" s="156" t="e">
        <f t="shared" si="56"/>
        <v>#DIV/0!</v>
      </c>
      <c r="BK41" s="156" t="e">
        <f t="shared" si="56"/>
        <v>#DIV/0!</v>
      </c>
      <c r="BN41" s="156" t="e">
        <f t="shared" si="6"/>
        <v>#DIV/0!</v>
      </c>
      <c r="BP41" s="156" t="e">
        <f t="shared" si="7"/>
        <v>#DIV/0!</v>
      </c>
      <c r="BR41" s="156" t="e">
        <f t="shared" si="7"/>
        <v>#DIV/0!</v>
      </c>
      <c r="BT41" s="156" t="e">
        <f t="shared" si="7"/>
        <v>#DIV/0!</v>
      </c>
      <c r="BV41" s="156" t="e">
        <f t="shared" si="7"/>
        <v>#DIV/0!</v>
      </c>
      <c r="BX41" s="156" t="e">
        <f t="shared" si="7"/>
        <v>#DIV/0!</v>
      </c>
      <c r="BZ41" s="156" t="e">
        <f t="shared" si="8"/>
        <v>#DIV/0!</v>
      </c>
      <c r="CB41" s="156" t="e">
        <f t="shared" si="9"/>
        <v>#DIV/0!</v>
      </c>
      <c r="CD41" s="156" t="e">
        <f t="shared" si="10"/>
        <v>#DIV/0!</v>
      </c>
      <c r="CF41" s="156" t="e">
        <f t="shared" si="10"/>
        <v>#DIV/0!</v>
      </c>
      <c r="CH41" s="156" t="e">
        <f t="shared" si="10"/>
        <v>#DIV/0!</v>
      </c>
      <c r="CJ41" s="156" t="e">
        <f t="shared" si="10"/>
        <v>#DIV/0!</v>
      </c>
      <c r="CL41" s="156" t="e">
        <f t="shared" si="10"/>
        <v>#DIV/0!</v>
      </c>
      <c r="CN41" s="156" t="e">
        <f t="shared" si="11"/>
        <v>#DIV/0!</v>
      </c>
      <c r="CP41" s="156" t="e">
        <f t="shared" si="12"/>
        <v>#DIV/0!</v>
      </c>
      <c r="CR41" s="156" t="e">
        <f t="shared" si="13"/>
        <v>#DIV/0!</v>
      </c>
      <c r="CT41" s="156" t="e">
        <f t="shared" si="13"/>
        <v>#DIV/0!</v>
      </c>
      <c r="CV41" s="156" t="e">
        <f t="shared" si="13"/>
        <v>#DIV/0!</v>
      </c>
      <c r="CX41" s="156" t="e">
        <f t="shared" si="13"/>
        <v>#DIV/0!</v>
      </c>
      <c r="CZ41" s="156" t="e">
        <f t="shared" si="13"/>
        <v>#DIV/0!</v>
      </c>
      <c r="DB41" s="156" t="e">
        <f t="shared" si="14"/>
        <v>#DIV/0!</v>
      </c>
    </row>
    <row r="42" spans="1:106" s="53" customFormat="1" ht="15.75" hidden="1" customHeight="1">
      <c r="A42" s="21"/>
      <c r="B42" s="72" t="s">
        <v>22</v>
      </c>
      <c r="C42" s="55" t="s">
        <v>70</v>
      </c>
      <c r="D42" s="56"/>
      <c r="E42" s="57"/>
      <c r="F42" s="624"/>
      <c r="G42" s="612"/>
      <c r="H42" s="611"/>
      <c r="I42" s="611"/>
      <c r="J42" s="611"/>
      <c r="K42" s="611"/>
      <c r="L42" s="611"/>
      <c r="M42" s="611"/>
      <c r="N42" s="611"/>
      <c r="O42" s="611"/>
      <c r="P42" s="611"/>
      <c r="Q42" s="611"/>
      <c r="R42" s="611"/>
      <c r="S42" s="611"/>
      <c r="T42" s="611"/>
      <c r="U42" s="611"/>
      <c r="V42" s="611"/>
      <c r="W42" s="611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156" t="e">
        <f t="shared" ref="AK42:AM42" si="68">AJ42/($AI42)</f>
        <v>#DIV/0!</v>
      </c>
      <c r="AL42" s="56"/>
      <c r="AM42" s="156" t="e">
        <f t="shared" si="68"/>
        <v>#DIV/0!</v>
      </c>
      <c r="AN42" s="56"/>
      <c r="AO42" s="156" t="e">
        <f t="shared" si="3"/>
        <v>#DIV/0!</v>
      </c>
      <c r="AP42" s="56"/>
      <c r="AQ42" s="156" t="e">
        <f t="shared" si="3"/>
        <v>#DIV/0!</v>
      </c>
      <c r="AR42" s="157"/>
      <c r="AS42" s="156" t="e">
        <f t="shared" si="3"/>
        <v>#DIV/0!</v>
      </c>
      <c r="AT42" s="157"/>
      <c r="AU42" s="156" t="e">
        <f t="shared" si="3"/>
        <v>#DIV/0!</v>
      </c>
      <c r="AV42" s="157"/>
      <c r="AW42" s="156" t="e">
        <f t="shared" si="56"/>
        <v>#DIV/0!</v>
      </c>
      <c r="AX42" s="157"/>
      <c r="AY42" s="156" t="e">
        <f t="shared" si="56"/>
        <v>#DIV/0!</v>
      </c>
      <c r="BA42" s="156" t="e">
        <f t="shared" si="56"/>
        <v>#DIV/0!</v>
      </c>
      <c r="BC42" s="156" t="e">
        <f t="shared" si="56"/>
        <v>#DIV/0!</v>
      </c>
      <c r="BE42" s="156" t="e">
        <f t="shared" si="56"/>
        <v>#DIV/0!</v>
      </c>
      <c r="BG42" s="156" t="e">
        <f t="shared" si="56"/>
        <v>#DIV/0!</v>
      </c>
      <c r="BI42" s="156" t="e">
        <f t="shared" si="56"/>
        <v>#DIV/0!</v>
      </c>
      <c r="BK42" s="156" t="e">
        <f t="shared" si="56"/>
        <v>#DIV/0!</v>
      </c>
      <c r="BN42" s="156" t="e">
        <f t="shared" si="6"/>
        <v>#DIV/0!</v>
      </c>
      <c r="BP42" s="156" t="e">
        <f t="shared" si="7"/>
        <v>#DIV/0!</v>
      </c>
      <c r="BR42" s="156" t="e">
        <f t="shared" si="7"/>
        <v>#DIV/0!</v>
      </c>
      <c r="BT42" s="156" t="e">
        <f t="shared" si="7"/>
        <v>#DIV/0!</v>
      </c>
      <c r="BV42" s="156" t="e">
        <f t="shared" si="7"/>
        <v>#DIV/0!</v>
      </c>
      <c r="BX42" s="156" t="e">
        <f t="shared" ref="BX42:BX61" si="69">BW42/($AI42)</f>
        <v>#DIV/0!</v>
      </c>
      <c r="BZ42" s="156" t="e">
        <f t="shared" si="8"/>
        <v>#DIV/0!</v>
      </c>
      <c r="CB42" s="156" t="e">
        <f t="shared" si="9"/>
        <v>#DIV/0!</v>
      </c>
      <c r="CD42" s="156" t="e">
        <f t="shared" si="10"/>
        <v>#DIV/0!</v>
      </c>
      <c r="CF42" s="156" t="e">
        <f t="shared" si="10"/>
        <v>#DIV/0!</v>
      </c>
      <c r="CH42" s="156" t="e">
        <f t="shared" si="10"/>
        <v>#DIV/0!</v>
      </c>
      <c r="CJ42" s="156" t="e">
        <f t="shared" si="10"/>
        <v>#DIV/0!</v>
      </c>
      <c r="CL42" s="156" t="e">
        <f t="shared" ref="CL42:CL61" si="70">CK42/($AI42)</f>
        <v>#DIV/0!</v>
      </c>
      <c r="CN42" s="156" t="e">
        <f t="shared" si="11"/>
        <v>#DIV/0!</v>
      </c>
      <c r="CP42" s="156" t="e">
        <f t="shared" si="12"/>
        <v>#DIV/0!</v>
      </c>
      <c r="CR42" s="156" t="e">
        <f t="shared" si="13"/>
        <v>#DIV/0!</v>
      </c>
      <c r="CT42" s="156" t="e">
        <f t="shared" si="13"/>
        <v>#DIV/0!</v>
      </c>
      <c r="CV42" s="156" t="e">
        <f t="shared" si="13"/>
        <v>#DIV/0!</v>
      </c>
      <c r="CX42" s="156" t="e">
        <f t="shared" si="13"/>
        <v>#DIV/0!</v>
      </c>
      <c r="CZ42" s="156" t="e">
        <f t="shared" ref="CZ42:CZ61" si="71">CY42/($AI42)</f>
        <v>#DIV/0!</v>
      </c>
      <c r="DB42" s="156" t="e">
        <f t="shared" si="14"/>
        <v>#DIV/0!</v>
      </c>
    </row>
    <row r="43" spans="1:106" s="10" customFormat="1" ht="15.75" hidden="1" customHeight="1">
      <c r="A43" s="49"/>
      <c r="B43" s="115" t="s">
        <v>273</v>
      </c>
      <c r="C43" s="38" t="str">
        <f t="shared" si="60"/>
        <v>{"dossier":p.DossierName2,"buttonName":"Bewilligen","checkStatus":"Bewilligt"}</v>
      </c>
      <c r="D43" s="82"/>
      <c r="E43" s="83" t="str">
        <f t="shared" si="61"/>
        <v>{"dossier":p.DossierName2,"buttonName":"Bewilligen","checkStatus":"Bewilligt"}</v>
      </c>
      <c r="F43" s="609" t="s">
        <v>159</v>
      </c>
      <c r="G43" s="649" t="str">
        <f>G40</f>
        <v>p.DossierName2</v>
      </c>
      <c r="H43" s="609" t="s">
        <v>198</v>
      </c>
      <c r="I43" s="611" t="s">
        <v>136</v>
      </c>
      <c r="J43" s="609" t="s">
        <v>132</v>
      </c>
      <c r="K43" s="609" t="s">
        <v>137</v>
      </c>
      <c r="L43" s="609" t="s">
        <v>37</v>
      </c>
      <c r="M43" s="611"/>
      <c r="N43" s="609"/>
      <c r="O43" s="611"/>
      <c r="P43" s="609"/>
      <c r="Q43" s="611"/>
      <c r="R43" s="609"/>
      <c r="S43" s="611"/>
      <c r="T43" s="609"/>
      <c r="U43" s="611"/>
      <c r="V43" s="609"/>
      <c r="W43" s="611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176"/>
      <c r="AK43" s="156" t="e">
        <f t="shared" ref="AK43:AM43" si="72">AJ43/($AI43)</f>
        <v>#DIV/0!</v>
      </c>
      <c r="AL43" s="176"/>
      <c r="AM43" s="156" t="e">
        <f t="shared" si="72"/>
        <v>#DIV/0!</v>
      </c>
      <c r="AN43" s="176"/>
      <c r="AO43" s="156" t="e">
        <f t="shared" si="3"/>
        <v>#DIV/0!</v>
      </c>
      <c r="AP43" s="176"/>
      <c r="AQ43" s="156" t="e">
        <f t="shared" si="3"/>
        <v>#DIV/0!</v>
      </c>
      <c r="AR43" s="176"/>
      <c r="AS43" s="156" t="e">
        <f t="shared" si="3"/>
        <v>#DIV/0!</v>
      </c>
      <c r="AT43" s="176"/>
      <c r="AU43" s="156" t="e">
        <f t="shared" si="3"/>
        <v>#DIV/0!</v>
      </c>
      <c r="AV43" s="171"/>
      <c r="AW43" s="156" t="e">
        <f t="shared" si="56"/>
        <v>#DIV/0!</v>
      </c>
      <c r="AX43" s="171"/>
      <c r="AY43" s="156" t="e">
        <f t="shared" si="56"/>
        <v>#DIV/0!</v>
      </c>
      <c r="AZ43" s="53"/>
      <c r="BA43" s="156" t="e">
        <f t="shared" si="56"/>
        <v>#DIV/0!</v>
      </c>
      <c r="BC43" s="156" t="e">
        <f t="shared" si="56"/>
        <v>#DIV/0!</v>
      </c>
      <c r="BE43" s="156" t="e">
        <f t="shared" si="56"/>
        <v>#DIV/0!</v>
      </c>
      <c r="BG43" s="156" t="e">
        <f t="shared" si="56"/>
        <v>#DIV/0!</v>
      </c>
      <c r="BI43" s="156" t="e">
        <f t="shared" si="56"/>
        <v>#DIV/0!</v>
      </c>
      <c r="BK43" s="156" t="e">
        <f t="shared" si="56"/>
        <v>#DIV/0!</v>
      </c>
      <c r="BN43" s="156" t="e">
        <f t="shared" si="6"/>
        <v>#DIV/0!</v>
      </c>
      <c r="BP43" s="156" t="e">
        <f t="shared" si="7"/>
        <v>#DIV/0!</v>
      </c>
      <c r="BR43" s="156" t="e">
        <f t="shared" si="7"/>
        <v>#DIV/0!</v>
      </c>
      <c r="BT43" s="156" t="e">
        <f t="shared" si="7"/>
        <v>#DIV/0!</v>
      </c>
      <c r="BV43" s="156" t="e">
        <f t="shared" si="7"/>
        <v>#DIV/0!</v>
      </c>
      <c r="BX43" s="156" t="e">
        <f t="shared" si="69"/>
        <v>#DIV/0!</v>
      </c>
      <c r="BZ43" s="156" t="e">
        <f t="shared" si="8"/>
        <v>#DIV/0!</v>
      </c>
      <c r="CB43" s="156" t="e">
        <f t="shared" si="9"/>
        <v>#DIV/0!</v>
      </c>
      <c r="CD43" s="156" t="e">
        <f t="shared" si="10"/>
        <v>#DIV/0!</v>
      </c>
      <c r="CF43" s="156" t="e">
        <f t="shared" si="10"/>
        <v>#DIV/0!</v>
      </c>
      <c r="CH43" s="156" t="e">
        <f t="shared" si="10"/>
        <v>#DIV/0!</v>
      </c>
      <c r="CJ43" s="156" t="e">
        <f t="shared" si="10"/>
        <v>#DIV/0!</v>
      </c>
      <c r="CL43" s="156" t="e">
        <f t="shared" si="70"/>
        <v>#DIV/0!</v>
      </c>
      <c r="CN43" s="156" t="e">
        <f t="shared" si="11"/>
        <v>#DIV/0!</v>
      </c>
      <c r="CP43" s="156" t="e">
        <f t="shared" si="12"/>
        <v>#DIV/0!</v>
      </c>
      <c r="CR43" s="156" t="e">
        <f t="shared" si="13"/>
        <v>#DIV/0!</v>
      </c>
      <c r="CT43" s="156" t="e">
        <f t="shared" si="13"/>
        <v>#DIV/0!</v>
      </c>
      <c r="CV43" s="156" t="e">
        <f t="shared" si="13"/>
        <v>#DIV/0!</v>
      </c>
      <c r="CX43" s="156" t="e">
        <f t="shared" si="13"/>
        <v>#DIV/0!</v>
      </c>
      <c r="CZ43" s="156" t="e">
        <f t="shared" si="71"/>
        <v>#DIV/0!</v>
      </c>
      <c r="DB43" s="156" t="e">
        <f t="shared" si="14"/>
        <v>#DIV/0!</v>
      </c>
    </row>
    <row r="44" spans="1:106" s="10" customFormat="1" ht="15.75" hidden="1" customHeight="1">
      <c r="A44" s="21"/>
      <c r="B44" s="137" t="s">
        <v>134</v>
      </c>
      <c r="C44" s="38" t="str">
        <f t="shared" si="60"/>
        <v>{"username":"Bern.Sachbearbeiterin@diartis.ch","password":"XXxa22?pdTA66-S@"}</v>
      </c>
      <c r="D44" s="82"/>
      <c r="E44" s="83" t="str">
        <f t="shared" si="61"/>
        <v>{"username":"Bern.Sachbearbeiterin@diartis.ch","password":"XXxa22?pdTA66-S@"}</v>
      </c>
      <c r="F44" s="609" t="s">
        <v>29</v>
      </c>
      <c r="G44" s="617" t="s">
        <v>30</v>
      </c>
      <c r="H44" s="609" t="s">
        <v>31</v>
      </c>
      <c r="I44" s="618" t="s">
        <v>32</v>
      </c>
      <c r="J44" s="609" t="s">
        <v>37</v>
      </c>
      <c r="K44" s="614"/>
      <c r="L44" s="609"/>
      <c r="M44" s="611"/>
      <c r="N44" s="609"/>
      <c r="O44" s="611"/>
      <c r="P44" s="609"/>
      <c r="Q44" s="611"/>
      <c r="R44" s="609"/>
      <c r="S44" s="611"/>
      <c r="T44" s="609"/>
      <c r="U44" s="611"/>
      <c r="V44" s="609"/>
      <c r="W44" s="611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176"/>
      <c r="AK44" s="156" t="e">
        <f t="shared" ref="AK44:AM44" si="73">AJ44/($AI44)</f>
        <v>#DIV/0!</v>
      </c>
      <c r="AL44" s="176"/>
      <c r="AM44" s="156" t="e">
        <f t="shared" si="73"/>
        <v>#DIV/0!</v>
      </c>
      <c r="AN44" s="176"/>
      <c r="AO44" s="156" t="e">
        <f t="shared" si="3"/>
        <v>#DIV/0!</v>
      </c>
      <c r="AP44" s="176"/>
      <c r="AQ44" s="156" t="e">
        <f t="shared" si="3"/>
        <v>#DIV/0!</v>
      </c>
      <c r="AR44" s="176"/>
      <c r="AS44" s="156" t="e">
        <f t="shared" si="3"/>
        <v>#DIV/0!</v>
      </c>
      <c r="AT44" s="176"/>
      <c r="AU44" s="156" t="e">
        <f t="shared" si="3"/>
        <v>#DIV/0!</v>
      </c>
      <c r="AV44" s="171"/>
      <c r="AW44" s="156" t="e">
        <f t="shared" si="56"/>
        <v>#DIV/0!</v>
      </c>
      <c r="AX44" s="171"/>
      <c r="AY44" s="156" t="e">
        <f t="shared" si="56"/>
        <v>#DIV/0!</v>
      </c>
      <c r="AZ44" s="53"/>
      <c r="BA44" s="156" t="e">
        <f t="shared" si="56"/>
        <v>#DIV/0!</v>
      </c>
      <c r="BC44" s="156" t="e">
        <f t="shared" si="56"/>
        <v>#DIV/0!</v>
      </c>
      <c r="BE44" s="156" t="e">
        <f t="shared" si="56"/>
        <v>#DIV/0!</v>
      </c>
      <c r="BG44" s="156" t="e">
        <f t="shared" si="56"/>
        <v>#DIV/0!</v>
      </c>
      <c r="BI44" s="156" t="e">
        <f t="shared" si="56"/>
        <v>#DIV/0!</v>
      </c>
      <c r="BK44" s="156" t="e">
        <f t="shared" si="56"/>
        <v>#DIV/0!</v>
      </c>
      <c r="BN44" s="156" t="e">
        <f t="shared" si="6"/>
        <v>#DIV/0!</v>
      </c>
      <c r="BP44" s="156" t="e">
        <f t="shared" si="7"/>
        <v>#DIV/0!</v>
      </c>
      <c r="BR44" s="156" t="e">
        <f t="shared" si="7"/>
        <v>#DIV/0!</v>
      </c>
      <c r="BT44" s="156" t="e">
        <f t="shared" si="7"/>
        <v>#DIV/0!</v>
      </c>
      <c r="BV44" s="156" t="e">
        <f t="shared" si="7"/>
        <v>#DIV/0!</v>
      </c>
      <c r="BX44" s="156" t="e">
        <f t="shared" si="69"/>
        <v>#DIV/0!</v>
      </c>
      <c r="BZ44" s="156" t="e">
        <f t="shared" si="8"/>
        <v>#DIV/0!</v>
      </c>
      <c r="CB44" s="156" t="e">
        <f t="shared" si="9"/>
        <v>#DIV/0!</v>
      </c>
      <c r="CD44" s="156" t="e">
        <f t="shared" si="10"/>
        <v>#DIV/0!</v>
      </c>
      <c r="CF44" s="156" t="e">
        <f t="shared" si="10"/>
        <v>#DIV/0!</v>
      </c>
      <c r="CH44" s="156" t="e">
        <f t="shared" si="10"/>
        <v>#DIV/0!</v>
      </c>
      <c r="CJ44" s="156" t="e">
        <f t="shared" si="10"/>
        <v>#DIV/0!</v>
      </c>
      <c r="CL44" s="156" t="e">
        <f t="shared" si="70"/>
        <v>#DIV/0!</v>
      </c>
      <c r="CN44" s="156" t="e">
        <f t="shared" si="11"/>
        <v>#DIV/0!</v>
      </c>
      <c r="CP44" s="156" t="e">
        <f t="shared" si="12"/>
        <v>#DIV/0!</v>
      </c>
      <c r="CR44" s="156" t="e">
        <f t="shared" si="13"/>
        <v>#DIV/0!</v>
      </c>
      <c r="CT44" s="156" t="e">
        <f t="shared" si="13"/>
        <v>#DIV/0!</v>
      </c>
      <c r="CV44" s="156" t="e">
        <f t="shared" si="13"/>
        <v>#DIV/0!</v>
      </c>
      <c r="CX44" s="156" t="e">
        <f t="shared" si="13"/>
        <v>#DIV/0!</v>
      </c>
      <c r="CZ44" s="156" t="e">
        <f t="shared" si="71"/>
        <v>#DIV/0!</v>
      </c>
      <c r="DB44" s="156" t="e">
        <f t="shared" si="14"/>
        <v>#DIV/0!</v>
      </c>
    </row>
    <row r="45" spans="1:106" s="10" customFormat="1" ht="15.75" hidden="1" customHeight="1">
      <c r="A45" s="49"/>
      <c r="B45" s="56" t="s">
        <v>274</v>
      </c>
      <c r="C45" s="38" t="str">
        <f>E45</f>
        <v>{"dossierInstitution":p.DossierName2,"verwendungPeriode":"Dezember 2024","status":"Zu bezahlen"}</v>
      </c>
      <c r="D45" s="82"/>
      <c r="E45" s="83" t="str">
        <f>F45&amp;G45&amp;H45&amp;I45&amp;J45&amp;K45&amp;L45&amp;M45&amp;N45&amp;O45&amp;P45&amp;Q45&amp;R45&amp;S45&amp;T45&amp;U45&amp;V45&amp;W45&amp;X45</f>
        <v>{"dossierInstitution":p.DossierName2,"verwendungPeriode":"Dezember 2024","status":"Zu bezahlen"}</v>
      </c>
      <c r="F45" s="609" t="s">
        <v>128</v>
      </c>
      <c r="G45" s="649" t="str">
        <f>G43</f>
        <v>p.DossierName2</v>
      </c>
      <c r="H45" s="609" t="s">
        <v>275</v>
      </c>
      <c r="I45" s="613" t="s">
        <v>243</v>
      </c>
      <c r="J45" s="609" t="s">
        <v>202</v>
      </c>
      <c r="K45" s="614" t="s">
        <v>203</v>
      </c>
      <c r="L45" s="609" t="s">
        <v>37</v>
      </c>
      <c r="M45" s="611"/>
      <c r="N45" s="609"/>
      <c r="O45" s="609"/>
      <c r="P45" s="611"/>
      <c r="Q45" s="611"/>
      <c r="R45" s="611"/>
      <c r="S45" s="611"/>
      <c r="T45" s="611"/>
      <c r="U45" s="611"/>
      <c r="V45" s="611"/>
      <c r="W45" s="611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176"/>
      <c r="AK45" s="156" t="e">
        <f t="shared" ref="AK45:AM45" si="74">AJ45/($AI45)</f>
        <v>#DIV/0!</v>
      </c>
      <c r="AL45" s="176"/>
      <c r="AM45" s="156" t="e">
        <f t="shared" si="74"/>
        <v>#DIV/0!</v>
      </c>
      <c r="AN45" s="176"/>
      <c r="AO45" s="156" t="e">
        <f t="shared" si="3"/>
        <v>#DIV/0!</v>
      </c>
      <c r="AP45" s="176"/>
      <c r="AQ45" s="156" t="e">
        <f t="shared" si="3"/>
        <v>#DIV/0!</v>
      </c>
      <c r="AR45" s="176"/>
      <c r="AS45" s="156" t="e">
        <f t="shared" si="3"/>
        <v>#DIV/0!</v>
      </c>
      <c r="AT45" s="176"/>
      <c r="AU45" s="156" t="e">
        <f t="shared" si="3"/>
        <v>#DIV/0!</v>
      </c>
      <c r="AV45" s="171"/>
      <c r="AW45" s="156" t="e">
        <f t="shared" si="56"/>
        <v>#DIV/0!</v>
      </c>
      <c r="AX45" s="171"/>
      <c r="AY45" s="156" t="e">
        <f t="shared" si="56"/>
        <v>#DIV/0!</v>
      </c>
      <c r="AZ45" s="53"/>
      <c r="BA45" s="156" t="e">
        <f t="shared" si="56"/>
        <v>#DIV/0!</v>
      </c>
      <c r="BC45" s="156" t="e">
        <f t="shared" si="56"/>
        <v>#DIV/0!</v>
      </c>
      <c r="BE45" s="156" t="e">
        <f t="shared" si="56"/>
        <v>#DIV/0!</v>
      </c>
      <c r="BG45" s="156" t="e">
        <f t="shared" si="56"/>
        <v>#DIV/0!</v>
      </c>
      <c r="BI45" s="156" t="e">
        <f t="shared" si="56"/>
        <v>#DIV/0!</v>
      </c>
      <c r="BK45" s="156" t="e">
        <f t="shared" si="56"/>
        <v>#DIV/0!</v>
      </c>
      <c r="BN45" s="156" t="e">
        <f t="shared" si="6"/>
        <v>#DIV/0!</v>
      </c>
      <c r="BP45" s="156" t="e">
        <f t="shared" si="7"/>
        <v>#DIV/0!</v>
      </c>
      <c r="BR45" s="156" t="e">
        <f t="shared" si="7"/>
        <v>#DIV/0!</v>
      </c>
      <c r="BT45" s="156" t="e">
        <f t="shared" si="7"/>
        <v>#DIV/0!</v>
      </c>
      <c r="BV45" s="156" t="e">
        <f t="shared" si="7"/>
        <v>#DIV/0!</v>
      </c>
      <c r="BX45" s="156" t="e">
        <f t="shared" si="69"/>
        <v>#DIV/0!</v>
      </c>
      <c r="BZ45" s="156" t="e">
        <f t="shared" si="8"/>
        <v>#DIV/0!</v>
      </c>
      <c r="CB45" s="156" t="e">
        <f t="shared" si="9"/>
        <v>#DIV/0!</v>
      </c>
      <c r="CD45" s="156" t="e">
        <f t="shared" si="10"/>
        <v>#DIV/0!</v>
      </c>
      <c r="CF45" s="156" t="e">
        <f t="shared" si="10"/>
        <v>#DIV/0!</v>
      </c>
      <c r="CH45" s="156" t="e">
        <f t="shared" si="10"/>
        <v>#DIV/0!</v>
      </c>
      <c r="CJ45" s="156" t="e">
        <f t="shared" si="10"/>
        <v>#DIV/0!</v>
      </c>
      <c r="CL45" s="156" t="e">
        <f t="shared" si="70"/>
        <v>#DIV/0!</v>
      </c>
      <c r="CN45" s="156" t="e">
        <f t="shared" si="11"/>
        <v>#DIV/0!</v>
      </c>
      <c r="CP45" s="156" t="e">
        <f t="shared" si="12"/>
        <v>#DIV/0!</v>
      </c>
      <c r="CR45" s="156" t="e">
        <f t="shared" si="13"/>
        <v>#DIV/0!</v>
      </c>
      <c r="CT45" s="156" t="e">
        <f t="shared" si="13"/>
        <v>#DIV/0!</v>
      </c>
      <c r="CV45" s="156" t="e">
        <f t="shared" si="13"/>
        <v>#DIV/0!</v>
      </c>
      <c r="CX45" s="156" t="e">
        <f t="shared" si="13"/>
        <v>#DIV/0!</v>
      </c>
      <c r="CZ45" s="156" t="e">
        <f t="shared" si="71"/>
        <v>#DIV/0!</v>
      </c>
      <c r="DB45" s="156" t="e">
        <f t="shared" si="14"/>
        <v>#DIV/0!</v>
      </c>
    </row>
    <row r="46" spans="1:106" s="10" customFormat="1" ht="15.75" hidden="1" customHeight="1">
      <c r="A46" s="21"/>
      <c r="B46" s="56" t="s">
        <v>274</v>
      </c>
      <c r="C46" s="38" t="str">
        <f>E46</f>
        <v>{"dossierInstitution":p.DossierName2,"verwendungPeriode":"November 2024","status":"Zu bezahlen"}</v>
      </c>
      <c r="D46" s="82"/>
      <c r="E46" s="83" t="str">
        <f>F46&amp;G46&amp;H46&amp;I46&amp;J46&amp;K46&amp;L46&amp;M46&amp;N46&amp;O46&amp;P46&amp;Q46&amp;R46&amp;S46&amp;T46&amp;U46&amp;V46&amp;W46&amp;X46</f>
        <v>{"dossierInstitution":p.DossierName2,"verwendungPeriode":"November 2024","status":"Zu bezahlen"}</v>
      </c>
      <c r="F46" s="609" t="s">
        <v>128</v>
      </c>
      <c r="G46" s="649" t="str">
        <f t="shared" ref="G46:G51" si="75">G45</f>
        <v>p.DossierName2</v>
      </c>
      <c r="H46" s="609" t="s">
        <v>275</v>
      </c>
      <c r="I46" s="613" t="s">
        <v>242</v>
      </c>
      <c r="J46" s="609" t="s">
        <v>202</v>
      </c>
      <c r="K46" s="614" t="s">
        <v>203</v>
      </c>
      <c r="L46" s="609" t="s">
        <v>37</v>
      </c>
      <c r="M46" s="611"/>
      <c r="N46" s="609"/>
      <c r="O46" s="609"/>
      <c r="P46" s="611"/>
      <c r="Q46" s="611"/>
      <c r="R46" s="611"/>
      <c r="S46" s="611"/>
      <c r="T46" s="611"/>
      <c r="U46" s="611"/>
      <c r="V46" s="611"/>
      <c r="W46" s="611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176"/>
      <c r="AK46" s="156" t="e">
        <f t="shared" ref="AK46:AM46" si="76">AJ46/($AI46)</f>
        <v>#DIV/0!</v>
      </c>
      <c r="AL46" s="176"/>
      <c r="AM46" s="156" t="e">
        <f t="shared" si="76"/>
        <v>#DIV/0!</v>
      </c>
      <c r="AN46" s="176"/>
      <c r="AO46" s="156" t="e">
        <f t="shared" si="3"/>
        <v>#DIV/0!</v>
      </c>
      <c r="AP46" s="176"/>
      <c r="AQ46" s="156" t="e">
        <f t="shared" si="3"/>
        <v>#DIV/0!</v>
      </c>
      <c r="AR46" s="176"/>
      <c r="AS46" s="156" t="e">
        <f t="shared" si="3"/>
        <v>#DIV/0!</v>
      </c>
      <c r="AT46" s="176"/>
      <c r="AU46" s="156" t="e">
        <f t="shared" si="3"/>
        <v>#DIV/0!</v>
      </c>
      <c r="AV46" s="171"/>
      <c r="AW46" s="156" t="e">
        <f t="shared" si="56"/>
        <v>#DIV/0!</v>
      </c>
      <c r="AX46" s="171"/>
      <c r="AY46" s="156" t="e">
        <f t="shared" si="56"/>
        <v>#DIV/0!</v>
      </c>
      <c r="AZ46" s="53"/>
      <c r="BA46" s="156" t="e">
        <f t="shared" si="56"/>
        <v>#DIV/0!</v>
      </c>
      <c r="BC46" s="156" t="e">
        <f t="shared" si="56"/>
        <v>#DIV/0!</v>
      </c>
      <c r="BE46" s="156" t="e">
        <f t="shared" si="56"/>
        <v>#DIV/0!</v>
      </c>
      <c r="BG46" s="156" t="e">
        <f t="shared" si="56"/>
        <v>#DIV/0!</v>
      </c>
      <c r="BI46" s="156" t="e">
        <f t="shared" si="56"/>
        <v>#DIV/0!</v>
      </c>
      <c r="BK46" s="156" t="e">
        <f t="shared" si="56"/>
        <v>#DIV/0!</v>
      </c>
      <c r="BN46" s="156" t="e">
        <f t="shared" si="6"/>
        <v>#DIV/0!</v>
      </c>
      <c r="BP46" s="156" t="e">
        <f t="shared" si="7"/>
        <v>#DIV/0!</v>
      </c>
      <c r="BR46" s="156" t="e">
        <f t="shared" si="7"/>
        <v>#DIV/0!</v>
      </c>
      <c r="BT46" s="156" t="e">
        <f t="shared" si="7"/>
        <v>#DIV/0!</v>
      </c>
      <c r="BV46" s="156" t="e">
        <f t="shared" si="7"/>
        <v>#DIV/0!</v>
      </c>
      <c r="BX46" s="156" t="e">
        <f t="shared" si="69"/>
        <v>#DIV/0!</v>
      </c>
      <c r="BZ46" s="156" t="e">
        <f t="shared" si="8"/>
        <v>#DIV/0!</v>
      </c>
      <c r="CB46" s="156" t="e">
        <f t="shared" si="9"/>
        <v>#DIV/0!</v>
      </c>
      <c r="CD46" s="156" t="e">
        <f t="shared" si="10"/>
        <v>#DIV/0!</v>
      </c>
      <c r="CF46" s="156" t="e">
        <f t="shared" si="10"/>
        <v>#DIV/0!</v>
      </c>
      <c r="CH46" s="156" t="e">
        <f t="shared" si="10"/>
        <v>#DIV/0!</v>
      </c>
      <c r="CJ46" s="156" t="e">
        <f t="shared" si="10"/>
        <v>#DIV/0!</v>
      </c>
      <c r="CL46" s="156" t="e">
        <f t="shared" si="70"/>
        <v>#DIV/0!</v>
      </c>
      <c r="CN46" s="156" t="e">
        <f t="shared" si="11"/>
        <v>#DIV/0!</v>
      </c>
      <c r="CP46" s="156" t="e">
        <f t="shared" si="12"/>
        <v>#DIV/0!</v>
      </c>
      <c r="CR46" s="156" t="e">
        <f t="shared" si="13"/>
        <v>#DIV/0!</v>
      </c>
      <c r="CT46" s="156" t="e">
        <f t="shared" si="13"/>
        <v>#DIV/0!</v>
      </c>
      <c r="CV46" s="156" t="e">
        <f t="shared" si="13"/>
        <v>#DIV/0!</v>
      </c>
      <c r="CX46" s="156" t="e">
        <f t="shared" si="13"/>
        <v>#DIV/0!</v>
      </c>
      <c r="CZ46" s="156" t="e">
        <f t="shared" si="71"/>
        <v>#DIV/0!</v>
      </c>
      <c r="DB46" s="156" t="e">
        <f t="shared" si="14"/>
        <v>#DIV/0!</v>
      </c>
    </row>
    <row r="47" spans="1:106" s="10" customFormat="1" ht="15.75" hidden="1" customHeight="1">
      <c r="A47" s="49"/>
      <c r="B47" s="56" t="s">
        <v>274</v>
      </c>
      <c r="C47" s="38" t="str">
        <f>E47</f>
        <v>{"dossierInstitution":p.DossierName2,"verwendungPeriode":"Oktober 2024","status":"Zu bezahlen"}</v>
      </c>
      <c r="D47" s="82"/>
      <c r="E47" s="83" t="str">
        <f>F47&amp;G47&amp;H47&amp;I47&amp;J47&amp;K47&amp;L47&amp;M47&amp;N47&amp;O47&amp;P47&amp;Q47&amp;R47&amp;S47&amp;T47&amp;U47&amp;V47&amp;W47&amp;X47</f>
        <v>{"dossierInstitution":p.DossierName2,"verwendungPeriode":"Oktober 2024","status":"Zu bezahlen"}</v>
      </c>
      <c r="F47" s="609" t="s">
        <v>128</v>
      </c>
      <c r="G47" s="649" t="str">
        <f t="shared" si="75"/>
        <v>p.DossierName2</v>
      </c>
      <c r="H47" s="609" t="s">
        <v>275</v>
      </c>
      <c r="I47" s="613" t="s">
        <v>241</v>
      </c>
      <c r="J47" s="609" t="s">
        <v>202</v>
      </c>
      <c r="K47" s="614" t="s">
        <v>203</v>
      </c>
      <c r="L47" s="609" t="s">
        <v>37</v>
      </c>
      <c r="M47" s="611"/>
      <c r="N47" s="609"/>
      <c r="O47" s="609"/>
      <c r="P47" s="611"/>
      <c r="Q47" s="611"/>
      <c r="R47" s="611"/>
      <c r="S47" s="611"/>
      <c r="T47" s="611"/>
      <c r="U47" s="611"/>
      <c r="V47" s="611"/>
      <c r="W47" s="611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176"/>
      <c r="AK47" s="156" t="e">
        <f t="shared" ref="AK47:AM47" si="77">AJ47/($AI47)</f>
        <v>#DIV/0!</v>
      </c>
      <c r="AL47" s="176"/>
      <c r="AM47" s="156" t="e">
        <f t="shared" si="77"/>
        <v>#DIV/0!</v>
      </c>
      <c r="AN47" s="176"/>
      <c r="AO47" s="156" t="e">
        <f t="shared" si="3"/>
        <v>#DIV/0!</v>
      </c>
      <c r="AP47" s="176"/>
      <c r="AQ47" s="156" t="e">
        <f t="shared" si="3"/>
        <v>#DIV/0!</v>
      </c>
      <c r="AR47" s="176"/>
      <c r="AS47" s="156" t="e">
        <f t="shared" si="3"/>
        <v>#DIV/0!</v>
      </c>
      <c r="AT47" s="176"/>
      <c r="AU47" s="156" t="e">
        <f t="shared" si="3"/>
        <v>#DIV/0!</v>
      </c>
      <c r="AV47" s="171"/>
      <c r="AW47" s="156" t="e">
        <f t="shared" si="56"/>
        <v>#DIV/0!</v>
      </c>
      <c r="AX47" s="171"/>
      <c r="AY47" s="156" t="e">
        <f t="shared" si="56"/>
        <v>#DIV/0!</v>
      </c>
      <c r="AZ47" s="53"/>
      <c r="BA47" s="156" t="e">
        <f t="shared" si="56"/>
        <v>#DIV/0!</v>
      </c>
      <c r="BC47" s="156" t="e">
        <f t="shared" si="56"/>
        <v>#DIV/0!</v>
      </c>
      <c r="BE47" s="156" t="e">
        <f t="shared" si="56"/>
        <v>#DIV/0!</v>
      </c>
      <c r="BG47" s="156" t="e">
        <f t="shared" si="56"/>
        <v>#DIV/0!</v>
      </c>
      <c r="BI47" s="156" t="e">
        <f t="shared" si="56"/>
        <v>#DIV/0!</v>
      </c>
      <c r="BK47" s="156" t="e">
        <f t="shared" si="56"/>
        <v>#DIV/0!</v>
      </c>
      <c r="BN47" s="156" t="e">
        <f t="shared" si="6"/>
        <v>#DIV/0!</v>
      </c>
      <c r="BP47" s="156" t="e">
        <f t="shared" si="7"/>
        <v>#DIV/0!</v>
      </c>
      <c r="BR47" s="156" t="e">
        <f t="shared" si="7"/>
        <v>#DIV/0!</v>
      </c>
      <c r="BT47" s="156" t="e">
        <f t="shared" si="7"/>
        <v>#DIV/0!</v>
      </c>
      <c r="BV47" s="156" t="e">
        <f t="shared" si="7"/>
        <v>#DIV/0!</v>
      </c>
      <c r="BX47" s="156" t="e">
        <f t="shared" si="69"/>
        <v>#DIV/0!</v>
      </c>
      <c r="BZ47" s="156" t="e">
        <f t="shared" si="8"/>
        <v>#DIV/0!</v>
      </c>
      <c r="CB47" s="156" t="e">
        <f t="shared" si="9"/>
        <v>#DIV/0!</v>
      </c>
      <c r="CD47" s="156" t="e">
        <f t="shared" si="10"/>
        <v>#DIV/0!</v>
      </c>
      <c r="CF47" s="156" t="e">
        <f t="shared" si="10"/>
        <v>#DIV/0!</v>
      </c>
      <c r="CH47" s="156" t="e">
        <f t="shared" si="10"/>
        <v>#DIV/0!</v>
      </c>
      <c r="CJ47" s="156" t="e">
        <f t="shared" si="10"/>
        <v>#DIV/0!</v>
      </c>
      <c r="CL47" s="156" t="e">
        <f t="shared" si="70"/>
        <v>#DIV/0!</v>
      </c>
      <c r="CN47" s="156" t="e">
        <f t="shared" si="11"/>
        <v>#DIV/0!</v>
      </c>
      <c r="CP47" s="156" t="e">
        <f t="shared" si="12"/>
        <v>#DIV/0!</v>
      </c>
      <c r="CR47" s="156" t="e">
        <f t="shared" si="13"/>
        <v>#DIV/0!</v>
      </c>
      <c r="CT47" s="156" t="e">
        <f t="shared" si="13"/>
        <v>#DIV/0!</v>
      </c>
      <c r="CV47" s="156" t="e">
        <f t="shared" si="13"/>
        <v>#DIV/0!</v>
      </c>
      <c r="CX47" s="156" t="e">
        <f t="shared" si="13"/>
        <v>#DIV/0!</v>
      </c>
      <c r="CZ47" s="156" t="e">
        <f t="shared" si="71"/>
        <v>#DIV/0!</v>
      </c>
      <c r="DB47" s="156" t="e">
        <f t="shared" si="14"/>
        <v>#DIV/0!</v>
      </c>
    </row>
    <row r="48" spans="1:106" s="10" customFormat="1" ht="15.75" hidden="1" customHeight="1">
      <c r="A48" s="21"/>
      <c r="B48" s="56" t="s">
        <v>274</v>
      </c>
      <c r="C48" s="38" t="str">
        <f t="shared" si="60"/>
        <v>{"dossierInstitution":p.DossierName2,"verwendungPeriode":"September 2024","status":"Zu bezahlen"}</v>
      </c>
      <c r="D48" s="82"/>
      <c r="E48" s="83" t="str">
        <f t="shared" si="61"/>
        <v>{"dossierInstitution":p.DossierName2,"verwendungPeriode":"September 2024","status":"Zu bezahlen"}</v>
      </c>
      <c r="F48" s="609" t="s">
        <v>128</v>
      </c>
      <c r="G48" s="649" t="str">
        <f t="shared" si="75"/>
        <v>p.DossierName2</v>
      </c>
      <c r="H48" s="609" t="s">
        <v>275</v>
      </c>
      <c r="I48" s="613" t="s">
        <v>276</v>
      </c>
      <c r="J48" s="609" t="s">
        <v>202</v>
      </c>
      <c r="K48" s="614" t="s">
        <v>203</v>
      </c>
      <c r="L48" s="609" t="s">
        <v>37</v>
      </c>
      <c r="M48" s="611"/>
      <c r="N48" s="609"/>
      <c r="O48" s="609"/>
      <c r="P48" s="611"/>
      <c r="Q48" s="611"/>
      <c r="R48" s="611"/>
      <c r="S48" s="611"/>
      <c r="T48" s="611"/>
      <c r="U48" s="611"/>
      <c r="V48" s="611"/>
      <c r="W48" s="611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176"/>
      <c r="AK48" s="156" t="e">
        <f t="shared" ref="AK48:AM48" si="78">AJ48/($AI48)</f>
        <v>#DIV/0!</v>
      </c>
      <c r="AL48" s="176"/>
      <c r="AM48" s="156" t="e">
        <f t="shared" si="78"/>
        <v>#DIV/0!</v>
      </c>
      <c r="AN48" s="176"/>
      <c r="AO48" s="156" t="e">
        <f t="shared" si="3"/>
        <v>#DIV/0!</v>
      </c>
      <c r="AP48" s="176"/>
      <c r="AQ48" s="156" t="e">
        <f t="shared" si="3"/>
        <v>#DIV/0!</v>
      </c>
      <c r="AR48" s="176"/>
      <c r="AS48" s="156" t="e">
        <f t="shared" si="3"/>
        <v>#DIV/0!</v>
      </c>
      <c r="AT48" s="176"/>
      <c r="AU48" s="156" t="e">
        <f t="shared" si="3"/>
        <v>#DIV/0!</v>
      </c>
      <c r="AV48" s="171"/>
      <c r="AW48" s="156" t="e">
        <f t="shared" si="56"/>
        <v>#DIV/0!</v>
      </c>
      <c r="AX48" s="171"/>
      <c r="AY48" s="156" t="e">
        <f t="shared" si="56"/>
        <v>#DIV/0!</v>
      </c>
      <c r="AZ48" s="53"/>
      <c r="BA48" s="156" t="e">
        <f t="shared" si="56"/>
        <v>#DIV/0!</v>
      </c>
      <c r="BC48" s="156" t="e">
        <f t="shared" si="56"/>
        <v>#DIV/0!</v>
      </c>
      <c r="BE48" s="156" t="e">
        <f t="shared" si="56"/>
        <v>#DIV/0!</v>
      </c>
      <c r="BG48" s="156" t="e">
        <f t="shared" si="56"/>
        <v>#DIV/0!</v>
      </c>
      <c r="BI48" s="156" t="e">
        <f t="shared" si="56"/>
        <v>#DIV/0!</v>
      </c>
      <c r="BK48" s="156" t="e">
        <f t="shared" si="56"/>
        <v>#DIV/0!</v>
      </c>
      <c r="BN48" s="156" t="e">
        <f t="shared" si="6"/>
        <v>#DIV/0!</v>
      </c>
      <c r="BP48" s="156" t="e">
        <f t="shared" si="7"/>
        <v>#DIV/0!</v>
      </c>
      <c r="BR48" s="156" t="e">
        <f t="shared" si="7"/>
        <v>#DIV/0!</v>
      </c>
      <c r="BT48" s="156" t="e">
        <f t="shared" si="7"/>
        <v>#DIV/0!</v>
      </c>
      <c r="BV48" s="156" t="e">
        <f t="shared" si="7"/>
        <v>#DIV/0!</v>
      </c>
      <c r="BX48" s="156" t="e">
        <f t="shared" si="69"/>
        <v>#DIV/0!</v>
      </c>
      <c r="BZ48" s="156" t="e">
        <f t="shared" si="8"/>
        <v>#DIV/0!</v>
      </c>
      <c r="CB48" s="156" t="e">
        <f t="shared" si="9"/>
        <v>#DIV/0!</v>
      </c>
      <c r="CD48" s="156" t="e">
        <f t="shared" si="10"/>
        <v>#DIV/0!</v>
      </c>
      <c r="CF48" s="156" t="e">
        <f t="shared" si="10"/>
        <v>#DIV/0!</v>
      </c>
      <c r="CH48" s="156" t="e">
        <f t="shared" si="10"/>
        <v>#DIV/0!</v>
      </c>
      <c r="CJ48" s="156" t="e">
        <f t="shared" si="10"/>
        <v>#DIV/0!</v>
      </c>
      <c r="CL48" s="156" t="e">
        <f t="shared" si="70"/>
        <v>#DIV/0!</v>
      </c>
      <c r="CN48" s="156" t="e">
        <f t="shared" si="11"/>
        <v>#DIV/0!</v>
      </c>
      <c r="CP48" s="156" t="e">
        <f t="shared" si="12"/>
        <v>#DIV/0!</v>
      </c>
      <c r="CR48" s="156" t="e">
        <f t="shared" si="13"/>
        <v>#DIV/0!</v>
      </c>
      <c r="CT48" s="156" t="e">
        <f t="shared" si="13"/>
        <v>#DIV/0!</v>
      </c>
      <c r="CV48" s="156" t="e">
        <f t="shared" si="13"/>
        <v>#DIV/0!</v>
      </c>
      <c r="CX48" s="156" t="e">
        <f t="shared" si="13"/>
        <v>#DIV/0!</v>
      </c>
      <c r="CZ48" s="156" t="e">
        <f t="shared" si="71"/>
        <v>#DIV/0!</v>
      </c>
      <c r="DB48" s="156" t="e">
        <f t="shared" si="14"/>
        <v>#DIV/0!</v>
      </c>
    </row>
    <row r="49" spans="1:106" s="10" customFormat="1" ht="15.75" hidden="1" customHeight="1">
      <c r="A49" s="49"/>
      <c r="B49" s="56" t="s">
        <v>274</v>
      </c>
      <c r="C49" s="38" t="str">
        <f t="shared" si="60"/>
        <v>{"dossierInstitution":p.DossierName2,"verwendungPeriode":"August 2024","status":"Zu bezahlen"}</v>
      </c>
      <c r="D49" s="82"/>
      <c r="E49" s="83" t="str">
        <f t="shared" si="61"/>
        <v>{"dossierInstitution":p.DossierName2,"verwendungPeriode":"August 2024","status":"Zu bezahlen"}</v>
      </c>
      <c r="F49" s="609" t="s">
        <v>128</v>
      </c>
      <c r="G49" s="649" t="str">
        <f t="shared" si="75"/>
        <v>p.DossierName2</v>
      </c>
      <c r="H49" s="609" t="s">
        <v>275</v>
      </c>
      <c r="I49" s="613" t="s">
        <v>277</v>
      </c>
      <c r="J49" s="609" t="s">
        <v>202</v>
      </c>
      <c r="K49" s="614" t="s">
        <v>203</v>
      </c>
      <c r="L49" s="609" t="s">
        <v>37</v>
      </c>
      <c r="M49" s="611"/>
      <c r="N49" s="609"/>
      <c r="O49" s="609"/>
      <c r="P49" s="611"/>
      <c r="Q49" s="611"/>
      <c r="R49" s="611"/>
      <c r="S49" s="611"/>
      <c r="T49" s="611"/>
      <c r="U49" s="611"/>
      <c r="V49" s="611"/>
      <c r="W49" s="611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176"/>
      <c r="AK49" s="156" t="e">
        <f t="shared" ref="AK49:AM49" si="79">AJ49/($AI49)</f>
        <v>#DIV/0!</v>
      </c>
      <c r="AL49" s="176"/>
      <c r="AM49" s="156" t="e">
        <f t="shared" si="79"/>
        <v>#DIV/0!</v>
      </c>
      <c r="AN49" s="176"/>
      <c r="AO49" s="156" t="e">
        <f t="shared" si="3"/>
        <v>#DIV/0!</v>
      </c>
      <c r="AP49" s="176"/>
      <c r="AQ49" s="156" t="e">
        <f t="shared" si="3"/>
        <v>#DIV/0!</v>
      </c>
      <c r="AR49" s="176"/>
      <c r="AS49" s="156" t="e">
        <f t="shared" si="3"/>
        <v>#DIV/0!</v>
      </c>
      <c r="AT49" s="176"/>
      <c r="AU49" s="156" t="e">
        <f t="shared" si="3"/>
        <v>#DIV/0!</v>
      </c>
      <c r="AV49" s="171"/>
      <c r="AW49" s="156" t="e">
        <f t="shared" si="56"/>
        <v>#DIV/0!</v>
      </c>
      <c r="AX49" s="171"/>
      <c r="AY49" s="156" t="e">
        <f t="shared" si="56"/>
        <v>#DIV/0!</v>
      </c>
      <c r="AZ49" s="53"/>
      <c r="BA49" s="156" t="e">
        <f t="shared" si="56"/>
        <v>#DIV/0!</v>
      </c>
      <c r="BC49" s="156" t="e">
        <f t="shared" si="56"/>
        <v>#DIV/0!</v>
      </c>
      <c r="BE49" s="156" t="e">
        <f t="shared" si="56"/>
        <v>#DIV/0!</v>
      </c>
      <c r="BG49" s="156" t="e">
        <f t="shared" si="56"/>
        <v>#DIV/0!</v>
      </c>
      <c r="BI49" s="156" t="e">
        <f t="shared" si="56"/>
        <v>#DIV/0!</v>
      </c>
      <c r="BK49" s="156" t="e">
        <f t="shared" si="56"/>
        <v>#DIV/0!</v>
      </c>
      <c r="BN49" s="156" t="e">
        <f t="shared" si="6"/>
        <v>#DIV/0!</v>
      </c>
      <c r="BP49" s="156" t="e">
        <f t="shared" si="7"/>
        <v>#DIV/0!</v>
      </c>
      <c r="BR49" s="156" t="e">
        <f t="shared" si="7"/>
        <v>#DIV/0!</v>
      </c>
      <c r="BT49" s="156" t="e">
        <f t="shared" si="7"/>
        <v>#DIV/0!</v>
      </c>
      <c r="BV49" s="156" t="e">
        <f t="shared" si="7"/>
        <v>#DIV/0!</v>
      </c>
      <c r="BX49" s="156" t="e">
        <f t="shared" si="69"/>
        <v>#DIV/0!</v>
      </c>
      <c r="BZ49" s="156" t="e">
        <f t="shared" si="8"/>
        <v>#DIV/0!</v>
      </c>
      <c r="CB49" s="156" t="e">
        <f t="shared" si="9"/>
        <v>#DIV/0!</v>
      </c>
      <c r="CD49" s="156" t="e">
        <f t="shared" si="10"/>
        <v>#DIV/0!</v>
      </c>
      <c r="CF49" s="156" t="e">
        <f t="shared" si="10"/>
        <v>#DIV/0!</v>
      </c>
      <c r="CH49" s="156" t="e">
        <f t="shared" si="10"/>
        <v>#DIV/0!</v>
      </c>
      <c r="CJ49" s="156" t="e">
        <f t="shared" si="10"/>
        <v>#DIV/0!</v>
      </c>
      <c r="CL49" s="156" t="e">
        <f t="shared" si="70"/>
        <v>#DIV/0!</v>
      </c>
      <c r="CN49" s="156" t="e">
        <f t="shared" si="11"/>
        <v>#DIV/0!</v>
      </c>
      <c r="CP49" s="156" t="e">
        <f t="shared" si="12"/>
        <v>#DIV/0!</v>
      </c>
      <c r="CR49" s="156" t="e">
        <f t="shared" si="13"/>
        <v>#DIV/0!</v>
      </c>
      <c r="CT49" s="156" t="e">
        <f t="shared" si="13"/>
        <v>#DIV/0!</v>
      </c>
      <c r="CV49" s="156" t="e">
        <f t="shared" si="13"/>
        <v>#DIV/0!</v>
      </c>
      <c r="CX49" s="156" t="e">
        <f t="shared" si="13"/>
        <v>#DIV/0!</v>
      </c>
      <c r="CZ49" s="156" t="e">
        <f t="shared" si="71"/>
        <v>#DIV/0!</v>
      </c>
      <c r="DB49" s="156" t="e">
        <f t="shared" si="14"/>
        <v>#DIV/0!</v>
      </c>
    </row>
    <row r="50" spans="1:106" s="10" customFormat="1" ht="15.75" hidden="1" customHeight="1">
      <c r="A50" s="21"/>
      <c r="B50" s="56" t="s">
        <v>274</v>
      </c>
      <c r="C50" s="38" t="str">
        <f t="shared" si="60"/>
        <v>{"dossierInstitution":p.DossierName2,"verwendungPeriode":"Juli 2024","status":"Zu bezahlen"}</v>
      </c>
      <c r="D50" s="82"/>
      <c r="E50" s="83" t="str">
        <f t="shared" si="61"/>
        <v>{"dossierInstitution":p.DossierName2,"verwendungPeriode":"Juli 2024","status":"Zu bezahlen"}</v>
      </c>
      <c r="F50" s="609" t="s">
        <v>128</v>
      </c>
      <c r="G50" s="649" t="str">
        <f t="shared" si="75"/>
        <v>p.DossierName2</v>
      </c>
      <c r="H50" s="609" t="s">
        <v>275</v>
      </c>
      <c r="I50" s="613" t="s">
        <v>278</v>
      </c>
      <c r="J50" s="609" t="s">
        <v>202</v>
      </c>
      <c r="K50" s="614" t="s">
        <v>203</v>
      </c>
      <c r="L50" s="609" t="s">
        <v>37</v>
      </c>
      <c r="M50" s="611"/>
      <c r="N50" s="609"/>
      <c r="O50" s="609"/>
      <c r="P50" s="611"/>
      <c r="Q50" s="611"/>
      <c r="R50" s="611"/>
      <c r="S50" s="611"/>
      <c r="T50" s="611"/>
      <c r="U50" s="611"/>
      <c r="V50" s="611"/>
      <c r="W50" s="611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176"/>
      <c r="AK50" s="156" t="e">
        <f t="shared" ref="AK50:AM50" si="80">AJ50/($AI50)</f>
        <v>#DIV/0!</v>
      </c>
      <c r="AL50" s="176"/>
      <c r="AM50" s="156" t="e">
        <f t="shared" si="80"/>
        <v>#DIV/0!</v>
      </c>
      <c r="AN50" s="176"/>
      <c r="AO50" s="156" t="e">
        <f t="shared" si="3"/>
        <v>#DIV/0!</v>
      </c>
      <c r="AP50" s="176"/>
      <c r="AQ50" s="156" t="e">
        <f t="shared" si="3"/>
        <v>#DIV/0!</v>
      </c>
      <c r="AR50" s="176"/>
      <c r="AS50" s="156" t="e">
        <f t="shared" si="3"/>
        <v>#DIV/0!</v>
      </c>
      <c r="AT50" s="176"/>
      <c r="AU50" s="156" t="e">
        <f t="shared" si="3"/>
        <v>#DIV/0!</v>
      </c>
      <c r="AV50" s="171"/>
      <c r="AW50" s="156" t="e">
        <f t="shared" si="56"/>
        <v>#DIV/0!</v>
      </c>
      <c r="AX50" s="171"/>
      <c r="AY50" s="156" t="e">
        <f t="shared" si="56"/>
        <v>#DIV/0!</v>
      </c>
      <c r="AZ50" s="53"/>
      <c r="BA50" s="156" t="e">
        <f t="shared" si="56"/>
        <v>#DIV/0!</v>
      </c>
      <c r="BC50" s="156" t="e">
        <f t="shared" si="56"/>
        <v>#DIV/0!</v>
      </c>
      <c r="BE50" s="156" t="e">
        <f t="shared" si="56"/>
        <v>#DIV/0!</v>
      </c>
      <c r="BG50" s="156" t="e">
        <f t="shared" si="56"/>
        <v>#DIV/0!</v>
      </c>
      <c r="BI50" s="156" t="e">
        <f t="shared" si="56"/>
        <v>#DIV/0!</v>
      </c>
      <c r="BK50" s="156" t="e">
        <f t="shared" si="56"/>
        <v>#DIV/0!</v>
      </c>
      <c r="BN50" s="156" t="e">
        <f t="shared" si="6"/>
        <v>#DIV/0!</v>
      </c>
      <c r="BP50" s="156" t="e">
        <f t="shared" si="7"/>
        <v>#DIV/0!</v>
      </c>
      <c r="BR50" s="156" t="e">
        <f t="shared" si="7"/>
        <v>#DIV/0!</v>
      </c>
      <c r="BT50" s="156" t="e">
        <f t="shared" si="7"/>
        <v>#DIV/0!</v>
      </c>
      <c r="BV50" s="156" t="e">
        <f t="shared" si="7"/>
        <v>#DIV/0!</v>
      </c>
      <c r="BX50" s="156" t="e">
        <f t="shared" si="69"/>
        <v>#DIV/0!</v>
      </c>
      <c r="BZ50" s="156" t="e">
        <f t="shared" si="8"/>
        <v>#DIV/0!</v>
      </c>
      <c r="CB50" s="156" t="e">
        <f t="shared" si="9"/>
        <v>#DIV/0!</v>
      </c>
      <c r="CD50" s="156" t="e">
        <f t="shared" si="10"/>
        <v>#DIV/0!</v>
      </c>
      <c r="CF50" s="156" t="e">
        <f t="shared" si="10"/>
        <v>#DIV/0!</v>
      </c>
      <c r="CH50" s="156" t="e">
        <f t="shared" si="10"/>
        <v>#DIV/0!</v>
      </c>
      <c r="CJ50" s="156" t="e">
        <f t="shared" si="10"/>
        <v>#DIV/0!</v>
      </c>
      <c r="CL50" s="156" t="e">
        <f t="shared" si="70"/>
        <v>#DIV/0!</v>
      </c>
      <c r="CN50" s="156" t="e">
        <f t="shared" si="11"/>
        <v>#DIV/0!</v>
      </c>
      <c r="CP50" s="156" t="e">
        <f t="shared" si="12"/>
        <v>#DIV/0!</v>
      </c>
      <c r="CR50" s="156" t="e">
        <f t="shared" si="13"/>
        <v>#DIV/0!</v>
      </c>
      <c r="CT50" s="156" t="e">
        <f t="shared" si="13"/>
        <v>#DIV/0!</v>
      </c>
      <c r="CV50" s="156" t="e">
        <f t="shared" si="13"/>
        <v>#DIV/0!</v>
      </c>
      <c r="CX50" s="156" t="e">
        <f t="shared" si="13"/>
        <v>#DIV/0!</v>
      </c>
      <c r="CZ50" s="156" t="e">
        <f t="shared" si="71"/>
        <v>#DIV/0!</v>
      </c>
      <c r="DB50" s="156" t="e">
        <f t="shared" si="14"/>
        <v>#DIV/0!</v>
      </c>
    </row>
    <row r="51" spans="1:106" s="10" customFormat="1" ht="15.75" hidden="1" customHeight="1">
      <c r="A51" s="49"/>
      <c r="B51" s="56" t="s">
        <v>274</v>
      </c>
      <c r="C51" s="38" t="str">
        <f t="shared" si="60"/>
        <v>{"dossierInstitution":p.DossierName2,"verwendungPeriode":"Januar 2025","status":"Zu bezahlen"}</v>
      </c>
      <c r="D51" s="82"/>
      <c r="E51" s="83" t="str">
        <f t="shared" si="61"/>
        <v>{"dossierInstitution":p.DossierName2,"verwendungPeriode":"Januar 2025","status":"Zu bezahlen"}</v>
      </c>
      <c r="F51" s="609" t="s">
        <v>128</v>
      </c>
      <c r="G51" s="649" t="str">
        <f t="shared" si="75"/>
        <v>p.DossierName2</v>
      </c>
      <c r="H51" s="609" t="s">
        <v>275</v>
      </c>
      <c r="I51" s="613" t="s">
        <v>244</v>
      </c>
      <c r="J51" s="609" t="s">
        <v>202</v>
      </c>
      <c r="K51" s="614" t="s">
        <v>203</v>
      </c>
      <c r="L51" s="609" t="s">
        <v>37</v>
      </c>
      <c r="M51" s="611"/>
      <c r="N51" s="609"/>
      <c r="O51" s="609"/>
      <c r="P51" s="611"/>
      <c r="Q51" s="611"/>
      <c r="R51" s="611"/>
      <c r="S51" s="611"/>
      <c r="T51" s="611"/>
      <c r="U51" s="611"/>
      <c r="V51" s="611"/>
      <c r="W51" s="611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176"/>
      <c r="AK51" s="156" t="e">
        <f t="shared" ref="AK51:AM51" si="81">AJ51/($AI51)</f>
        <v>#DIV/0!</v>
      </c>
      <c r="AL51" s="176"/>
      <c r="AM51" s="156" t="e">
        <f t="shared" si="81"/>
        <v>#DIV/0!</v>
      </c>
      <c r="AN51" s="176"/>
      <c r="AO51" s="156" t="e">
        <f t="shared" si="3"/>
        <v>#DIV/0!</v>
      </c>
      <c r="AP51" s="176"/>
      <c r="AQ51" s="156" t="e">
        <f t="shared" si="3"/>
        <v>#DIV/0!</v>
      </c>
      <c r="AR51" s="176"/>
      <c r="AS51" s="156" t="e">
        <f t="shared" si="3"/>
        <v>#DIV/0!</v>
      </c>
      <c r="AT51" s="176"/>
      <c r="AU51" s="156" t="e">
        <f t="shared" si="3"/>
        <v>#DIV/0!</v>
      </c>
      <c r="AV51" s="171"/>
      <c r="AW51" s="156" t="e">
        <f t="shared" si="56"/>
        <v>#DIV/0!</v>
      </c>
      <c r="AX51" s="171"/>
      <c r="AY51" s="156" t="e">
        <f t="shared" si="56"/>
        <v>#DIV/0!</v>
      </c>
      <c r="AZ51" s="53"/>
      <c r="BA51" s="156" t="e">
        <f t="shared" si="56"/>
        <v>#DIV/0!</v>
      </c>
      <c r="BC51" s="156" t="e">
        <f t="shared" si="56"/>
        <v>#DIV/0!</v>
      </c>
      <c r="BE51" s="156" t="e">
        <f t="shared" si="56"/>
        <v>#DIV/0!</v>
      </c>
      <c r="BG51" s="156" t="e">
        <f t="shared" si="56"/>
        <v>#DIV/0!</v>
      </c>
      <c r="BI51" s="156" t="e">
        <f t="shared" si="56"/>
        <v>#DIV/0!</v>
      </c>
      <c r="BK51" s="156" t="e">
        <f t="shared" si="56"/>
        <v>#DIV/0!</v>
      </c>
      <c r="BN51" s="156" t="e">
        <f t="shared" si="6"/>
        <v>#DIV/0!</v>
      </c>
      <c r="BP51" s="156" t="e">
        <f t="shared" si="7"/>
        <v>#DIV/0!</v>
      </c>
      <c r="BR51" s="156" t="e">
        <f t="shared" si="7"/>
        <v>#DIV/0!</v>
      </c>
      <c r="BT51" s="156" t="e">
        <f t="shared" si="7"/>
        <v>#DIV/0!</v>
      </c>
      <c r="BV51" s="156" t="e">
        <f t="shared" si="7"/>
        <v>#DIV/0!</v>
      </c>
      <c r="BX51" s="156" t="e">
        <f t="shared" si="69"/>
        <v>#DIV/0!</v>
      </c>
      <c r="BZ51" s="156" t="e">
        <f t="shared" si="8"/>
        <v>#DIV/0!</v>
      </c>
      <c r="CB51" s="156" t="e">
        <f t="shared" si="9"/>
        <v>#DIV/0!</v>
      </c>
      <c r="CD51" s="156" t="e">
        <f t="shared" si="10"/>
        <v>#DIV/0!</v>
      </c>
      <c r="CF51" s="156" t="e">
        <f t="shared" si="10"/>
        <v>#DIV/0!</v>
      </c>
      <c r="CH51" s="156" t="e">
        <f t="shared" si="10"/>
        <v>#DIV/0!</v>
      </c>
      <c r="CJ51" s="156" t="e">
        <f t="shared" si="10"/>
        <v>#DIV/0!</v>
      </c>
      <c r="CL51" s="156" t="e">
        <f t="shared" si="70"/>
        <v>#DIV/0!</v>
      </c>
      <c r="CN51" s="156" t="e">
        <f t="shared" si="11"/>
        <v>#DIV/0!</v>
      </c>
      <c r="CP51" s="156" t="e">
        <f t="shared" si="12"/>
        <v>#DIV/0!</v>
      </c>
      <c r="CR51" s="156" t="e">
        <f t="shared" si="13"/>
        <v>#DIV/0!</v>
      </c>
      <c r="CT51" s="156" t="e">
        <f t="shared" si="13"/>
        <v>#DIV/0!</v>
      </c>
      <c r="CV51" s="156" t="e">
        <f t="shared" si="13"/>
        <v>#DIV/0!</v>
      </c>
      <c r="CX51" s="156" t="e">
        <f t="shared" si="13"/>
        <v>#DIV/0!</v>
      </c>
      <c r="CZ51" s="156" t="e">
        <f t="shared" si="71"/>
        <v>#DIV/0!</v>
      </c>
      <c r="DB51" s="156" t="e">
        <f t="shared" si="14"/>
        <v>#DIV/0!</v>
      </c>
    </row>
    <row r="52" spans="1:106" s="10" customFormat="1" ht="15.75" hidden="1" customHeight="1">
      <c r="A52" s="21"/>
      <c r="B52" s="24" t="s">
        <v>205</v>
      </c>
      <c r="C52" s="38" t="str">
        <f ca="1">E52</f>
        <v>{"haftungsType":"Einseitige Solidarhaftung erfassen","haftungDurch":`${p.FamilyName2}, ${p.ManFirstName2}`,"haftungVon":"01.11.2024","haftungBis":"31.12.2024","haftungFuer":`${p.FamilyName2}, ${p.WomanFirstName2}`,"person1":"","person2":""}</v>
      </c>
      <c r="D52" s="76"/>
      <c r="E52" s="77" t="str">
        <f t="shared" ca="1" si="61"/>
        <v>{"haftungsType":"Einseitige Solidarhaftung erfassen","haftungDurch":`${p.FamilyName2}, ${p.ManFirstName2}`,"haftungVon":"01.11.2024","haftungBis":"31.12.2024","haftungFuer":`${p.FamilyName2}, ${p.WomanFirstName2}`,"person1":"","person2":""}</v>
      </c>
      <c r="F52" s="611" t="s">
        <v>206</v>
      </c>
      <c r="G52" s="611" t="s">
        <v>207</v>
      </c>
      <c r="H52" s="611" t="s">
        <v>208</v>
      </c>
      <c r="I52" s="611" t="str">
        <f>I28</f>
        <v>${p.FamilyName2}, ${p.ManFirstName2}</v>
      </c>
      <c r="J52" s="611" t="s">
        <v>209</v>
      </c>
      <c r="K52" s="614" t="str">
        <f ca="1">"01."&amp;MONTH(TODAY())&amp;".2024"</f>
        <v>01.11.2024</v>
      </c>
      <c r="L52" s="611" t="s">
        <v>210</v>
      </c>
      <c r="M52" s="613" t="s">
        <v>223</v>
      </c>
      <c r="N52" s="611" t="s">
        <v>211</v>
      </c>
      <c r="O52" s="611" t="str">
        <f>"${"&amp;$G$6&amp;"}, ${"&amp;$H$72&amp;"}"</f>
        <v>${p.FamilyName2}, ${p.WomanFirstName2}</v>
      </c>
      <c r="P52" s="611" t="s">
        <v>212</v>
      </c>
      <c r="Q52" s="614"/>
      <c r="R52" s="611" t="s">
        <v>213</v>
      </c>
      <c r="S52" s="611"/>
      <c r="T52" s="611" t="s">
        <v>37</v>
      </c>
      <c r="U52" s="611"/>
      <c r="V52" s="611"/>
      <c r="W52" s="611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177"/>
      <c r="AK52" s="156" t="e">
        <f t="shared" ref="AK52:AM52" si="82">AJ52/($AI52)</f>
        <v>#DIV/0!</v>
      </c>
      <c r="AL52" s="177"/>
      <c r="AM52" s="156" t="e">
        <f t="shared" si="82"/>
        <v>#DIV/0!</v>
      </c>
      <c r="AN52" s="177"/>
      <c r="AO52" s="156" t="e">
        <f t="shared" si="3"/>
        <v>#DIV/0!</v>
      </c>
      <c r="AP52" s="177"/>
      <c r="AQ52" s="156" t="e">
        <f t="shared" si="3"/>
        <v>#DIV/0!</v>
      </c>
      <c r="AR52" s="177"/>
      <c r="AS52" s="156" t="e">
        <f t="shared" si="3"/>
        <v>#DIV/0!</v>
      </c>
      <c r="AT52" s="177"/>
      <c r="AU52" s="156" t="e">
        <f t="shared" si="3"/>
        <v>#DIV/0!</v>
      </c>
      <c r="AV52" s="170"/>
      <c r="AW52" s="156" t="e">
        <f t="shared" si="56"/>
        <v>#DIV/0!</v>
      </c>
      <c r="AX52" s="170"/>
      <c r="AY52" s="156" t="e">
        <f t="shared" si="56"/>
        <v>#DIV/0!</v>
      </c>
      <c r="AZ52" s="53"/>
      <c r="BA52" s="156" t="e">
        <f t="shared" si="56"/>
        <v>#DIV/0!</v>
      </c>
      <c r="BC52" s="156" t="e">
        <f t="shared" si="56"/>
        <v>#DIV/0!</v>
      </c>
      <c r="BE52" s="156" t="e">
        <f t="shared" si="56"/>
        <v>#DIV/0!</v>
      </c>
      <c r="BG52" s="156" t="e">
        <f t="shared" si="56"/>
        <v>#DIV/0!</v>
      </c>
      <c r="BI52" s="156" t="e">
        <f t="shared" si="56"/>
        <v>#DIV/0!</v>
      </c>
      <c r="BK52" s="156" t="e">
        <f t="shared" si="56"/>
        <v>#DIV/0!</v>
      </c>
      <c r="BN52" s="156" t="e">
        <f t="shared" si="6"/>
        <v>#DIV/0!</v>
      </c>
      <c r="BP52" s="156" t="e">
        <f t="shared" si="7"/>
        <v>#DIV/0!</v>
      </c>
      <c r="BR52" s="156" t="e">
        <f t="shared" si="7"/>
        <v>#DIV/0!</v>
      </c>
      <c r="BT52" s="156" t="e">
        <f t="shared" si="7"/>
        <v>#DIV/0!</v>
      </c>
      <c r="BV52" s="156" t="e">
        <f t="shared" si="7"/>
        <v>#DIV/0!</v>
      </c>
      <c r="BX52" s="156" t="e">
        <f t="shared" si="69"/>
        <v>#DIV/0!</v>
      </c>
      <c r="BZ52" s="156" t="e">
        <f t="shared" si="8"/>
        <v>#DIV/0!</v>
      </c>
      <c r="CB52" s="156" t="e">
        <f t="shared" si="9"/>
        <v>#DIV/0!</v>
      </c>
      <c r="CD52" s="156" t="e">
        <f t="shared" si="10"/>
        <v>#DIV/0!</v>
      </c>
      <c r="CF52" s="156" t="e">
        <f t="shared" si="10"/>
        <v>#DIV/0!</v>
      </c>
      <c r="CH52" s="156" t="e">
        <f t="shared" si="10"/>
        <v>#DIV/0!</v>
      </c>
      <c r="CJ52" s="156" t="e">
        <f t="shared" si="10"/>
        <v>#DIV/0!</v>
      </c>
      <c r="CL52" s="156" t="e">
        <f t="shared" si="70"/>
        <v>#DIV/0!</v>
      </c>
      <c r="CN52" s="156" t="e">
        <f t="shared" si="11"/>
        <v>#DIV/0!</v>
      </c>
      <c r="CP52" s="156" t="e">
        <f t="shared" si="12"/>
        <v>#DIV/0!</v>
      </c>
      <c r="CR52" s="156" t="e">
        <f t="shared" si="13"/>
        <v>#DIV/0!</v>
      </c>
      <c r="CT52" s="156" t="e">
        <f t="shared" si="13"/>
        <v>#DIV/0!</v>
      </c>
      <c r="CV52" s="156" t="e">
        <f t="shared" si="13"/>
        <v>#DIV/0!</v>
      </c>
      <c r="CX52" s="156" t="e">
        <f t="shared" si="13"/>
        <v>#DIV/0!</v>
      </c>
      <c r="CZ52" s="156" t="e">
        <f t="shared" si="71"/>
        <v>#DIV/0!</v>
      </c>
      <c r="DB52" s="156" t="e">
        <f t="shared" si="14"/>
        <v>#DIV/0!</v>
      </c>
    </row>
    <row r="53" spans="1:106" s="10" customFormat="1" ht="15.75" hidden="1" customHeight="1">
      <c r="A53" s="49"/>
      <c r="B53" s="24" t="s">
        <v>205</v>
      </c>
      <c r="C53" s="38" t="str">
        <f ca="1">E53</f>
        <v>{"haftungsType":"Einzelhaftung erfassen","haftungDurch":`${p.FamilyName2}, ${p.ManFirstName2}`,"haftungVon":"01.11.2024","haftungBis":"31.12.2024","haftungFuer":`${p.FamilyName2}, ${p.GirlFirstName2}`,"person1":"","person2":""}</v>
      </c>
      <c r="D53" s="76"/>
      <c r="E53" s="77" t="str">
        <f t="shared" ca="1" si="61"/>
        <v>{"haftungsType":"Einzelhaftung erfassen","haftungDurch":`${p.FamilyName2}, ${p.ManFirstName2}`,"haftungVon":"01.11.2024","haftungBis":"31.12.2024","haftungFuer":`${p.FamilyName2}, ${p.GirlFirstName2}`,"person1":"","person2":""}</v>
      </c>
      <c r="F53" s="611" t="s">
        <v>206</v>
      </c>
      <c r="G53" s="611" t="s">
        <v>214</v>
      </c>
      <c r="H53" s="611" t="s">
        <v>208</v>
      </c>
      <c r="I53" s="611" t="str">
        <f>I28</f>
        <v>${p.FamilyName2}, ${p.ManFirstName2}</v>
      </c>
      <c r="J53" s="611" t="s">
        <v>209</v>
      </c>
      <c r="K53" s="614" t="str">
        <f ca="1">"01."&amp;MONTH(TODAY())&amp;".2024"</f>
        <v>01.11.2024</v>
      </c>
      <c r="L53" s="611" t="s">
        <v>210</v>
      </c>
      <c r="M53" s="613" t="s">
        <v>223</v>
      </c>
      <c r="N53" s="611" t="s">
        <v>211</v>
      </c>
      <c r="O53" s="611" t="str">
        <f>"${"&amp;$G$6&amp;"}, ${"&amp;$H$73&amp;"}"</f>
        <v>${p.FamilyName2}, ${p.GirlFirstName2}</v>
      </c>
      <c r="P53" s="611" t="s">
        <v>212</v>
      </c>
      <c r="Q53" s="614"/>
      <c r="R53" s="611" t="s">
        <v>213</v>
      </c>
      <c r="S53" s="611"/>
      <c r="T53" s="611" t="s">
        <v>37</v>
      </c>
      <c r="U53" s="611"/>
      <c r="V53" s="611"/>
      <c r="W53" s="611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177"/>
      <c r="AK53" s="156" t="e">
        <f t="shared" ref="AK53:AM53" si="83">AJ53/($AI53)</f>
        <v>#DIV/0!</v>
      </c>
      <c r="AL53" s="177"/>
      <c r="AM53" s="156" t="e">
        <f t="shared" si="83"/>
        <v>#DIV/0!</v>
      </c>
      <c r="AN53" s="177"/>
      <c r="AO53" s="156" t="e">
        <f t="shared" si="3"/>
        <v>#DIV/0!</v>
      </c>
      <c r="AP53" s="177"/>
      <c r="AQ53" s="156" t="e">
        <f t="shared" si="3"/>
        <v>#DIV/0!</v>
      </c>
      <c r="AR53" s="177"/>
      <c r="AS53" s="156" t="e">
        <f t="shared" si="3"/>
        <v>#DIV/0!</v>
      </c>
      <c r="AT53" s="177"/>
      <c r="AU53" s="156" t="e">
        <f t="shared" si="3"/>
        <v>#DIV/0!</v>
      </c>
      <c r="AV53" s="170"/>
      <c r="AW53" s="156" t="e">
        <f t="shared" si="56"/>
        <v>#DIV/0!</v>
      </c>
      <c r="AX53" s="170"/>
      <c r="AY53" s="156" t="e">
        <f t="shared" si="56"/>
        <v>#DIV/0!</v>
      </c>
      <c r="AZ53" s="53"/>
      <c r="BA53" s="156" t="e">
        <f t="shared" si="56"/>
        <v>#DIV/0!</v>
      </c>
      <c r="BC53" s="156" t="e">
        <f t="shared" si="56"/>
        <v>#DIV/0!</v>
      </c>
      <c r="BE53" s="156" t="e">
        <f t="shared" si="56"/>
        <v>#DIV/0!</v>
      </c>
      <c r="BG53" s="156" t="e">
        <f t="shared" si="56"/>
        <v>#DIV/0!</v>
      </c>
      <c r="BI53" s="156" t="e">
        <f t="shared" si="56"/>
        <v>#DIV/0!</v>
      </c>
      <c r="BK53" s="156" t="e">
        <f t="shared" si="56"/>
        <v>#DIV/0!</v>
      </c>
      <c r="BN53" s="156" t="e">
        <f t="shared" si="6"/>
        <v>#DIV/0!</v>
      </c>
      <c r="BP53" s="156" t="e">
        <f t="shared" si="7"/>
        <v>#DIV/0!</v>
      </c>
      <c r="BR53" s="156" t="e">
        <f t="shared" si="7"/>
        <v>#DIV/0!</v>
      </c>
      <c r="BT53" s="156" t="e">
        <f t="shared" si="7"/>
        <v>#DIV/0!</v>
      </c>
      <c r="BV53" s="156" t="e">
        <f t="shared" si="7"/>
        <v>#DIV/0!</v>
      </c>
      <c r="BX53" s="156" t="e">
        <f t="shared" si="69"/>
        <v>#DIV/0!</v>
      </c>
      <c r="BZ53" s="156" t="e">
        <f t="shared" si="8"/>
        <v>#DIV/0!</v>
      </c>
      <c r="CB53" s="156" t="e">
        <f t="shared" si="9"/>
        <v>#DIV/0!</v>
      </c>
      <c r="CD53" s="156" t="e">
        <f t="shared" si="10"/>
        <v>#DIV/0!</v>
      </c>
      <c r="CF53" s="156" t="e">
        <f t="shared" si="10"/>
        <v>#DIV/0!</v>
      </c>
      <c r="CH53" s="156" t="e">
        <f t="shared" si="10"/>
        <v>#DIV/0!</v>
      </c>
      <c r="CJ53" s="156" t="e">
        <f t="shared" si="10"/>
        <v>#DIV/0!</v>
      </c>
      <c r="CL53" s="156" t="e">
        <f t="shared" si="70"/>
        <v>#DIV/0!</v>
      </c>
      <c r="CN53" s="156" t="e">
        <f t="shared" si="11"/>
        <v>#DIV/0!</v>
      </c>
      <c r="CP53" s="156" t="e">
        <f t="shared" si="12"/>
        <v>#DIV/0!</v>
      </c>
      <c r="CR53" s="156" t="e">
        <f t="shared" si="13"/>
        <v>#DIV/0!</v>
      </c>
      <c r="CT53" s="156" t="e">
        <f t="shared" si="13"/>
        <v>#DIV/0!</v>
      </c>
      <c r="CV53" s="156" t="e">
        <f t="shared" si="13"/>
        <v>#DIV/0!</v>
      </c>
      <c r="CX53" s="156" t="e">
        <f t="shared" si="13"/>
        <v>#DIV/0!</v>
      </c>
      <c r="CZ53" s="156" t="e">
        <f t="shared" si="71"/>
        <v>#DIV/0!</v>
      </c>
      <c r="DB53" s="156" t="e">
        <f t="shared" si="14"/>
        <v>#DIV/0!</v>
      </c>
    </row>
    <row r="54" spans="1:106" s="53" customFormat="1" ht="15.75" hidden="1" customHeight="1">
      <c r="A54" s="21"/>
      <c r="B54" s="54" t="s">
        <v>22</v>
      </c>
      <c r="C54" s="55" t="s">
        <v>215</v>
      </c>
      <c r="D54" s="90"/>
      <c r="E54" s="124"/>
      <c r="F54" s="624"/>
      <c r="G54" s="611"/>
      <c r="H54" s="611"/>
      <c r="I54" s="611"/>
      <c r="J54" s="611"/>
      <c r="K54" s="611"/>
      <c r="L54" s="611"/>
      <c r="M54" s="611"/>
      <c r="N54" s="611"/>
      <c r="O54" s="611"/>
      <c r="P54" s="611"/>
      <c r="Q54" s="611"/>
      <c r="R54" s="611"/>
      <c r="S54" s="611"/>
      <c r="T54" s="611"/>
      <c r="U54" s="611"/>
      <c r="V54" s="611"/>
      <c r="W54" s="611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156" t="e">
        <f t="shared" ref="AK54:AM54" si="84">AJ54/($AI54)</f>
        <v>#DIV/0!</v>
      </c>
      <c r="AL54" s="90"/>
      <c r="AM54" s="156" t="e">
        <f t="shared" si="84"/>
        <v>#DIV/0!</v>
      </c>
      <c r="AN54" s="90"/>
      <c r="AO54" s="156" t="e">
        <f t="shared" si="3"/>
        <v>#DIV/0!</v>
      </c>
      <c r="AP54" s="90"/>
      <c r="AQ54" s="156" t="e">
        <f t="shared" si="3"/>
        <v>#DIV/0!</v>
      </c>
      <c r="AR54" s="162"/>
      <c r="AS54" s="156" t="e">
        <f t="shared" si="3"/>
        <v>#DIV/0!</v>
      </c>
      <c r="AT54" s="162"/>
      <c r="AU54" s="156" t="e">
        <f t="shared" si="3"/>
        <v>#DIV/0!</v>
      </c>
      <c r="AV54" s="162"/>
      <c r="AW54" s="156" t="e">
        <f t="shared" si="56"/>
        <v>#DIV/0!</v>
      </c>
      <c r="AX54" s="162"/>
      <c r="AY54" s="156" t="e">
        <f t="shared" si="56"/>
        <v>#DIV/0!</v>
      </c>
      <c r="BA54" s="156" t="e">
        <f t="shared" si="56"/>
        <v>#DIV/0!</v>
      </c>
      <c r="BC54" s="156" t="e">
        <f t="shared" si="56"/>
        <v>#DIV/0!</v>
      </c>
      <c r="BE54" s="156" t="e">
        <f t="shared" si="56"/>
        <v>#DIV/0!</v>
      </c>
      <c r="BG54" s="156" t="e">
        <f t="shared" si="56"/>
        <v>#DIV/0!</v>
      </c>
      <c r="BI54" s="156" t="e">
        <f t="shared" si="56"/>
        <v>#DIV/0!</v>
      </c>
      <c r="BK54" s="156" t="e">
        <f t="shared" si="56"/>
        <v>#DIV/0!</v>
      </c>
      <c r="BN54" s="156" t="e">
        <f t="shared" si="6"/>
        <v>#DIV/0!</v>
      </c>
      <c r="BP54" s="156" t="e">
        <f t="shared" si="7"/>
        <v>#DIV/0!</v>
      </c>
      <c r="BR54" s="156" t="e">
        <f t="shared" si="7"/>
        <v>#DIV/0!</v>
      </c>
      <c r="BT54" s="156" t="e">
        <f t="shared" si="7"/>
        <v>#DIV/0!</v>
      </c>
      <c r="BV54" s="156" t="e">
        <f t="shared" si="7"/>
        <v>#DIV/0!</v>
      </c>
      <c r="BX54" s="156" t="e">
        <f t="shared" si="69"/>
        <v>#DIV/0!</v>
      </c>
      <c r="BZ54" s="156" t="e">
        <f t="shared" si="8"/>
        <v>#DIV/0!</v>
      </c>
      <c r="CB54" s="156" t="e">
        <f t="shared" si="9"/>
        <v>#DIV/0!</v>
      </c>
      <c r="CD54" s="156" t="e">
        <f t="shared" si="10"/>
        <v>#DIV/0!</v>
      </c>
      <c r="CF54" s="156" t="e">
        <f t="shared" si="10"/>
        <v>#DIV/0!</v>
      </c>
      <c r="CH54" s="156" t="e">
        <f t="shared" si="10"/>
        <v>#DIV/0!</v>
      </c>
      <c r="CJ54" s="156" t="e">
        <f t="shared" si="10"/>
        <v>#DIV/0!</v>
      </c>
      <c r="CL54" s="156" t="e">
        <f t="shared" si="70"/>
        <v>#DIV/0!</v>
      </c>
      <c r="CN54" s="156" t="e">
        <f t="shared" si="11"/>
        <v>#DIV/0!</v>
      </c>
      <c r="CP54" s="156" t="e">
        <f t="shared" si="12"/>
        <v>#DIV/0!</v>
      </c>
      <c r="CR54" s="156" t="e">
        <f t="shared" si="13"/>
        <v>#DIV/0!</v>
      </c>
      <c r="CT54" s="156" t="e">
        <f t="shared" si="13"/>
        <v>#DIV/0!</v>
      </c>
      <c r="CV54" s="156" t="e">
        <f t="shared" si="13"/>
        <v>#DIV/0!</v>
      </c>
      <c r="CX54" s="156" t="e">
        <f t="shared" si="13"/>
        <v>#DIV/0!</v>
      </c>
      <c r="CZ54" s="156" t="e">
        <f t="shared" si="71"/>
        <v>#DIV/0!</v>
      </c>
      <c r="DB54" s="156" t="e">
        <f t="shared" si="14"/>
        <v>#DIV/0!</v>
      </c>
    </row>
    <row r="55" spans="1:106" s="10" customFormat="1" ht="15.75" hidden="1" customHeight="1">
      <c r="A55" s="49"/>
      <c r="B55" s="24" t="s">
        <v>216</v>
      </c>
      <c r="C55" s="38"/>
      <c r="D55" s="76"/>
      <c r="E55" s="77"/>
      <c r="F55" s="609"/>
      <c r="G55" s="611"/>
      <c r="H55" s="609"/>
      <c r="I55" s="611"/>
      <c r="J55" s="609"/>
      <c r="K55" s="611"/>
      <c r="L55" s="609"/>
      <c r="M55" s="613"/>
      <c r="N55" s="609"/>
      <c r="O55" s="609"/>
      <c r="P55" s="609"/>
      <c r="Q55" s="614"/>
      <c r="R55" s="609"/>
      <c r="S55" s="611"/>
      <c r="T55" s="611"/>
      <c r="U55" s="611"/>
      <c r="V55" s="609"/>
      <c r="W55" s="611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177"/>
      <c r="AK55" s="156" t="e">
        <f t="shared" ref="AK55:AM55" si="85">AJ55/($AI55)</f>
        <v>#DIV/0!</v>
      </c>
      <c r="AL55" s="177"/>
      <c r="AM55" s="156" t="e">
        <f t="shared" si="85"/>
        <v>#DIV/0!</v>
      </c>
      <c r="AN55" s="177"/>
      <c r="AO55" s="156" t="e">
        <f t="shared" si="3"/>
        <v>#DIV/0!</v>
      </c>
      <c r="AP55" s="177"/>
      <c r="AQ55" s="156" t="e">
        <f t="shared" si="3"/>
        <v>#DIV/0!</v>
      </c>
      <c r="AR55" s="177"/>
      <c r="AS55" s="156" t="e">
        <f t="shared" si="3"/>
        <v>#DIV/0!</v>
      </c>
      <c r="AT55" s="177"/>
      <c r="AU55" s="156" t="e">
        <f t="shared" si="3"/>
        <v>#DIV/0!</v>
      </c>
      <c r="AV55" s="170"/>
      <c r="AW55" s="156" t="e">
        <f t="shared" si="56"/>
        <v>#DIV/0!</v>
      </c>
      <c r="AX55" s="170"/>
      <c r="AY55" s="156" t="e">
        <f t="shared" si="56"/>
        <v>#DIV/0!</v>
      </c>
      <c r="AZ55" s="53"/>
      <c r="BA55" s="156" t="e">
        <f t="shared" si="56"/>
        <v>#DIV/0!</v>
      </c>
      <c r="BC55" s="156" t="e">
        <f t="shared" si="56"/>
        <v>#DIV/0!</v>
      </c>
      <c r="BE55" s="156" t="e">
        <f t="shared" si="56"/>
        <v>#DIV/0!</v>
      </c>
      <c r="BG55" s="156" t="e">
        <f t="shared" si="56"/>
        <v>#DIV/0!</v>
      </c>
      <c r="BI55" s="156" t="e">
        <f t="shared" si="56"/>
        <v>#DIV/0!</v>
      </c>
      <c r="BK55" s="156" t="e">
        <f t="shared" si="56"/>
        <v>#DIV/0!</v>
      </c>
      <c r="BN55" s="156" t="e">
        <f t="shared" si="6"/>
        <v>#DIV/0!</v>
      </c>
      <c r="BP55" s="156" t="e">
        <f t="shared" si="7"/>
        <v>#DIV/0!</v>
      </c>
      <c r="BR55" s="156" t="e">
        <f t="shared" si="7"/>
        <v>#DIV/0!</v>
      </c>
      <c r="BT55" s="156" t="e">
        <f t="shared" si="7"/>
        <v>#DIV/0!</v>
      </c>
      <c r="BV55" s="156" t="e">
        <f t="shared" si="7"/>
        <v>#DIV/0!</v>
      </c>
      <c r="BX55" s="156" t="e">
        <f t="shared" si="69"/>
        <v>#DIV/0!</v>
      </c>
      <c r="BZ55" s="156" t="e">
        <f t="shared" si="8"/>
        <v>#DIV/0!</v>
      </c>
      <c r="CB55" s="156" t="e">
        <f t="shared" si="9"/>
        <v>#DIV/0!</v>
      </c>
      <c r="CD55" s="156" t="e">
        <f t="shared" si="10"/>
        <v>#DIV/0!</v>
      </c>
      <c r="CF55" s="156" t="e">
        <f t="shared" si="10"/>
        <v>#DIV/0!</v>
      </c>
      <c r="CH55" s="156" t="e">
        <f t="shared" si="10"/>
        <v>#DIV/0!</v>
      </c>
      <c r="CJ55" s="156" t="e">
        <f t="shared" si="10"/>
        <v>#DIV/0!</v>
      </c>
      <c r="CL55" s="156" t="e">
        <f t="shared" si="70"/>
        <v>#DIV/0!</v>
      </c>
      <c r="CN55" s="156" t="e">
        <f t="shared" si="11"/>
        <v>#DIV/0!</v>
      </c>
      <c r="CP55" s="156" t="e">
        <f t="shared" si="12"/>
        <v>#DIV/0!</v>
      </c>
      <c r="CR55" s="156" t="e">
        <f t="shared" si="13"/>
        <v>#DIV/0!</v>
      </c>
      <c r="CT55" s="156" t="e">
        <f t="shared" si="13"/>
        <v>#DIV/0!</v>
      </c>
      <c r="CV55" s="156" t="e">
        <f t="shared" si="13"/>
        <v>#DIV/0!</v>
      </c>
      <c r="CX55" s="156" t="e">
        <f t="shared" si="13"/>
        <v>#DIV/0!</v>
      </c>
      <c r="CZ55" s="156" t="e">
        <f t="shared" si="71"/>
        <v>#DIV/0!</v>
      </c>
      <c r="DB55" s="156" t="e">
        <f t="shared" si="14"/>
        <v>#DIV/0!</v>
      </c>
    </row>
    <row r="56" spans="1:106" s="53" customFormat="1" ht="15.75" hidden="1" customHeight="1">
      <c r="A56" s="21"/>
      <c r="B56" s="54" t="s">
        <v>22</v>
      </c>
      <c r="C56" s="55" t="s">
        <v>215</v>
      </c>
      <c r="D56" s="90"/>
      <c r="E56" s="124"/>
      <c r="F56" s="624"/>
      <c r="G56" s="611"/>
      <c r="H56" s="611"/>
      <c r="I56" s="611"/>
      <c r="J56" s="611"/>
      <c r="K56" s="611"/>
      <c r="L56" s="611"/>
      <c r="M56" s="611"/>
      <c r="N56" s="611"/>
      <c r="O56" s="611"/>
      <c r="P56" s="611"/>
      <c r="Q56" s="611"/>
      <c r="R56" s="611"/>
      <c r="S56" s="611"/>
      <c r="T56" s="611"/>
      <c r="U56" s="611"/>
      <c r="V56" s="611"/>
      <c r="W56" s="611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156" t="e">
        <f t="shared" ref="AK56:AM56" si="86">AJ56/($AI56)</f>
        <v>#DIV/0!</v>
      </c>
      <c r="AL56" s="90"/>
      <c r="AM56" s="156" t="e">
        <f t="shared" si="86"/>
        <v>#DIV/0!</v>
      </c>
      <c r="AN56" s="90"/>
      <c r="AO56" s="156" t="e">
        <f t="shared" si="3"/>
        <v>#DIV/0!</v>
      </c>
      <c r="AP56" s="90"/>
      <c r="AQ56" s="156" t="e">
        <f t="shared" si="3"/>
        <v>#DIV/0!</v>
      </c>
      <c r="AR56" s="162"/>
      <c r="AS56" s="156" t="e">
        <f t="shared" si="3"/>
        <v>#DIV/0!</v>
      </c>
      <c r="AT56" s="162"/>
      <c r="AU56" s="156" t="e">
        <f t="shared" si="3"/>
        <v>#DIV/0!</v>
      </c>
      <c r="AV56" s="162"/>
      <c r="AW56" s="156" t="e">
        <f t="shared" si="56"/>
        <v>#DIV/0!</v>
      </c>
      <c r="AX56" s="162"/>
      <c r="AY56" s="156" t="e">
        <f t="shared" si="56"/>
        <v>#DIV/0!</v>
      </c>
      <c r="BA56" s="156" t="e">
        <f t="shared" si="56"/>
        <v>#DIV/0!</v>
      </c>
      <c r="BC56" s="156" t="e">
        <f t="shared" si="56"/>
        <v>#DIV/0!</v>
      </c>
      <c r="BE56" s="156" t="e">
        <f t="shared" si="56"/>
        <v>#DIV/0!</v>
      </c>
      <c r="BG56" s="156" t="e">
        <f t="shared" si="56"/>
        <v>#DIV/0!</v>
      </c>
      <c r="BI56" s="156" t="e">
        <f t="shared" si="56"/>
        <v>#DIV/0!</v>
      </c>
      <c r="BK56" s="156" t="e">
        <f t="shared" si="56"/>
        <v>#DIV/0!</v>
      </c>
      <c r="BN56" s="156" t="e">
        <f t="shared" si="6"/>
        <v>#DIV/0!</v>
      </c>
      <c r="BP56" s="156" t="e">
        <f t="shared" si="7"/>
        <v>#DIV/0!</v>
      </c>
      <c r="BR56" s="156" t="e">
        <f t="shared" si="7"/>
        <v>#DIV/0!</v>
      </c>
      <c r="BT56" s="156" t="e">
        <f t="shared" si="7"/>
        <v>#DIV/0!</v>
      </c>
      <c r="BV56" s="156" t="e">
        <f t="shared" si="7"/>
        <v>#DIV/0!</v>
      </c>
      <c r="BX56" s="156" t="e">
        <f t="shared" si="69"/>
        <v>#DIV/0!</v>
      </c>
      <c r="BZ56" s="156" t="e">
        <f t="shared" si="8"/>
        <v>#DIV/0!</v>
      </c>
      <c r="CB56" s="156" t="e">
        <f t="shared" si="9"/>
        <v>#DIV/0!</v>
      </c>
      <c r="CD56" s="156" t="e">
        <f t="shared" si="10"/>
        <v>#DIV/0!</v>
      </c>
      <c r="CF56" s="156" t="e">
        <f t="shared" si="10"/>
        <v>#DIV/0!</v>
      </c>
      <c r="CH56" s="156" t="e">
        <f t="shared" si="10"/>
        <v>#DIV/0!</v>
      </c>
      <c r="CJ56" s="156" t="e">
        <f t="shared" si="10"/>
        <v>#DIV/0!</v>
      </c>
      <c r="CL56" s="156" t="e">
        <f t="shared" si="70"/>
        <v>#DIV/0!</v>
      </c>
      <c r="CN56" s="156" t="e">
        <f t="shared" si="11"/>
        <v>#DIV/0!</v>
      </c>
      <c r="CP56" s="156" t="e">
        <f t="shared" si="12"/>
        <v>#DIV/0!</v>
      </c>
      <c r="CR56" s="156" t="e">
        <f t="shared" si="13"/>
        <v>#DIV/0!</v>
      </c>
      <c r="CT56" s="156" t="e">
        <f t="shared" si="13"/>
        <v>#DIV/0!</v>
      </c>
      <c r="CV56" s="156" t="e">
        <f t="shared" si="13"/>
        <v>#DIV/0!</v>
      </c>
      <c r="CX56" s="156" t="e">
        <f t="shared" si="13"/>
        <v>#DIV/0!</v>
      </c>
      <c r="CZ56" s="156" t="e">
        <f t="shared" si="71"/>
        <v>#DIV/0!</v>
      </c>
      <c r="DB56" s="156" t="e">
        <f t="shared" si="14"/>
        <v>#DIV/0!</v>
      </c>
    </row>
    <row r="57" spans="1:106" s="10" customFormat="1" ht="15.75" hidden="1" customHeight="1">
      <c r="A57" s="49"/>
      <c r="B57" s="54" t="s">
        <v>139</v>
      </c>
      <c r="C57" s="89" t="str">
        <f>E57</f>
        <v>{"searchDossierOrKlient":p.DossierName2,"resultType":"Dossiers"}</v>
      </c>
      <c r="D57" s="90"/>
      <c r="E57" s="91" t="str">
        <f>F57&amp;G57&amp;H57&amp;I57&amp;J57&amp;K57&amp;L57&amp;M57&amp;N57&amp;O57&amp;P57&amp;Q57&amp;R57&amp;S57&amp;T57&amp;U57&amp;V57&amp;W57&amp;X57</f>
        <v>{"searchDossierOrKlient":p.DossierName2,"resultType":"Dossiers"}</v>
      </c>
      <c r="F57" s="609" t="s">
        <v>140</v>
      </c>
      <c r="G57" s="649" t="str">
        <f>G51</f>
        <v>p.DossierName2</v>
      </c>
      <c r="H57" s="609" t="s">
        <v>141</v>
      </c>
      <c r="I57" s="611" t="s">
        <v>142</v>
      </c>
      <c r="J57" s="609" t="s">
        <v>37</v>
      </c>
      <c r="K57" s="611"/>
      <c r="L57" s="609"/>
      <c r="M57" s="611"/>
      <c r="N57" s="609"/>
      <c r="O57" s="611"/>
      <c r="P57" s="609"/>
      <c r="Q57" s="611"/>
      <c r="R57" s="609"/>
      <c r="S57" s="611"/>
      <c r="T57" s="609"/>
      <c r="U57" s="611"/>
      <c r="V57" s="609"/>
      <c r="W57" s="611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156" t="e">
        <f t="shared" ref="AK57:AM57" si="87">AJ57/($AI57)</f>
        <v>#DIV/0!</v>
      </c>
      <c r="AL57" s="90"/>
      <c r="AM57" s="156" t="e">
        <f t="shared" si="87"/>
        <v>#DIV/0!</v>
      </c>
      <c r="AN57" s="90"/>
      <c r="AO57" s="156" t="e">
        <f t="shared" si="3"/>
        <v>#DIV/0!</v>
      </c>
      <c r="AP57" s="90"/>
      <c r="AQ57" s="156" t="e">
        <f t="shared" si="3"/>
        <v>#DIV/0!</v>
      </c>
      <c r="AR57" s="162"/>
      <c r="AS57" s="156" t="e">
        <f t="shared" si="3"/>
        <v>#DIV/0!</v>
      </c>
      <c r="AT57" s="162"/>
      <c r="AU57" s="156" t="e">
        <f t="shared" si="3"/>
        <v>#DIV/0!</v>
      </c>
      <c r="AV57" s="162"/>
      <c r="AW57" s="156" t="e">
        <f t="shared" si="56"/>
        <v>#DIV/0!</v>
      </c>
      <c r="AX57" s="162"/>
      <c r="AY57" s="156" t="e">
        <f t="shared" si="56"/>
        <v>#DIV/0!</v>
      </c>
      <c r="AZ57" s="53"/>
      <c r="BA57" s="156" t="e">
        <f t="shared" si="56"/>
        <v>#DIV/0!</v>
      </c>
      <c r="BC57" s="156" t="e">
        <f t="shared" si="56"/>
        <v>#DIV/0!</v>
      </c>
      <c r="BE57" s="156" t="e">
        <f t="shared" si="56"/>
        <v>#DIV/0!</v>
      </c>
      <c r="BG57" s="156" t="e">
        <f t="shared" si="56"/>
        <v>#DIV/0!</v>
      </c>
      <c r="BI57" s="156" t="e">
        <f t="shared" si="56"/>
        <v>#DIV/0!</v>
      </c>
      <c r="BK57" s="156" t="e">
        <f t="shared" si="56"/>
        <v>#DIV/0!</v>
      </c>
      <c r="BN57" s="156" t="e">
        <f t="shared" si="6"/>
        <v>#DIV/0!</v>
      </c>
      <c r="BP57" s="156" t="e">
        <f t="shared" si="7"/>
        <v>#DIV/0!</v>
      </c>
      <c r="BR57" s="156" t="e">
        <f t="shared" si="7"/>
        <v>#DIV/0!</v>
      </c>
      <c r="BT57" s="156" t="e">
        <f t="shared" si="7"/>
        <v>#DIV/0!</v>
      </c>
      <c r="BV57" s="156" t="e">
        <f t="shared" si="7"/>
        <v>#DIV/0!</v>
      </c>
      <c r="BX57" s="156" t="e">
        <f t="shared" si="69"/>
        <v>#DIV/0!</v>
      </c>
      <c r="BZ57" s="156" t="e">
        <f t="shared" si="8"/>
        <v>#DIV/0!</v>
      </c>
      <c r="CB57" s="156" t="e">
        <f t="shared" si="9"/>
        <v>#DIV/0!</v>
      </c>
      <c r="CD57" s="156" t="e">
        <f t="shared" si="10"/>
        <v>#DIV/0!</v>
      </c>
      <c r="CF57" s="156" t="e">
        <f t="shared" si="10"/>
        <v>#DIV/0!</v>
      </c>
      <c r="CH57" s="156" t="e">
        <f t="shared" si="10"/>
        <v>#DIV/0!</v>
      </c>
      <c r="CJ57" s="156" t="e">
        <f t="shared" si="10"/>
        <v>#DIV/0!</v>
      </c>
      <c r="CL57" s="156" t="e">
        <f t="shared" si="70"/>
        <v>#DIV/0!</v>
      </c>
      <c r="CN57" s="156" t="e">
        <f t="shared" si="11"/>
        <v>#DIV/0!</v>
      </c>
      <c r="CP57" s="156" t="e">
        <f t="shared" si="12"/>
        <v>#DIV/0!</v>
      </c>
      <c r="CR57" s="156" t="e">
        <f t="shared" si="13"/>
        <v>#DIV/0!</v>
      </c>
      <c r="CT57" s="156" t="e">
        <f t="shared" si="13"/>
        <v>#DIV/0!</v>
      </c>
      <c r="CV57" s="156" t="e">
        <f t="shared" si="13"/>
        <v>#DIV/0!</v>
      </c>
      <c r="CX57" s="156" t="e">
        <f t="shared" si="13"/>
        <v>#DIV/0!</v>
      </c>
      <c r="CZ57" s="156" t="e">
        <f t="shared" si="71"/>
        <v>#DIV/0!</v>
      </c>
      <c r="DB57" s="156" t="e">
        <f t="shared" si="14"/>
        <v>#DIV/0!</v>
      </c>
    </row>
    <row r="58" spans="1:106" s="10" customFormat="1" ht="15.75" hidden="1" customHeight="1">
      <c r="A58" s="21"/>
      <c r="B58" s="129" t="s">
        <v>217</v>
      </c>
      <c r="C58" s="89" t="str">
        <f>E58</f>
        <v>{"dossierInstitution":p.DossierName2,"freigegebeneZahlungen":"6"}</v>
      </c>
      <c r="D58" s="90"/>
      <c r="E58" s="91" t="str">
        <f>F58&amp;G58&amp;H58&amp;I58&amp;J58&amp;K58&amp;L58&amp;M58&amp;N58&amp;O58&amp;P58&amp;Q58&amp;R58&amp;S58&amp;T58&amp;U58&amp;V58&amp;W58&amp;X58</f>
        <v>{"dossierInstitution":p.DossierName2,"freigegebeneZahlungen":"6"}</v>
      </c>
      <c r="F58" s="619" t="s">
        <v>128</v>
      </c>
      <c r="G58" s="649" t="str">
        <f>G57</f>
        <v>p.DossierName2</v>
      </c>
      <c r="H58" s="609" t="s">
        <v>218</v>
      </c>
      <c r="I58" s="609">
        <v>6</v>
      </c>
      <c r="J58" s="609" t="s">
        <v>37</v>
      </c>
      <c r="K58" s="611"/>
      <c r="L58" s="609"/>
      <c r="M58" s="611"/>
      <c r="N58" s="609"/>
      <c r="O58" s="611"/>
      <c r="P58" s="609"/>
      <c r="Q58" s="611"/>
      <c r="R58" s="609"/>
      <c r="S58" s="611"/>
      <c r="T58" s="609"/>
      <c r="U58" s="611"/>
      <c r="V58" s="609"/>
      <c r="W58" s="611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156" t="e">
        <f t="shared" ref="AK58:AM58" si="88">AJ58/($AI58)</f>
        <v>#DIV/0!</v>
      </c>
      <c r="AL58" s="90"/>
      <c r="AM58" s="156" t="e">
        <f t="shared" si="88"/>
        <v>#DIV/0!</v>
      </c>
      <c r="AN58" s="90"/>
      <c r="AO58" s="156" t="e">
        <f t="shared" si="3"/>
        <v>#DIV/0!</v>
      </c>
      <c r="AP58" s="90"/>
      <c r="AQ58" s="156" t="e">
        <f t="shared" si="3"/>
        <v>#DIV/0!</v>
      </c>
      <c r="AR58" s="162"/>
      <c r="AS58" s="156" t="e">
        <f t="shared" si="3"/>
        <v>#DIV/0!</v>
      </c>
      <c r="AT58" s="162"/>
      <c r="AU58" s="156" t="e">
        <f t="shared" si="3"/>
        <v>#DIV/0!</v>
      </c>
      <c r="AV58" s="162"/>
      <c r="AW58" s="156" t="e">
        <f t="shared" si="56"/>
        <v>#DIV/0!</v>
      </c>
      <c r="AX58" s="162"/>
      <c r="AY58" s="156" t="e">
        <f t="shared" si="56"/>
        <v>#DIV/0!</v>
      </c>
      <c r="AZ58" s="53"/>
      <c r="BA58" s="156" t="e">
        <f t="shared" si="56"/>
        <v>#DIV/0!</v>
      </c>
      <c r="BC58" s="156" t="e">
        <f t="shared" si="56"/>
        <v>#DIV/0!</v>
      </c>
      <c r="BE58" s="156" t="e">
        <f t="shared" si="56"/>
        <v>#DIV/0!</v>
      </c>
      <c r="BG58" s="156" t="e">
        <f t="shared" si="56"/>
        <v>#DIV/0!</v>
      </c>
      <c r="BI58" s="156" t="e">
        <f t="shared" si="56"/>
        <v>#DIV/0!</v>
      </c>
      <c r="BK58" s="156" t="e">
        <f t="shared" si="56"/>
        <v>#DIV/0!</v>
      </c>
      <c r="BN58" s="156" t="e">
        <f t="shared" si="6"/>
        <v>#DIV/0!</v>
      </c>
      <c r="BP58" s="156" t="e">
        <f t="shared" si="7"/>
        <v>#DIV/0!</v>
      </c>
      <c r="BR58" s="156" t="e">
        <f t="shared" si="7"/>
        <v>#DIV/0!</v>
      </c>
      <c r="BT58" s="156" t="e">
        <f t="shared" si="7"/>
        <v>#DIV/0!</v>
      </c>
      <c r="BV58" s="156" t="e">
        <f t="shared" si="7"/>
        <v>#DIV/0!</v>
      </c>
      <c r="BX58" s="156" t="e">
        <f t="shared" si="69"/>
        <v>#DIV/0!</v>
      </c>
      <c r="BZ58" s="156" t="e">
        <f t="shared" si="8"/>
        <v>#DIV/0!</v>
      </c>
      <c r="CB58" s="156" t="e">
        <f t="shared" si="9"/>
        <v>#DIV/0!</v>
      </c>
      <c r="CD58" s="156" t="e">
        <f t="shared" si="10"/>
        <v>#DIV/0!</v>
      </c>
      <c r="CF58" s="156" t="e">
        <f t="shared" si="10"/>
        <v>#DIV/0!</v>
      </c>
      <c r="CH58" s="156" t="e">
        <f t="shared" si="10"/>
        <v>#DIV/0!</v>
      </c>
      <c r="CJ58" s="156" t="e">
        <f t="shared" si="10"/>
        <v>#DIV/0!</v>
      </c>
      <c r="CL58" s="156" t="e">
        <f t="shared" si="70"/>
        <v>#DIV/0!</v>
      </c>
      <c r="CN58" s="156" t="e">
        <f t="shared" si="11"/>
        <v>#DIV/0!</v>
      </c>
      <c r="CP58" s="156" t="e">
        <f t="shared" si="12"/>
        <v>#DIV/0!</v>
      </c>
      <c r="CR58" s="156" t="e">
        <f t="shared" si="13"/>
        <v>#DIV/0!</v>
      </c>
      <c r="CT58" s="156" t="e">
        <f t="shared" si="13"/>
        <v>#DIV/0!</v>
      </c>
      <c r="CV58" s="156" t="e">
        <f t="shared" si="13"/>
        <v>#DIV/0!</v>
      </c>
      <c r="CX58" s="156" t="e">
        <f t="shared" si="13"/>
        <v>#DIV/0!</v>
      </c>
      <c r="CZ58" s="156" t="e">
        <f t="shared" si="71"/>
        <v>#DIV/0!</v>
      </c>
      <c r="DB58" s="156" t="e">
        <f t="shared" si="14"/>
        <v>#DIV/0!</v>
      </c>
    </row>
    <row r="59" spans="1:106" s="10" customFormat="1" ht="15.75" hidden="1" customHeight="1">
      <c r="A59" s="159"/>
      <c r="B59" s="19" t="s">
        <v>134</v>
      </c>
      <c r="C59" s="38" t="str">
        <f>E59</f>
        <v>{"username":"Bern.Buchhalter@diartis.ch","password":"HBcc73+ppTX42?E."}</v>
      </c>
      <c r="D59" s="90"/>
      <c r="E59" s="91" t="str">
        <f>F59&amp;G59&amp;H59&amp;I59&amp;J59&amp;K59&amp;L59&amp;M59&amp;N59&amp;O59&amp;P59&amp;Q59&amp;R59&amp;S59&amp;T59&amp;U59&amp;V59&amp;W59&amp;X59</f>
        <v>{"username":"Bern.Buchhalter@diartis.ch","password":"HBcc73+ppTX42?E."}</v>
      </c>
      <c r="F59" s="609" t="s">
        <v>29</v>
      </c>
      <c r="G59" s="611" t="s">
        <v>219</v>
      </c>
      <c r="H59" s="609" t="s">
        <v>31</v>
      </c>
      <c r="I59" s="611" t="s">
        <v>220</v>
      </c>
      <c r="J59" s="609" t="s">
        <v>37</v>
      </c>
      <c r="K59" s="614"/>
      <c r="L59" s="609"/>
      <c r="M59" s="611"/>
      <c r="N59" s="609"/>
      <c r="O59" s="611"/>
      <c r="P59" s="609"/>
      <c r="Q59" s="611"/>
      <c r="R59" s="609"/>
      <c r="S59" s="611"/>
      <c r="T59" s="609"/>
      <c r="U59" s="611"/>
      <c r="V59" s="609"/>
      <c r="W59" s="611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156" t="e">
        <f t="shared" ref="AK59:AM59" si="89">AJ59/($AI59)</f>
        <v>#DIV/0!</v>
      </c>
      <c r="AL59" s="90"/>
      <c r="AM59" s="156" t="e">
        <f t="shared" si="89"/>
        <v>#DIV/0!</v>
      </c>
      <c r="AN59" s="90"/>
      <c r="AO59" s="156" t="e">
        <f t="shared" si="3"/>
        <v>#DIV/0!</v>
      </c>
      <c r="AP59" s="90"/>
      <c r="AQ59" s="156" t="e">
        <f t="shared" si="3"/>
        <v>#DIV/0!</v>
      </c>
      <c r="AR59" s="162"/>
      <c r="AS59" s="156" t="e">
        <f t="shared" si="3"/>
        <v>#DIV/0!</v>
      </c>
      <c r="AT59" s="162"/>
      <c r="AU59" s="156" t="e">
        <f t="shared" si="3"/>
        <v>#DIV/0!</v>
      </c>
      <c r="AV59" s="162"/>
      <c r="AW59" s="156" t="e">
        <f t="shared" si="56"/>
        <v>#DIV/0!</v>
      </c>
      <c r="AX59" s="162"/>
      <c r="AY59" s="156" t="e">
        <f t="shared" si="56"/>
        <v>#DIV/0!</v>
      </c>
      <c r="AZ59" s="53"/>
      <c r="BA59" s="156" t="e">
        <f t="shared" si="56"/>
        <v>#DIV/0!</v>
      </c>
      <c r="BC59" s="156" t="e">
        <f t="shared" si="56"/>
        <v>#DIV/0!</v>
      </c>
      <c r="BE59" s="156" t="e">
        <f t="shared" si="56"/>
        <v>#DIV/0!</v>
      </c>
      <c r="BG59" s="156" t="e">
        <f t="shared" si="56"/>
        <v>#DIV/0!</v>
      </c>
      <c r="BI59" s="156" t="e">
        <f t="shared" si="56"/>
        <v>#DIV/0!</v>
      </c>
      <c r="BK59" s="156" t="e">
        <f t="shared" si="56"/>
        <v>#DIV/0!</v>
      </c>
      <c r="BN59" s="156" t="e">
        <f t="shared" si="6"/>
        <v>#DIV/0!</v>
      </c>
      <c r="BP59" s="156" t="e">
        <f t="shared" si="7"/>
        <v>#DIV/0!</v>
      </c>
      <c r="BR59" s="156" t="e">
        <f t="shared" si="7"/>
        <v>#DIV/0!</v>
      </c>
      <c r="BT59" s="156" t="e">
        <f t="shared" si="7"/>
        <v>#DIV/0!</v>
      </c>
      <c r="BV59" s="156" t="e">
        <f t="shared" si="7"/>
        <v>#DIV/0!</v>
      </c>
      <c r="BX59" s="156" t="e">
        <f t="shared" si="69"/>
        <v>#DIV/0!</v>
      </c>
      <c r="BZ59" s="156" t="e">
        <f t="shared" si="8"/>
        <v>#DIV/0!</v>
      </c>
      <c r="CB59" s="156" t="e">
        <f t="shared" si="9"/>
        <v>#DIV/0!</v>
      </c>
      <c r="CD59" s="156" t="e">
        <f t="shared" si="10"/>
        <v>#DIV/0!</v>
      </c>
      <c r="CF59" s="156" t="e">
        <f t="shared" si="10"/>
        <v>#DIV/0!</v>
      </c>
      <c r="CH59" s="156" t="e">
        <f t="shared" si="10"/>
        <v>#DIV/0!</v>
      </c>
      <c r="CJ59" s="156" t="e">
        <f t="shared" si="10"/>
        <v>#DIV/0!</v>
      </c>
      <c r="CL59" s="156" t="e">
        <f t="shared" si="70"/>
        <v>#DIV/0!</v>
      </c>
      <c r="CN59" s="156" t="e">
        <f t="shared" si="11"/>
        <v>#DIV/0!</v>
      </c>
      <c r="CP59" s="156" t="e">
        <f t="shared" si="12"/>
        <v>#DIV/0!</v>
      </c>
      <c r="CR59" s="156" t="e">
        <f t="shared" si="13"/>
        <v>#DIV/0!</v>
      </c>
      <c r="CT59" s="156" t="e">
        <f t="shared" si="13"/>
        <v>#DIV/0!</v>
      </c>
      <c r="CV59" s="156" t="e">
        <f t="shared" si="13"/>
        <v>#DIV/0!</v>
      </c>
      <c r="CX59" s="156" t="e">
        <f t="shared" si="13"/>
        <v>#DIV/0!</v>
      </c>
      <c r="CZ59" s="156" t="e">
        <f t="shared" si="71"/>
        <v>#DIV/0!</v>
      </c>
      <c r="DB59" s="156" t="e">
        <f t="shared" si="14"/>
        <v>#DIV/0!</v>
      </c>
    </row>
    <row r="60" spans="1:106" s="10" customFormat="1" ht="15.75" hidden="1" customHeight="1">
      <c r="A60" s="21"/>
      <c r="B60" s="54" t="s">
        <v>139</v>
      </c>
      <c r="C60" s="89" t="str">
        <f>E60</f>
        <v>{"searchDossierOrKlient":p.DossierName2,"resultType":"Dossiers"}</v>
      </c>
      <c r="D60" s="90"/>
      <c r="E60" s="91" t="str">
        <f>F60&amp;G60&amp;H60&amp;I60&amp;J60&amp;K60&amp;L60&amp;M60&amp;N60&amp;O60&amp;P60&amp;Q60&amp;R60&amp;S60&amp;T60&amp;U60&amp;V60&amp;W60&amp;X60</f>
        <v>{"searchDossierOrKlient":p.DossierName2,"resultType":"Dossiers"}</v>
      </c>
      <c r="F60" s="609" t="s">
        <v>140</v>
      </c>
      <c r="G60" s="649" t="str">
        <f>G58</f>
        <v>p.DossierName2</v>
      </c>
      <c r="H60" s="609" t="s">
        <v>141</v>
      </c>
      <c r="I60" s="611" t="s">
        <v>142</v>
      </c>
      <c r="J60" s="609" t="s">
        <v>37</v>
      </c>
      <c r="K60" s="611"/>
      <c r="L60" s="609"/>
      <c r="M60" s="611"/>
      <c r="N60" s="609"/>
      <c r="O60" s="611"/>
      <c r="P60" s="609"/>
      <c r="Q60" s="611"/>
      <c r="R60" s="609"/>
      <c r="S60" s="611"/>
      <c r="T60" s="609"/>
      <c r="U60" s="611"/>
      <c r="V60" s="609"/>
      <c r="W60" s="611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156" t="e">
        <f t="shared" ref="AK60:AM60" si="90">AJ60/($AI60)</f>
        <v>#DIV/0!</v>
      </c>
      <c r="AL60" s="90"/>
      <c r="AM60" s="156" t="e">
        <f t="shared" si="90"/>
        <v>#DIV/0!</v>
      </c>
      <c r="AN60" s="90"/>
      <c r="AO60" s="156" t="e">
        <f t="shared" si="3"/>
        <v>#DIV/0!</v>
      </c>
      <c r="AP60" s="90"/>
      <c r="AQ60" s="156" t="e">
        <f t="shared" si="3"/>
        <v>#DIV/0!</v>
      </c>
      <c r="AR60" s="162"/>
      <c r="AS60" s="156" t="e">
        <f t="shared" si="3"/>
        <v>#DIV/0!</v>
      </c>
      <c r="AT60" s="162"/>
      <c r="AU60" s="156" t="e">
        <f t="shared" si="3"/>
        <v>#DIV/0!</v>
      </c>
      <c r="AV60" s="162"/>
      <c r="AW60" s="156" t="e">
        <f t="shared" si="56"/>
        <v>#DIV/0!</v>
      </c>
      <c r="AX60" s="162"/>
      <c r="AY60" s="156" t="e">
        <f t="shared" si="56"/>
        <v>#DIV/0!</v>
      </c>
      <c r="AZ60" s="53"/>
      <c r="BA60" s="156" t="e">
        <f t="shared" si="56"/>
        <v>#DIV/0!</v>
      </c>
      <c r="BC60" s="156" t="e">
        <f t="shared" si="56"/>
        <v>#DIV/0!</v>
      </c>
      <c r="BE60" s="156" t="e">
        <f t="shared" si="56"/>
        <v>#DIV/0!</v>
      </c>
      <c r="BG60" s="156" t="e">
        <f t="shared" si="56"/>
        <v>#DIV/0!</v>
      </c>
      <c r="BI60" s="156" t="e">
        <f t="shared" si="56"/>
        <v>#DIV/0!</v>
      </c>
      <c r="BK60" s="156" t="e">
        <f t="shared" si="56"/>
        <v>#DIV/0!</v>
      </c>
      <c r="BN60" s="156" t="e">
        <f t="shared" si="6"/>
        <v>#DIV/0!</v>
      </c>
      <c r="BP60" s="156" t="e">
        <f t="shared" si="7"/>
        <v>#DIV/0!</v>
      </c>
      <c r="BR60" s="156" t="e">
        <f t="shared" si="7"/>
        <v>#DIV/0!</v>
      </c>
      <c r="BT60" s="156" t="e">
        <f t="shared" si="7"/>
        <v>#DIV/0!</v>
      </c>
      <c r="BV60" s="156" t="e">
        <f t="shared" si="7"/>
        <v>#DIV/0!</v>
      </c>
      <c r="BX60" s="156" t="e">
        <f t="shared" si="69"/>
        <v>#DIV/0!</v>
      </c>
      <c r="BZ60" s="156" t="e">
        <f t="shared" si="8"/>
        <v>#DIV/0!</v>
      </c>
      <c r="CB60" s="156" t="e">
        <f t="shared" si="9"/>
        <v>#DIV/0!</v>
      </c>
      <c r="CD60" s="156" t="e">
        <f t="shared" si="10"/>
        <v>#DIV/0!</v>
      </c>
      <c r="CF60" s="156" t="e">
        <f t="shared" si="10"/>
        <v>#DIV/0!</v>
      </c>
      <c r="CH60" s="156" t="e">
        <f t="shared" si="10"/>
        <v>#DIV/0!</v>
      </c>
      <c r="CJ60" s="156" t="e">
        <f t="shared" si="10"/>
        <v>#DIV/0!</v>
      </c>
      <c r="CL60" s="156" t="e">
        <f t="shared" si="70"/>
        <v>#DIV/0!</v>
      </c>
      <c r="CN60" s="156" t="e">
        <f t="shared" si="11"/>
        <v>#DIV/0!</v>
      </c>
      <c r="CP60" s="156" t="e">
        <f t="shared" si="12"/>
        <v>#DIV/0!</v>
      </c>
      <c r="CR60" s="156" t="e">
        <f t="shared" si="13"/>
        <v>#DIV/0!</v>
      </c>
      <c r="CT60" s="156" t="e">
        <f t="shared" si="13"/>
        <v>#DIV/0!</v>
      </c>
      <c r="CV60" s="156" t="e">
        <f t="shared" si="13"/>
        <v>#DIV/0!</v>
      </c>
      <c r="CX60" s="156" t="e">
        <f t="shared" si="13"/>
        <v>#DIV/0!</v>
      </c>
      <c r="CZ60" s="156" t="e">
        <f t="shared" si="71"/>
        <v>#DIV/0!</v>
      </c>
      <c r="DB60" s="156" t="e">
        <f t="shared" si="14"/>
        <v>#DIV/0!</v>
      </c>
    </row>
    <row r="61" spans="1:106" s="53" customFormat="1" ht="15.75" hidden="1" customHeight="1">
      <c r="A61" s="49"/>
      <c r="B61" s="129" t="s">
        <v>22</v>
      </c>
      <c r="C61" s="55" t="s">
        <v>126</v>
      </c>
      <c r="D61" s="90"/>
      <c r="E61" s="124"/>
      <c r="F61" s="624"/>
      <c r="G61" s="611"/>
      <c r="H61" s="611"/>
      <c r="I61" s="611"/>
      <c r="J61" s="611"/>
      <c r="K61" s="611"/>
      <c r="L61" s="611"/>
      <c r="M61" s="611"/>
      <c r="N61" s="611"/>
      <c r="O61" s="611"/>
      <c r="P61" s="611"/>
      <c r="Q61" s="611"/>
      <c r="R61" s="611"/>
      <c r="S61" s="611"/>
      <c r="T61" s="611"/>
      <c r="U61" s="611"/>
      <c r="V61" s="611"/>
      <c r="W61" s="611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156" t="e">
        <f t="shared" ref="AK61:AM61" si="91">AJ61/($AI61)</f>
        <v>#DIV/0!</v>
      </c>
      <c r="AL61" s="90"/>
      <c r="AM61" s="156" t="e">
        <f t="shared" si="91"/>
        <v>#DIV/0!</v>
      </c>
      <c r="AN61" s="90"/>
      <c r="AO61" s="156" t="e">
        <f t="shared" si="3"/>
        <v>#DIV/0!</v>
      </c>
      <c r="AP61" s="90"/>
      <c r="AQ61" s="156" t="e">
        <f t="shared" si="3"/>
        <v>#DIV/0!</v>
      </c>
      <c r="AR61" s="162"/>
      <c r="AS61" s="156" t="e">
        <f t="shared" si="3"/>
        <v>#DIV/0!</v>
      </c>
      <c r="AT61" s="162"/>
      <c r="AU61" s="156" t="e">
        <f t="shared" si="3"/>
        <v>#DIV/0!</v>
      </c>
      <c r="AV61" s="162"/>
      <c r="AW61" s="156" t="e">
        <f t="shared" si="56"/>
        <v>#DIV/0!</v>
      </c>
      <c r="AX61" s="162"/>
      <c r="AY61" s="156" t="e">
        <f t="shared" si="56"/>
        <v>#DIV/0!</v>
      </c>
      <c r="BA61" s="156" t="e">
        <f t="shared" si="56"/>
        <v>#DIV/0!</v>
      </c>
      <c r="BC61" s="156" t="e">
        <f t="shared" si="56"/>
        <v>#DIV/0!</v>
      </c>
      <c r="BE61" s="156" t="e">
        <f t="shared" si="56"/>
        <v>#DIV/0!</v>
      </c>
      <c r="BG61" s="156" t="e">
        <f t="shared" si="56"/>
        <v>#DIV/0!</v>
      </c>
      <c r="BI61" s="156" t="e">
        <f t="shared" si="56"/>
        <v>#DIV/0!</v>
      </c>
      <c r="BK61" s="156" t="e">
        <f t="shared" si="56"/>
        <v>#DIV/0!</v>
      </c>
      <c r="BN61" s="156" t="e">
        <f t="shared" si="6"/>
        <v>#DIV/0!</v>
      </c>
      <c r="BP61" s="156" t="e">
        <f t="shared" si="7"/>
        <v>#DIV/0!</v>
      </c>
      <c r="BR61" s="156" t="e">
        <f t="shared" si="7"/>
        <v>#DIV/0!</v>
      </c>
      <c r="BT61" s="156" t="e">
        <f t="shared" si="7"/>
        <v>#DIV/0!</v>
      </c>
      <c r="BV61" s="156" t="e">
        <f t="shared" si="7"/>
        <v>#DIV/0!</v>
      </c>
      <c r="BX61" s="156" t="e">
        <f t="shared" si="69"/>
        <v>#DIV/0!</v>
      </c>
      <c r="BZ61" s="156" t="e">
        <f t="shared" si="8"/>
        <v>#DIV/0!</v>
      </c>
      <c r="CB61" s="156" t="e">
        <f t="shared" si="9"/>
        <v>#DIV/0!</v>
      </c>
      <c r="CD61" s="156" t="e">
        <f t="shared" si="10"/>
        <v>#DIV/0!</v>
      </c>
      <c r="CF61" s="156" t="e">
        <f t="shared" si="10"/>
        <v>#DIV/0!</v>
      </c>
      <c r="CH61" s="156" t="e">
        <f t="shared" si="10"/>
        <v>#DIV/0!</v>
      </c>
      <c r="CJ61" s="156" t="e">
        <f t="shared" si="10"/>
        <v>#DIV/0!</v>
      </c>
      <c r="CL61" s="156" t="e">
        <f t="shared" si="70"/>
        <v>#DIV/0!</v>
      </c>
      <c r="CN61" s="156" t="e">
        <f t="shared" si="11"/>
        <v>#DIV/0!</v>
      </c>
      <c r="CP61" s="156" t="e">
        <f t="shared" si="12"/>
        <v>#DIV/0!</v>
      </c>
      <c r="CR61" s="156" t="e">
        <f t="shared" si="13"/>
        <v>#DIV/0!</v>
      </c>
      <c r="CT61" s="156" t="e">
        <f t="shared" si="13"/>
        <v>#DIV/0!</v>
      </c>
      <c r="CV61" s="156" t="e">
        <f t="shared" si="13"/>
        <v>#DIV/0!</v>
      </c>
      <c r="CX61" s="156" t="e">
        <f t="shared" si="13"/>
        <v>#DIV/0!</v>
      </c>
      <c r="CZ61" s="156" t="e">
        <f t="shared" si="71"/>
        <v>#DIV/0!</v>
      </c>
      <c r="DB61" s="156" t="e">
        <f t="shared" si="14"/>
        <v>#DIV/0!</v>
      </c>
    </row>
    <row r="62" spans="1:106" s="10" customFormat="1" ht="15.75" hidden="1" customHeight="1">
      <c r="A62" s="21"/>
      <c r="B62" s="135" t="s">
        <v>221</v>
      </c>
      <c r="C62" s="89" t="str">
        <f>E62</f>
        <v>{"bisValutaDatum":"31.12.2024","dossier":p.DossierName2,"zahlungenTotal":"CHF 11’918.00"}</v>
      </c>
      <c r="D62" s="90"/>
      <c r="E62" s="91" t="str">
        <f>F62&amp;G62&amp;H62&amp;I62&amp;J62&amp;K62&amp;L62&amp;M62&amp;N62&amp;O62&amp;P62&amp;Q62&amp;R62&amp;S62&amp;T62&amp;U62&amp;V62&amp;W62&amp;X62</f>
        <v>{"bisValutaDatum":"31.12.2024","dossier":p.DossierName2,"zahlungenTotal":"CHF 11’918.00"}</v>
      </c>
      <c r="F62" s="609" t="s">
        <v>222</v>
      </c>
      <c r="G62" s="611" t="s">
        <v>223</v>
      </c>
      <c r="H62" s="609" t="s">
        <v>224</v>
      </c>
      <c r="I62" s="614" t="str">
        <f>G57</f>
        <v>p.DossierName2</v>
      </c>
      <c r="J62" s="609" t="s">
        <v>225</v>
      </c>
      <c r="K62" s="613" t="s">
        <v>288</v>
      </c>
      <c r="L62" s="609" t="s">
        <v>37</v>
      </c>
      <c r="M62" s="611"/>
      <c r="N62" s="609"/>
      <c r="O62" s="611"/>
      <c r="P62" s="609"/>
      <c r="Q62" s="611"/>
      <c r="R62" s="609"/>
      <c r="S62" s="611"/>
      <c r="T62" s="609"/>
      <c r="U62" s="611"/>
      <c r="V62" s="609"/>
      <c r="W62" s="611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165"/>
      <c r="AL62" s="90"/>
      <c r="AM62" s="165"/>
      <c r="AN62" s="90"/>
      <c r="AO62" s="165"/>
      <c r="AP62" s="90"/>
      <c r="AQ62" s="165"/>
      <c r="AR62" s="162"/>
      <c r="AS62" s="165"/>
      <c r="AT62" s="162"/>
      <c r="AU62" s="165"/>
      <c r="AV62" s="162"/>
      <c r="AW62" s="165"/>
      <c r="AX62" s="162"/>
      <c r="AY62" s="165"/>
      <c r="AZ62" s="53"/>
      <c r="BA62" s="165"/>
      <c r="BC62" s="165"/>
      <c r="BE62" s="165"/>
      <c r="BG62" s="165"/>
      <c r="BI62" s="165"/>
      <c r="BK62" s="165"/>
      <c r="BN62" s="165"/>
      <c r="BP62" s="165"/>
      <c r="BR62" s="165"/>
      <c r="BT62" s="165"/>
      <c r="BV62" s="165"/>
      <c r="BX62" s="165"/>
      <c r="BZ62" s="165"/>
      <c r="CB62" s="165"/>
      <c r="CD62" s="165"/>
      <c r="CF62" s="165"/>
      <c r="CH62" s="165"/>
      <c r="CJ62" s="165"/>
      <c r="CL62" s="165"/>
      <c r="CN62" s="165"/>
      <c r="CP62" s="165"/>
      <c r="CR62" s="165"/>
      <c r="CT62" s="165"/>
      <c r="CV62" s="165"/>
      <c r="CX62" s="165"/>
      <c r="CZ62" s="165"/>
      <c r="DB62" s="165"/>
    </row>
    <row r="63" spans="1:106" s="53" customFormat="1" ht="15.75" hidden="1" customHeight="1">
      <c r="A63" s="49"/>
      <c r="B63" s="54" t="s">
        <v>22</v>
      </c>
      <c r="C63" s="55" t="s">
        <v>126</v>
      </c>
      <c r="D63" s="90"/>
      <c r="E63" s="124"/>
      <c r="F63" s="624"/>
      <c r="G63" s="611"/>
      <c r="H63" s="611"/>
      <c r="I63" s="611"/>
      <c r="J63" s="611"/>
      <c r="K63" s="611"/>
      <c r="L63" s="611"/>
      <c r="M63" s="611"/>
      <c r="N63" s="611"/>
      <c r="O63" s="611"/>
      <c r="P63" s="611"/>
      <c r="Q63" s="611"/>
      <c r="R63" s="611"/>
      <c r="S63" s="611"/>
      <c r="T63" s="611"/>
      <c r="U63" s="611"/>
      <c r="V63" s="611"/>
      <c r="W63" s="611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165"/>
      <c r="AL63" s="90"/>
      <c r="AM63" s="165"/>
      <c r="AN63" s="90"/>
      <c r="AO63" s="165"/>
      <c r="AP63" s="90"/>
      <c r="AQ63" s="165"/>
      <c r="AR63" s="162"/>
      <c r="AS63" s="165"/>
      <c r="AT63" s="162"/>
      <c r="AU63" s="165"/>
      <c r="AV63" s="162"/>
      <c r="AW63" s="165"/>
      <c r="AX63" s="162"/>
      <c r="AY63" s="165"/>
      <c r="BA63" s="165"/>
      <c r="BC63" s="165"/>
      <c r="BE63" s="165"/>
      <c r="BG63" s="165"/>
      <c r="BI63" s="165"/>
      <c r="BK63" s="165"/>
      <c r="BN63" s="165"/>
      <c r="BP63" s="165"/>
      <c r="BR63" s="165"/>
      <c r="BT63" s="165"/>
      <c r="BV63" s="165"/>
      <c r="BX63" s="165"/>
      <c r="BZ63" s="165"/>
      <c r="CB63" s="165"/>
      <c r="CD63" s="165"/>
      <c r="CF63" s="165"/>
      <c r="CH63" s="165"/>
      <c r="CJ63" s="165"/>
      <c r="CL63" s="165"/>
      <c r="CN63" s="165"/>
      <c r="CP63" s="165"/>
      <c r="CR63" s="165"/>
      <c r="CT63" s="165"/>
      <c r="CV63" s="165"/>
      <c r="CX63" s="165"/>
      <c r="CZ63" s="165"/>
      <c r="DB63" s="165"/>
    </row>
    <row r="64" spans="1:106" s="10" customFormat="1" ht="15.75" hidden="1" customHeight="1">
      <c r="A64" s="21"/>
      <c r="B64" s="16" t="s">
        <v>229</v>
      </c>
      <c r="C64" s="38" t="str">
        <f>E64</f>
        <v>{"dossier":p.DossierName2,"ausgefuehrteZahlungen":"6"}</v>
      </c>
      <c r="D64" s="38"/>
      <c r="E64" s="91" t="str">
        <f>F64&amp;G64&amp;H64&amp;I64&amp;J64&amp;K64&amp;L64&amp;M64&amp;N64&amp;O64&amp;P64&amp;Q64&amp;R64&amp;S64&amp;T64&amp;U64&amp;V64&amp;W64</f>
        <v>{"dossier":p.DossierName2,"ausgefuehrteZahlungen":"6"}</v>
      </c>
      <c r="F64" s="611" t="s">
        <v>159</v>
      </c>
      <c r="G64" s="611" t="str">
        <f>G71</f>
        <v>p.DossierName2</v>
      </c>
      <c r="H64" s="611" t="s">
        <v>230</v>
      </c>
      <c r="I64" s="609">
        <v>6</v>
      </c>
      <c r="J64" s="611" t="s">
        <v>37</v>
      </c>
      <c r="K64" s="611"/>
      <c r="L64" s="611"/>
      <c r="M64" s="611"/>
      <c r="N64" s="611"/>
      <c r="O64" s="625"/>
      <c r="P64" s="611"/>
      <c r="Q64" s="611"/>
      <c r="R64" s="611"/>
      <c r="S64" s="611"/>
      <c r="T64" s="611"/>
      <c r="U64" s="611"/>
      <c r="V64" s="611"/>
      <c r="W64" s="611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165"/>
      <c r="AL64" s="2"/>
      <c r="AM64" s="165"/>
      <c r="AN64" s="2"/>
      <c r="AO64" s="165"/>
      <c r="AP64" s="2"/>
      <c r="AQ64" s="165"/>
      <c r="AR64" s="3"/>
      <c r="AS64" s="165"/>
      <c r="AT64" s="3"/>
      <c r="AU64" s="165"/>
      <c r="AV64" s="3"/>
      <c r="AW64" s="165"/>
      <c r="AX64" s="3"/>
      <c r="AY64" s="165"/>
      <c r="AZ64" s="53"/>
      <c r="BA64" s="165"/>
      <c r="BC64" s="165"/>
      <c r="BE64" s="165"/>
      <c r="BG64" s="165"/>
      <c r="BI64" s="165"/>
      <c r="BK64" s="165"/>
      <c r="BN64" s="165"/>
      <c r="BP64" s="165"/>
      <c r="BR64" s="165"/>
      <c r="BT64" s="165"/>
      <c r="BV64" s="165"/>
      <c r="BX64" s="165"/>
      <c r="BZ64" s="165"/>
      <c r="CB64" s="165"/>
      <c r="CD64" s="165"/>
      <c r="CF64" s="165"/>
      <c r="CH64" s="165"/>
      <c r="CJ64" s="165"/>
      <c r="CL64" s="165"/>
      <c r="CN64" s="165"/>
      <c r="CP64" s="165"/>
      <c r="CR64" s="165"/>
      <c r="CT64" s="165"/>
      <c r="CV64" s="165"/>
      <c r="CX64" s="165"/>
      <c r="CZ64" s="165"/>
      <c r="DB64" s="165"/>
    </row>
    <row r="65" spans="1:106" ht="15.75" customHeight="1">
      <c r="A65" s="49"/>
      <c r="B65" s="137" t="s">
        <v>134</v>
      </c>
      <c r="C65" s="88" t="s">
        <v>138</v>
      </c>
      <c r="E65" s="2" t="str">
        <f>F65&amp;G65&amp;H65&amp;I65&amp;J65&amp;K65&amp;L65&amp;M65&amp;N65&amp;O65&amp;P65&amp;Q65&amp;R65&amp;S65&amp;T65&amp;U65&amp;V65&amp;W65&amp;X65</f>
        <v>{"username":"Bern.Sachbearbeiterin@diartis.ch","password":"XXxa22?pdTA66-S@"}</v>
      </c>
      <c r="F65" s="609" t="s">
        <v>29</v>
      </c>
      <c r="G65" s="611" t="s">
        <v>30</v>
      </c>
      <c r="H65" s="609" t="s">
        <v>31</v>
      </c>
      <c r="I65" s="611" t="s">
        <v>32</v>
      </c>
      <c r="J65" s="609" t="s">
        <v>37</v>
      </c>
      <c r="AK65" s="165"/>
      <c r="AM65" s="165"/>
      <c r="AO65" s="165"/>
      <c r="AQ65" s="165"/>
      <c r="AS65" s="165"/>
      <c r="AU65" s="165"/>
      <c r="AW65" s="165"/>
      <c r="AY65" s="165"/>
      <c r="BA65" s="165"/>
      <c r="BC65" s="165"/>
      <c r="BE65" s="165"/>
      <c r="BG65" s="165"/>
      <c r="BI65" s="165"/>
      <c r="BK65" s="165"/>
      <c r="BN65" s="165"/>
      <c r="BP65" s="165"/>
      <c r="BR65" s="165"/>
      <c r="BT65" s="165"/>
      <c r="BV65" s="165"/>
      <c r="BX65" s="165"/>
      <c r="BZ65" s="165"/>
      <c r="CB65" s="165"/>
      <c r="CD65" s="165"/>
      <c r="CF65" s="165"/>
      <c r="CH65" s="165"/>
      <c r="CJ65" s="165"/>
      <c r="CL65" s="165"/>
      <c r="CN65" s="165"/>
      <c r="CP65" s="165"/>
      <c r="CR65" s="165"/>
      <c r="CT65" s="165"/>
      <c r="CV65" s="165"/>
      <c r="CX65" s="165"/>
      <c r="CZ65" s="165"/>
      <c r="DB65" s="165"/>
    </row>
    <row r="66" spans="1:106" ht="14.25" customHeight="1" thickBot="1"/>
    <row r="67" spans="1:106" ht="15.75" customHeight="1">
      <c r="B67" s="179"/>
      <c r="C67" s="38"/>
      <c r="E67" s="2"/>
      <c r="M67" s="655" t="str">
        <f ca="1">TEXT(1,"DD")&amp;"."&amp;TEXT(1,"MM")&amp;"."&amp;TEXT(TODAY()-365,"YYYY")</f>
        <v>01.01.2024</v>
      </c>
    </row>
    <row r="68" spans="1:106" ht="15.75" customHeight="1">
      <c r="B68" s="2" t="s">
        <v>233</v>
      </c>
      <c r="C68" s="15" t="s">
        <v>289</v>
      </c>
      <c r="E68" s="2"/>
    </row>
    <row r="69" spans="1:106" ht="15.75" customHeight="1">
      <c r="B69" s="2" t="s">
        <v>233</v>
      </c>
      <c r="C69" s="13" t="s">
        <v>290</v>
      </c>
      <c r="E69" s="2"/>
    </row>
    <row r="70" spans="1:106" ht="15.75" customHeight="1">
      <c r="B70" s="2" t="s">
        <v>234</v>
      </c>
      <c r="C70" s="38"/>
      <c r="E70" s="2"/>
    </row>
    <row r="71" spans="1:106" ht="15.75" customHeight="1">
      <c r="B71" s="18" t="s">
        <v>235</v>
      </c>
      <c r="C71" s="38"/>
      <c r="E71" s="2"/>
      <c r="F71" s="609" t="s">
        <v>236</v>
      </c>
      <c r="G71" s="611" t="str">
        <f>"p.DossierName"&amp;G76</f>
        <v>p.DossierName2</v>
      </c>
      <c r="H71" s="611" t="str">
        <f>"p.ManFirstName"&amp;G76</f>
        <v>p.ManFirstName2</v>
      </c>
      <c r="I71" s="611" t="str">
        <f>"p.AHVNumber"&amp;G78</f>
        <v>p.AHVNumber5</v>
      </c>
      <c r="J71" s="614" t="str">
        <f>"p.BirthdayAdult"&amp;G76</f>
        <v>p.BirthdayAdult2</v>
      </c>
    </row>
    <row r="72" spans="1:106" ht="15.75" customHeight="1">
      <c r="B72" s="2" t="s">
        <v>233</v>
      </c>
      <c r="C72" s="38"/>
      <c r="E72" s="2"/>
      <c r="F72" s="609" t="s">
        <v>237</v>
      </c>
      <c r="G72" s="611" t="str">
        <f>"p.FamilyName"&amp;G76</f>
        <v>p.FamilyName2</v>
      </c>
      <c r="H72" s="611" t="str">
        <f>"p.WomanFirstName"&amp;G76</f>
        <v>p.WomanFirstName2</v>
      </c>
      <c r="I72" s="611" t="str">
        <f>"p.AHVNumber"&amp;G78+1</f>
        <v>p.AHVNumber6</v>
      </c>
      <c r="J72" s="614" t="str">
        <f>"p.BirthdayAdult"&amp;G77</f>
        <v>p.BirthdayAdult3</v>
      </c>
    </row>
    <row r="73" spans="1:106" ht="15.75" customHeight="1">
      <c r="C73" s="38"/>
      <c r="E73" s="2"/>
      <c r="F73" s="609" t="s">
        <v>238</v>
      </c>
      <c r="G73" s="611" t="str">
        <f>G72</f>
        <v>p.FamilyName2</v>
      </c>
      <c r="H73" s="611" t="str">
        <f>"p.GirlFirstName"&amp;G76</f>
        <v>p.GirlFirstName2</v>
      </c>
      <c r="I73" s="611" t="str">
        <f>"p.AHVNumber"&amp;G78+2</f>
        <v>p.AHVNumber7</v>
      </c>
      <c r="J73" s="614" t="str">
        <f>"p.BirthdayKid"&amp;G76</f>
        <v>p.BirthdayKid2</v>
      </c>
    </row>
    <row r="74" spans="1:106" ht="15.75" customHeight="1">
      <c r="C74" s="38" t="s">
        <v>291</v>
      </c>
      <c r="E74" s="2"/>
      <c r="H74" s="611" t="str">
        <f>"p.ManFirstName"&amp;G77</f>
        <v>p.ManFirstName3</v>
      </c>
      <c r="I74" s="611" t="str">
        <f>"p.AHVNumber"&amp;G78+3</f>
        <v>p.AHVNumber8</v>
      </c>
      <c r="J74" s="614" t="str">
        <f>"p.BirthdayKid"&amp;G77</f>
        <v>p.BirthdayKid3</v>
      </c>
    </row>
    <row r="75" spans="1:106" ht="15.75" customHeight="1">
      <c r="B75" s="2" t="s">
        <v>292</v>
      </c>
      <c r="C75" s="38"/>
      <c r="E75" s="2"/>
    </row>
    <row r="76" spans="1:106" ht="15.75" customHeight="1">
      <c r="B76" s="2" t="s">
        <v>293</v>
      </c>
      <c r="C76" s="180">
        <v>100000029200</v>
      </c>
      <c r="E76" s="2"/>
      <c r="F76" s="609" t="s">
        <v>294</v>
      </c>
      <c r="G76" s="611">
        <v>2</v>
      </c>
    </row>
    <row r="77" spans="1:106" ht="15.75" customHeight="1">
      <c r="B77" s="2" t="s">
        <v>295</v>
      </c>
      <c r="C77" s="180" t="s">
        <v>296</v>
      </c>
      <c r="E77" s="2"/>
      <c r="G77" s="611">
        <f>G76+1</f>
        <v>3</v>
      </c>
    </row>
    <row r="78" spans="1:106" ht="15.75" customHeight="1">
      <c r="B78" s="2" t="s">
        <v>297</v>
      </c>
      <c r="C78" s="38" t="s">
        <v>298</v>
      </c>
      <c r="E78" s="2"/>
      <c r="G78" s="611">
        <f>G76*4-4+1</f>
        <v>5</v>
      </c>
    </row>
    <row r="79" spans="1:106" ht="15.75" customHeight="1">
      <c r="B79" s="2" t="s">
        <v>299</v>
      </c>
      <c r="C79" s="38">
        <v>121700</v>
      </c>
      <c r="D79" s="139" t="s">
        <v>245</v>
      </c>
      <c r="E79" s="140"/>
      <c r="F79" s="626"/>
      <c r="G79" s="626"/>
      <c r="H79" s="626"/>
      <c r="I79" s="627"/>
    </row>
    <row r="80" spans="1:106" ht="15.75" customHeight="1">
      <c r="B80" s="2" t="s">
        <v>300</v>
      </c>
      <c r="C80" s="180" t="str">
        <f>C77&amp;C76</f>
        <v>00789100000029200</v>
      </c>
      <c r="D80" s="145"/>
      <c r="E80" s="2">
        <f ca="1">MONTH(TODAY())</f>
        <v>11</v>
      </c>
      <c r="F80" s="146" t="str">
        <f t="array" aca="1" ref="F80" ca="1">_xlfn.CHOOSEROWS(H$92:H$124,E80)&amp;" "&amp;_xlfn.CHOOSEROWS(I$92:I$124,E80)</f>
        <v>November 2024</v>
      </c>
      <c r="G80" s="609"/>
      <c r="H80" s="611"/>
      <c r="I80" s="628"/>
    </row>
    <row r="81" spans="1:9" ht="15.75" customHeight="1">
      <c r="B81" s="2" t="s">
        <v>301</v>
      </c>
      <c r="C81" s="38" t="str">
        <f>C80&amp;C79</f>
        <v>00789100000029200121700</v>
      </c>
      <c r="D81" s="145"/>
      <c r="E81" s="2">
        <f ca="1">E80+1</f>
        <v>12</v>
      </c>
      <c r="F81" s="146" t="str">
        <f t="array" aca="1" ref="F81" ca="1">_xlfn.CHOOSEROWS(H$92:H$124,E81)&amp;" "&amp;_xlfn.CHOOSEROWS(I$92:I$124,E81)</f>
        <v>Dezember 2024</v>
      </c>
      <c r="G81" s="609"/>
      <c r="H81" s="611"/>
      <c r="I81" s="628"/>
    </row>
    <row r="82" spans="1:9" ht="15.75" customHeight="1">
      <c r="C82" s="38" t="str">
        <f>RIGHT(C81,21)</f>
        <v>789100000029200121700</v>
      </c>
      <c r="D82" s="145"/>
      <c r="E82" s="2">
        <f t="shared" ref="E82:E86" ca="1" si="92">E81+1</f>
        <v>13</v>
      </c>
      <c r="F82" s="146" t="str">
        <f t="array" aca="1" ref="F82" ca="1">_xlfn.CHOOSEROWS(H$92:H$124,E82)&amp;" "&amp;_xlfn.CHOOSEROWS(I$92:I$124,E82)</f>
        <v>Januar 2025</v>
      </c>
      <c r="G82" s="609"/>
      <c r="H82" s="611"/>
      <c r="I82" s="628"/>
    </row>
    <row r="83" spans="1:9" ht="15.75" customHeight="1">
      <c r="C83" s="168" t="str">
        <f>RIGHT(C81,10)</f>
        <v>9200121700</v>
      </c>
      <c r="D83" s="145"/>
      <c r="E83" s="2">
        <f t="shared" ca="1" si="92"/>
        <v>14</v>
      </c>
      <c r="F83" s="146" t="str">
        <f t="array" aca="1" ref="F83" ca="1">_xlfn.CHOOSEROWS(H$92:H$124,E83)&amp;" "&amp;_xlfn.CHOOSEROWS(I$92:I$124,E83)</f>
        <v>Februar 2025</v>
      </c>
      <c r="G83" s="609"/>
      <c r="H83" s="611"/>
      <c r="I83" s="628"/>
    </row>
    <row r="84" spans="1:9" ht="15.75" customHeight="1">
      <c r="C84" s="38" t="str">
        <f>LEFT(C81,11)</f>
        <v>00789100000</v>
      </c>
      <c r="D84" s="145"/>
      <c r="E84" s="2">
        <f t="shared" ca="1" si="92"/>
        <v>15</v>
      </c>
      <c r="F84" s="146" t="str">
        <f t="array" aca="1" ref="F84" ca="1">_xlfn.CHOOSEROWS(H$92:H$124,E84)&amp;" "&amp;_xlfn.CHOOSEROWS(I$92:I$124,E84)</f>
        <v>März 2025</v>
      </c>
      <c r="G84" s="609"/>
      <c r="H84" s="611"/>
      <c r="I84" s="628"/>
    </row>
    <row r="85" spans="1:9" ht="15.75" customHeight="1">
      <c r="B85" s="2" t="s">
        <v>302</v>
      </c>
      <c r="C85" s="168" t="str">
        <f>RIGHT(C84,9)</f>
        <v>789100000</v>
      </c>
      <c r="D85" s="145"/>
      <c r="E85" s="2">
        <f t="shared" ca="1" si="92"/>
        <v>16</v>
      </c>
      <c r="F85" s="146" t="str">
        <f t="array" aca="1" ref="F85" ca="1">_xlfn.CHOOSEROWS(H$92:H$124,E85)&amp;" "&amp;_xlfn.CHOOSEROWS(I$92:I$124,E85)</f>
        <v>April 2025</v>
      </c>
      <c r="G85" s="609"/>
      <c r="H85" s="611"/>
      <c r="I85" s="628"/>
    </row>
    <row r="86" spans="1:9" ht="15.75" customHeight="1">
      <c r="B86" s="2" t="s">
        <v>303</v>
      </c>
      <c r="C86" s="38" t="str">
        <f>RIGHT(C81,9)</f>
        <v>200121700</v>
      </c>
      <c r="D86" s="145"/>
      <c r="E86" s="2">
        <f t="shared" ca="1" si="92"/>
        <v>17</v>
      </c>
      <c r="F86" s="146" t="str">
        <f t="array" aca="1" ref="F86" ca="1">_xlfn.CHOOSEROWS(H$92:H$124,E86)&amp;" "&amp;_xlfn.CHOOSEROWS(I$92:I$124,E86)</f>
        <v>Mai 2025</v>
      </c>
      <c r="G86" s="609"/>
      <c r="H86" s="611"/>
      <c r="I86" s="628"/>
    </row>
    <row r="87" spans="1:9" ht="15.75" customHeight="1">
      <c r="B87" s="2" t="s">
        <v>304</v>
      </c>
      <c r="C87" s="168" t="str">
        <f>RIGHT(LEFT(C81,10),1)</f>
        <v>0</v>
      </c>
      <c r="D87" s="145"/>
      <c r="E87" s="2"/>
      <c r="F87" s="629"/>
      <c r="G87" s="609"/>
      <c r="H87" s="611"/>
      <c r="I87" s="628"/>
    </row>
    <row r="88" spans="1:9" ht="15.75" customHeight="1">
      <c r="C88" s="38"/>
      <c r="D88" s="145"/>
      <c r="E88" s="2">
        <v>13</v>
      </c>
      <c r="F88" s="611">
        <f t="array" ref="F88">_xlfn.CHOOSEROWS(I92:I115,E88)</f>
        <v>2025</v>
      </c>
      <c r="G88" s="609"/>
      <c r="H88" s="611"/>
      <c r="I88" s="628"/>
    </row>
    <row r="89" spans="1:9" ht="15.75" customHeight="1">
      <c r="C89" s="38"/>
      <c r="D89" s="145"/>
      <c r="E89" s="2"/>
      <c r="F89" s="611"/>
      <c r="G89" s="609"/>
      <c r="H89" s="611"/>
      <c r="I89" s="628"/>
    </row>
    <row r="90" spans="1:9" ht="15.75" customHeight="1">
      <c r="A90" s="1" t="s">
        <v>305</v>
      </c>
      <c r="B90" s="181" t="s">
        <v>306</v>
      </c>
      <c r="C90" s="38"/>
      <c r="D90" s="145"/>
      <c r="E90" s="2"/>
      <c r="F90" s="611"/>
      <c r="G90" s="609"/>
      <c r="H90" s="611"/>
      <c r="I90" s="628"/>
    </row>
    <row r="91" spans="1:9" ht="15.75" customHeight="1">
      <c r="A91" s="1" t="s">
        <v>170</v>
      </c>
      <c r="B91" s="181" t="s">
        <v>307</v>
      </c>
      <c r="C91" s="38"/>
      <c r="D91" s="145"/>
      <c r="E91" s="2"/>
      <c r="F91" s="611" t="str">
        <f t="array" ref="F91">_xlfn.CHOOSEROWS(H91:H97,3)</f>
        <v>Februar</v>
      </c>
      <c r="G91" s="609"/>
      <c r="H91" s="611"/>
      <c r="I91" s="628"/>
    </row>
    <row r="92" spans="1:9" ht="15.75" customHeight="1">
      <c r="A92" s="1" t="s">
        <v>308</v>
      </c>
      <c r="B92" s="181" t="s">
        <v>309</v>
      </c>
      <c r="C92" s="38"/>
      <c r="D92" s="145"/>
      <c r="E92" s="2"/>
      <c r="F92" s="611"/>
      <c r="G92" s="609">
        <v>1</v>
      </c>
      <c r="H92" s="611" t="s">
        <v>249</v>
      </c>
      <c r="I92" s="628">
        <v>2024</v>
      </c>
    </row>
    <row r="93" spans="1:9" ht="15.75" customHeight="1">
      <c r="A93" s="1" t="s">
        <v>170</v>
      </c>
      <c r="B93" s="181" t="s">
        <v>310</v>
      </c>
      <c r="C93" s="38"/>
      <c r="D93" s="145"/>
      <c r="E93" s="2"/>
      <c r="F93" s="611"/>
      <c r="G93" s="609">
        <v>2</v>
      </c>
      <c r="H93" s="611" t="s">
        <v>250</v>
      </c>
      <c r="I93" s="628">
        <v>2024</v>
      </c>
    </row>
    <row r="94" spans="1:9" ht="15.75" customHeight="1">
      <c r="A94" s="1" t="s">
        <v>308</v>
      </c>
      <c r="B94" s="181" t="s">
        <v>311</v>
      </c>
      <c r="C94" s="38"/>
      <c r="D94" s="145"/>
      <c r="E94" s="2"/>
      <c r="F94" s="611"/>
      <c r="G94" s="609">
        <v>3</v>
      </c>
      <c r="H94" s="611" t="s">
        <v>251</v>
      </c>
      <c r="I94" s="628">
        <v>2024</v>
      </c>
    </row>
    <row r="95" spans="1:9" ht="15.75" customHeight="1">
      <c r="A95" s="1" t="s">
        <v>312</v>
      </c>
      <c r="B95" s="181" t="s">
        <v>313</v>
      </c>
      <c r="C95" s="38"/>
      <c r="D95" s="145"/>
      <c r="E95" s="2"/>
      <c r="F95" s="611"/>
      <c r="G95" s="609">
        <v>4</v>
      </c>
      <c r="H95" s="611" t="s">
        <v>252</v>
      </c>
      <c r="I95" s="628">
        <v>2024</v>
      </c>
    </row>
    <row r="96" spans="1:9" ht="15.75" customHeight="1">
      <c r="A96" s="1" t="s">
        <v>170</v>
      </c>
      <c r="B96" s="181" t="s">
        <v>314</v>
      </c>
      <c r="C96" s="38"/>
      <c r="D96" s="145"/>
      <c r="E96" s="2"/>
      <c r="F96" s="611"/>
      <c r="G96" s="609">
        <v>5</v>
      </c>
      <c r="H96" s="611" t="s">
        <v>253</v>
      </c>
      <c r="I96" s="628">
        <v>2024</v>
      </c>
    </row>
    <row r="97" spans="1:9" ht="15.75" customHeight="1">
      <c r="B97" s="181" t="s">
        <v>315</v>
      </c>
      <c r="C97" s="38"/>
      <c r="D97" s="145"/>
      <c r="E97" s="2"/>
      <c r="F97" s="611"/>
      <c r="G97" s="609">
        <v>6</v>
      </c>
      <c r="H97" s="611" t="s">
        <v>254</v>
      </c>
      <c r="I97" s="628">
        <v>2024</v>
      </c>
    </row>
    <row r="98" spans="1:9" ht="15.75" customHeight="1">
      <c r="A98" s="1" t="s">
        <v>170</v>
      </c>
      <c r="B98" s="181" t="s">
        <v>314</v>
      </c>
      <c r="C98" s="38"/>
      <c r="F98" s="611"/>
      <c r="G98" s="609">
        <v>7</v>
      </c>
      <c r="H98" s="611" t="s">
        <v>255</v>
      </c>
      <c r="I98" s="628">
        <v>2024</v>
      </c>
    </row>
    <row r="99" spans="1:9" ht="15.75" customHeight="1">
      <c r="A99" s="1" t="s">
        <v>170</v>
      </c>
      <c r="B99" s="181" t="s">
        <v>316</v>
      </c>
      <c r="C99" s="38"/>
      <c r="F99" s="611"/>
      <c r="G99" s="609">
        <v>8</v>
      </c>
      <c r="H99" s="611" t="s">
        <v>256</v>
      </c>
      <c r="I99" s="628">
        <v>2024</v>
      </c>
    </row>
    <row r="100" spans="1:9" ht="15.75" customHeight="1">
      <c r="A100" s="1" t="s">
        <v>170</v>
      </c>
      <c r="B100" s="181" t="s">
        <v>317</v>
      </c>
      <c r="C100" s="38"/>
      <c r="F100" s="611"/>
      <c r="G100" s="609">
        <v>9</v>
      </c>
      <c r="H100" s="611" t="s">
        <v>257</v>
      </c>
      <c r="I100" s="628">
        <v>2024</v>
      </c>
    </row>
    <row r="101" spans="1:9" ht="15.75" customHeight="1">
      <c r="A101" s="1" t="s">
        <v>170</v>
      </c>
      <c r="B101" s="181" t="s">
        <v>318</v>
      </c>
      <c r="C101" s="38"/>
      <c r="F101" s="611"/>
      <c r="G101" s="609">
        <v>10</v>
      </c>
      <c r="H101" s="611" t="s">
        <v>258</v>
      </c>
      <c r="I101" s="628">
        <v>2024</v>
      </c>
    </row>
    <row r="102" spans="1:9" ht="15.75" customHeight="1">
      <c r="C102" s="38"/>
      <c r="F102" s="611"/>
      <c r="G102" s="609">
        <v>11</v>
      </c>
      <c r="H102" s="611" t="s">
        <v>259</v>
      </c>
      <c r="I102" s="628">
        <v>2024</v>
      </c>
    </row>
    <row r="103" spans="1:9" ht="15.75" customHeight="1">
      <c r="C103" s="38"/>
      <c r="F103" s="611"/>
      <c r="G103" s="609">
        <v>12</v>
      </c>
      <c r="H103" s="611" t="s">
        <v>260</v>
      </c>
      <c r="I103" s="628">
        <v>2024</v>
      </c>
    </row>
    <row r="104" spans="1:9" ht="15.75" customHeight="1">
      <c r="C104" s="38"/>
      <c r="F104" s="611"/>
      <c r="G104" s="609">
        <v>13</v>
      </c>
      <c r="H104" s="611" t="s">
        <v>249</v>
      </c>
      <c r="I104" s="628">
        <v>2025</v>
      </c>
    </row>
    <row r="105" spans="1:9" ht="15.75" customHeight="1">
      <c r="C105" s="38"/>
      <c r="F105" s="611"/>
      <c r="G105" s="609">
        <v>14</v>
      </c>
      <c r="H105" s="611" t="s">
        <v>250</v>
      </c>
      <c r="I105" s="628">
        <v>2025</v>
      </c>
    </row>
    <row r="106" spans="1:9" ht="15.75" customHeight="1">
      <c r="C106" s="38"/>
      <c r="F106" s="611"/>
      <c r="G106" s="609">
        <v>15</v>
      </c>
      <c r="H106" s="611" t="s">
        <v>251</v>
      </c>
      <c r="I106" s="628">
        <v>2025</v>
      </c>
    </row>
    <row r="107" spans="1:9" ht="15.75" customHeight="1">
      <c r="C107" s="38"/>
      <c r="F107" s="611"/>
      <c r="G107" s="609">
        <v>16</v>
      </c>
      <c r="H107" s="611" t="s">
        <v>252</v>
      </c>
      <c r="I107" s="628">
        <v>2025</v>
      </c>
    </row>
    <row r="108" spans="1:9" ht="15.75" customHeight="1">
      <c r="C108" s="38"/>
      <c r="F108" s="611"/>
      <c r="G108" s="609">
        <v>17</v>
      </c>
      <c r="H108" s="611" t="s">
        <v>253</v>
      </c>
      <c r="I108" s="628">
        <v>2025</v>
      </c>
    </row>
    <row r="109" spans="1:9" ht="15.75" customHeight="1">
      <c r="C109" s="38"/>
      <c r="F109" s="611"/>
      <c r="G109" s="609">
        <v>18</v>
      </c>
      <c r="H109" s="611" t="s">
        <v>254</v>
      </c>
      <c r="I109" s="628">
        <v>2025</v>
      </c>
    </row>
    <row r="110" spans="1:9" ht="15.75" customHeight="1">
      <c r="C110" s="38"/>
      <c r="F110" s="611"/>
      <c r="G110" s="609">
        <v>19</v>
      </c>
      <c r="H110" s="611" t="s">
        <v>255</v>
      </c>
      <c r="I110" s="628">
        <v>2025</v>
      </c>
    </row>
    <row r="111" spans="1:9" ht="15.75" customHeight="1">
      <c r="C111" s="38"/>
      <c r="F111" s="611"/>
      <c r="G111" s="609">
        <v>20</v>
      </c>
      <c r="H111" s="611" t="s">
        <v>256</v>
      </c>
      <c r="I111" s="628">
        <v>2025</v>
      </c>
    </row>
    <row r="112" spans="1:9" ht="15.75" customHeight="1">
      <c r="C112" s="38"/>
      <c r="F112" s="611"/>
      <c r="G112" s="609">
        <v>21</v>
      </c>
      <c r="H112" s="611" t="s">
        <v>257</v>
      </c>
      <c r="I112" s="628">
        <v>2025</v>
      </c>
    </row>
    <row r="113" spans="3:9" ht="15.75" customHeight="1">
      <c r="C113" s="38"/>
      <c r="F113" s="611"/>
      <c r="G113" s="609">
        <v>22</v>
      </c>
      <c r="H113" s="611" t="s">
        <v>258</v>
      </c>
      <c r="I113" s="628">
        <v>2025</v>
      </c>
    </row>
    <row r="114" spans="3:9" ht="15.75" customHeight="1">
      <c r="C114" s="38"/>
      <c r="F114" s="611"/>
      <c r="G114" s="609">
        <v>23</v>
      </c>
      <c r="H114" s="611" t="s">
        <v>259</v>
      </c>
      <c r="I114" s="628">
        <v>2025</v>
      </c>
    </row>
    <row r="115" spans="3:9" ht="15.75" customHeight="1">
      <c r="F115" s="630"/>
      <c r="G115" s="609">
        <v>24</v>
      </c>
      <c r="H115" s="631" t="s">
        <v>260</v>
      </c>
      <c r="I115" s="656">
        <v>2025</v>
      </c>
    </row>
    <row r="116" spans="3:9" ht="15.75" customHeight="1">
      <c r="G116" s="609">
        <v>25</v>
      </c>
      <c r="H116" s="611" t="s">
        <v>249</v>
      </c>
      <c r="I116" s="628">
        <v>2026</v>
      </c>
    </row>
    <row r="117" spans="3:9" ht="15.75" customHeight="1">
      <c r="G117" s="609">
        <v>26</v>
      </c>
      <c r="H117" s="611" t="s">
        <v>250</v>
      </c>
      <c r="I117" s="628">
        <v>2026</v>
      </c>
    </row>
    <row r="118" spans="3:9" ht="15.75" customHeight="1">
      <c r="G118" s="609">
        <v>27</v>
      </c>
      <c r="H118" s="611" t="s">
        <v>251</v>
      </c>
      <c r="I118" s="628">
        <v>2026</v>
      </c>
    </row>
    <row r="119" spans="3:9" ht="15.75" customHeight="1">
      <c r="G119" s="609">
        <v>28</v>
      </c>
      <c r="H119" s="611" t="s">
        <v>252</v>
      </c>
      <c r="I119" s="628">
        <v>2026</v>
      </c>
    </row>
    <row r="120" spans="3:9" ht="15.75" customHeight="1">
      <c r="G120" s="609">
        <v>29</v>
      </c>
      <c r="H120" s="611" t="s">
        <v>253</v>
      </c>
      <c r="I120" s="628">
        <v>2026</v>
      </c>
    </row>
    <row r="121" spans="3:9" ht="15.75" customHeight="1">
      <c r="G121" s="609">
        <v>30</v>
      </c>
      <c r="H121" s="611" t="s">
        <v>254</v>
      </c>
      <c r="I121" s="628">
        <v>2026</v>
      </c>
    </row>
    <row r="122" spans="3:9" ht="15.75" customHeight="1">
      <c r="G122" s="609">
        <v>31</v>
      </c>
      <c r="H122" s="611" t="s">
        <v>255</v>
      </c>
      <c r="I122" s="628">
        <v>2026</v>
      </c>
    </row>
    <row r="123" spans="3:9" ht="15.75" customHeight="1">
      <c r="G123" s="609">
        <v>32</v>
      </c>
      <c r="H123" s="611" t="s">
        <v>256</v>
      </c>
      <c r="I123" s="628">
        <v>2026</v>
      </c>
    </row>
    <row r="124" spans="3:9" ht="15.75" customHeight="1">
      <c r="G124" s="609">
        <v>33</v>
      </c>
      <c r="H124" s="611" t="s">
        <v>257</v>
      </c>
      <c r="I124" s="628">
        <v>2026</v>
      </c>
    </row>
  </sheetData>
  <conditionalFormatting sqref="AK17:AK28 AK2:AK15 AM2:AM15 AO2:AO15 AQ2:AQ15 AS2:AS15 AU2:AU15 AW2:AW15 AY2:AY15 BA2:BA15 BC2:BC15 BE2:BE15 AK30:AK151">
    <cfRule type="colorScale" priority="8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16">
    <cfRule type="colorScale" priority="8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17:AM28 AM30:AM151">
    <cfRule type="colorScale" priority="8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O16">
    <cfRule type="colorScale" priority="8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O17:AO28 AO30:AO151">
    <cfRule type="colorScale" priority="8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O29 AM29 AQ29 AS29 AU29 AW29 AY29 BC29 BE29">
    <cfRule type="colorScale" priority="2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Q16">
    <cfRule type="colorScale" priority="7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Q17:AQ28 AQ30:AQ151">
    <cfRule type="colorScale" priority="9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S16">
    <cfRule type="colorScale" priority="7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S17:AS28 AS30:AS151">
    <cfRule type="colorScale" priority="8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U16">
    <cfRule type="colorScale" priority="7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U17:AU28 AU30:AU151">
    <cfRule type="colorScale" priority="8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W16">
    <cfRule type="colorScale" priority="7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W17:AW28 AW30:AW151">
    <cfRule type="colorScale" priority="8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Y16">
    <cfRule type="colorScale" priority="7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Y17:AY28 AY30:AY151">
    <cfRule type="colorScale" priority="8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17:BA28 BA30:BA151">
    <cfRule type="colorScale" priority="8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17:BC28 BC30:BC151">
    <cfRule type="colorScale" priority="7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17:BE28 BE30:BE151">
    <cfRule type="colorScale" priority="7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2:BG15">
    <cfRule type="colorScale" priority="7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17:BG28 BG30:BG151">
    <cfRule type="colorScale" priority="7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29">
    <cfRule type="colorScale" priority="2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2:BI15">
    <cfRule type="colorScale" priority="6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17:BI28 BI30:BI151">
    <cfRule type="colorScale" priority="6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29">
    <cfRule type="colorScale" priority="2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K2:BK15">
    <cfRule type="colorScale" priority="6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K17:BK28 BK30:BK151">
    <cfRule type="colorScale" priority="6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29">
    <cfRule type="colorScale" priority="2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2:BN15">
    <cfRule type="colorScale" priority="6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17:BN28 BN30:BN151">
    <cfRule type="colorScale" priority="6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29">
    <cfRule type="colorScale" priority="1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2:BP15">
    <cfRule type="colorScale" priority="6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17:BP28 BP30:BP151">
    <cfRule type="colorScale" priority="6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29">
    <cfRule type="colorScale" priority="1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2:BR15">
    <cfRule type="colorScale" priority="6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17:BR28 BR30:BR151">
    <cfRule type="colorScale" priority="6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29">
    <cfRule type="colorScale" priority="1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2:BT15">
    <cfRule type="colorScale" priority="5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17:BT28 BT30:BT151">
    <cfRule type="colorScale" priority="5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29">
    <cfRule type="colorScale" priority="1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2:BV15">
    <cfRule type="colorScale" priority="5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17:BV28 BV30:BV151">
    <cfRule type="colorScale" priority="5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29">
    <cfRule type="colorScale" priority="1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2:BX15">
    <cfRule type="colorScale" priority="5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17:BX28 BX30:BX151">
    <cfRule type="colorScale" priority="5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29">
    <cfRule type="colorScale" priority="1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2:BZ15">
    <cfRule type="colorScale" priority="5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17:BZ28 BZ30:BZ151">
    <cfRule type="colorScale" priority="5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29">
    <cfRule type="colorScale" priority="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2:CB15">
    <cfRule type="colorScale" priority="5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17:CB28 CB30:CB151">
    <cfRule type="colorScale" priority="5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29">
    <cfRule type="colorScale" priority="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2:CD15">
    <cfRule type="colorScale" priority="4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17:CD28 CD30:CD151">
    <cfRule type="colorScale" priority="4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29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2:CF15">
    <cfRule type="colorScale" priority="4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17:CF28 CF30:CF151">
    <cfRule type="colorScale" priority="4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29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2:CH15">
    <cfRule type="colorScale" priority="4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17:CH28 CH30:CH151">
    <cfRule type="colorScale" priority="4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29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2:CJ15">
    <cfRule type="colorScale" priority="4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17:CJ28 CJ30:CJ151">
    <cfRule type="colorScale" priority="4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29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2:CL15">
    <cfRule type="colorScale" priority="4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17:CL28 CL30:CL151">
    <cfRule type="colorScale" priority="4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29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2:CN15">
    <cfRule type="colorScale" priority="3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17:CN28 CN30:CN151">
    <cfRule type="colorScale" priority="3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29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2:CP15">
    <cfRule type="colorScale" priority="3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17:CP28 CP30:CP151">
    <cfRule type="colorScale" priority="3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29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2:CR15">
    <cfRule type="colorScale" priority="3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17:CR28 CR30:CR151">
    <cfRule type="colorScale" priority="3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29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T2:CT15">
    <cfRule type="colorScale" priority="3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T17:CT28 CT30:CT151">
    <cfRule type="colorScale" priority="3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T29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V2:CV15">
    <cfRule type="colorScale" priority="3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V17:CV28 CV30:CV151">
    <cfRule type="colorScale" priority="3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V29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X2:CX15">
    <cfRule type="colorScale" priority="2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X17:CX28 CX30:CX151">
    <cfRule type="colorScale" priority="2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X29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Z2:CZ15">
    <cfRule type="colorScale" priority="2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Z17:CZ28 CZ30:CZ151">
    <cfRule type="colorScale" priority="2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DB2:DB15">
    <cfRule type="colorScale" priority="2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DB17:DB28 DB30:DB151">
    <cfRule type="colorScale" priority="2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G2" r:id="rId1" xr:uid="{00000000-0004-0000-0300-000000000000}"/>
    <hyperlink ref="K8" r:id="rId2" xr:uid="{00000000-0004-0000-0300-000001000000}"/>
    <hyperlink ref="G16" r:id="rId3" xr:uid="{00000000-0004-0000-0300-000002000000}"/>
    <hyperlink ref="I16" r:id="rId4" xr:uid="{00000000-0004-0000-0300-000003000000}"/>
    <hyperlink ref="G17" r:id="rId5" xr:uid="{00000000-0004-0000-0300-000004000000}"/>
    <hyperlink ref="I17" r:id="rId6" xr:uid="{00000000-0004-0000-0300-000005000000}"/>
    <hyperlink ref="G19" r:id="rId7" xr:uid="{00000000-0004-0000-0300-000006000000}"/>
    <hyperlink ref="I19" r:id="rId8" xr:uid="{00000000-0004-0000-0300-000007000000}"/>
    <hyperlink ref="G38" r:id="rId9" xr:uid="{00000000-0004-0000-0300-000008000000}"/>
    <hyperlink ref="I38" r:id="rId10" xr:uid="{00000000-0004-0000-0300-000009000000}"/>
    <hyperlink ref="G41" r:id="rId11" xr:uid="{00000000-0004-0000-0300-00000A000000}"/>
    <hyperlink ref="I41" r:id="rId12" xr:uid="{00000000-0004-0000-0300-00000B000000}"/>
    <hyperlink ref="G44" r:id="rId13" xr:uid="{00000000-0004-0000-0300-00000C000000}"/>
    <hyperlink ref="I44" r:id="rId14" xr:uid="{00000000-0004-0000-0300-00000D000000}"/>
    <hyperlink ref="G65" r:id="rId15" xr:uid="{00000000-0004-0000-0300-00000E000000}"/>
    <hyperlink ref="I65" r:id="rId16" xr:uid="{00000000-0004-0000-0300-00000F000000}"/>
  </hyperlinks>
  <pageMargins left="0.7" right="0.7" top="0.75" bottom="0.75" header="0.3" footer="0.3"/>
  <pageSetup paperSize="9" orientation="portrait" useFirstPageNumber="1" horizontalDpi="4294967295" verticalDpi="4294967295"/>
  <legacy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DF117"/>
  <sheetViews>
    <sheetView zoomScale="85" zoomScaleNormal="85" workbookViewId="0">
      <pane xSplit="2" ySplit="1" topLeftCell="C19" activePane="bottomRight" state="frozen"/>
      <selection activeCell="H1" sqref="H1"/>
      <selection pane="topRight" activeCell="H1" sqref="H1"/>
      <selection pane="bottomLeft" activeCell="H1" sqref="H1"/>
      <selection pane="bottomRight" activeCell="B41" sqref="B41"/>
    </sheetView>
  </sheetViews>
  <sheetFormatPr defaultColWidth="9.140625" defaultRowHeight="15.75" customHeight="1"/>
  <cols>
    <col min="1" max="1" width="9.140625" style="1" customWidth="1"/>
    <col min="2" max="2" width="64.7109375" style="2" customWidth="1"/>
    <col min="3" max="3" width="135.28515625" style="12" customWidth="1"/>
    <col min="4" max="4" width="7.140625" style="2" customWidth="1"/>
    <col min="5" max="5" width="9.7109375" style="12" customWidth="1"/>
    <col min="6" max="6" width="30" style="609" customWidth="1"/>
    <col min="7" max="7" width="32.28515625" style="611" customWidth="1"/>
    <col min="8" max="8" width="22" style="609" customWidth="1"/>
    <col min="9" max="9" width="52.5703125" style="611" customWidth="1"/>
    <col min="10" max="10" width="10.5703125" style="609" customWidth="1"/>
    <col min="11" max="11" width="23.5703125" style="611" customWidth="1"/>
    <col min="12" max="12" width="9.28515625" style="609" customWidth="1"/>
    <col min="13" max="13" width="24.42578125" style="611" customWidth="1"/>
    <col min="14" max="14" width="9.140625" style="609" customWidth="1"/>
    <col min="15" max="15" width="36.85546875" style="611" customWidth="1"/>
    <col min="16" max="16" width="9.140625" style="609" customWidth="1"/>
    <col min="17" max="17" width="16.140625" style="611" customWidth="1"/>
    <col min="18" max="18" width="9.140625" style="609" customWidth="1"/>
    <col min="19" max="19" width="9.140625" style="611" customWidth="1"/>
    <col min="20" max="20" width="9.140625" style="609" customWidth="1"/>
    <col min="21" max="21" width="9.140625" style="611" customWidth="1"/>
    <col min="22" max="22" width="9.140625" style="609" customWidth="1"/>
    <col min="23" max="23" width="9.140625" style="611" customWidth="1"/>
    <col min="24" max="24" width="9.140625" style="2" customWidth="1"/>
    <col min="25" max="25" width="14.42578125" style="2" customWidth="1"/>
    <col min="26" max="28" width="9.140625" style="2" customWidth="1"/>
    <col min="29" max="29" width="13" style="2" customWidth="1"/>
    <col min="30" max="30" width="9.140625" style="2" customWidth="1"/>
    <col min="31" max="31" width="13" style="2" customWidth="1"/>
    <col min="32" max="33" width="9.140625" style="2" customWidth="1"/>
    <col min="34" max="35" width="8.28515625" style="3" customWidth="1"/>
    <col min="36" max="36" width="8.28515625" style="12" customWidth="1"/>
    <col min="37" max="37" width="8.28515625" style="3" customWidth="1"/>
    <col min="38" max="38" width="8.28515625" style="12" customWidth="1"/>
    <col min="39" max="39" width="8.28515625" style="3" customWidth="1"/>
    <col min="40" max="40" width="8.28515625" style="12" customWidth="1"/>
    <col min="41" max="41" width="8.28515625" style="2" customWidth="1"/>
    <col min="42" max="42" width="8.28515625" style="12" customWidth="1"/>
    <col min="43" max="43" width="8.28515625" style="2" customWidth="1"/>
    <col min="44" max="44" width="8.28515625" style="12" customWidth="1"/>
    <col min="45" max="45" width="8.28515625" style="2" customWidth="1"/>
    <col min="46" max="46" width="8.28515625" style="12" customWidth="1"/>
    <col min="47" max="47" width="8.28515625" style="2" customWidth="1"/>
    <col min="48" max="48" width="8.28515625" style="12" customWidth="1"/>
    <col min="49" max="49" width="8.28515625" style="2" customWidth="1"/>
    <col min="50" max="50" width="8.28515625" style="12" customWidth="1"/>
    <col min="51" max="51" width="8.28515625" style="2" customWidth="1"/>
    <col min="52" max="52" width="5.85546875" style="12" customWidth="1"/>
    <col min="53" max="53" width="9.42578125" style="2" customWidth="1"/>
    <col min="54" max="54" width="9.42578125" style="12" customWidth="1"/>
    <col min="55" max="55" width="9.42578125" style="2" customWidth="1"/>
    <col min="56" max="56" width="9.42578125" style="12" customWidth="1"/>
    <col min="57" max="57" width="9.42578125" style="2" customWidth="1"/>
    <col min="58" max="58" width="9.42578125" style="12" customWidth="1"/>
    <col min="59" max="59" width="9.42578125" style="2" customWidth="1"/>
    <col min="60" max="60" width="9.42578125" style="12" customWidth="1"/>
    <col min="61" max="61" width="9.42578125" style="2" customWidth="1"/>
    <col min="62" max="62" width="9.42578125" style="12" customWidth="1"/>
    <col min="63" max="63" width="9.42578125" style="2" customWidth="1"/>
    <col min="64" max="64" width="9.42578125" style="12" customWidth="1"/>
    <col min="65" max="65" width="9.42578125" style="2" customWidth="1"/>
    <col min="66" max="66" width="9.42578125" style="12" customWidth="1"/>
    <col min="67" max="67" width="9.42578125" style="2" customWidth="1"/>
    <col min="68" max="68" width="9.42578125" style="12" customWidth="1"/>
    <col min="69" max="69" width="9.42578125" style="2" customWidth="1"/>
    <col min="70" max="70" width="9.42578125" style="12" customWidth="1"/>
    <col min="71" max="71" width="9.42578125" style="2" customWidth="1"/>
    <col min="72" max="72" width="9.42578125" style="12" customWidth="1"/>
    <col min="73" max="73" width="9.42578125" style="2" customWidth="1"/>
    <col min="74" max="74" width="9.42578125" style="12" customWidth="1"/>
    <col min="75" max="75" width="9.42578125" style="2" customWidth="1"/>
    <col min="76" max="76" width="9.42578125" style="12" customWidth="1"/>
    <col min="77" max="77" width="9.42578125" style="2" customWidth="1"/>
    <col min="78" max="78" width="9.42578125" style="12" customWidth="1"/>
    <col min="79" max="79" width="9.42578125" style="2" customWidth="1"/>
    <col min="80" max="80" width="9.42578125" style="12" customWidth="1"/>
    <col min="81" max="81" width="9.42578125" style="2" customWidth="1"/>
    <col min="82" max="82" width="9.42578125" style="12" customWidth="1"/>
    <col min="83" max="83" width="9.42578125" style="2" customWidth="1"/>
    <col min="84" max="84" width="9.42578125" style="12" customWidth="1"/>
    <col min="85" max="85" width="9.42578125" style="2" customWidth="1"/>
    <col min="86" max="86" width="9.42578125" style="12" customWidth="1"/>
    <col min="87" max="87" width="9.42578125" style="2" customWidth="1"/>
    <col min="88" max="88" width="9.42578125" style="12" customWidth="1"/>
    <col min="89" max="89" width="9.42578125" style="2" customWidth="1"/>
    <col min="90" max="90" width="9.42578125" style="12" customWidth="1"/>
    <col min="91" max="91" width="9.42578125" style="2" customWidth="1"/>
    <col min="92" max="92" width="9.42578125" style="12" customWidth="1"/>
    <col min="93" max="93" width="9.42578125" style="2" customWidth="1"/>
    <col min="94" max="94" width="9.42578125" style="12" customWidth="1"/>
    <col min="95" max="95" width="20" style="2" customWidth="1"/>
    <col min="96" max="96" width="9.42578125" style="12" customWidth="1"/>
    <col min="97" max="97" width="20" style="2" customWidth="1"/>
    <col min="98" max="98" width="50" style="2" customWidth="1"/>
    <col min="99" max="99" width="20" style="2" customWidth="1"/>
    <col min="100" max="100" width="50" style="2" customWidth="1"/>
    <col min="101" max="101" width="20" style="2" customWidth="1"/>
    <col min="102" max="102" width="50" style="2" customWidth="1"/>
    <col min="103" max="103" width="20" style="2" customWidth="1"/>
    <col min="104" max="104" width="50" style="2" customWidth="1"/>
    <col min="105" max="105" width="20" style="2" customWidth="1"/>
    <col min="106" max="106" width="50" style="2" customWidth="1"/>
    <col min="107" max="107" width="20" style="2" customWidth="1"/>
    <col min="108" max="108" width="50" style="2" customWidth="1"/>
    <col min="109" max="109" width="20" style="2" customWidth="1"/>
    <col min="110" max="110" width="50" style="2" customWidth="1"/>
    <col min="111" max="16384" width="9.140625" style="2"/>
  </cols>
  <sheetData>
    <row r="1" spans="1:110" ht="15.75" customHeight="1">
      <c r="A1" s="5" t="s">
        <v>0</v>
      </c>
      <c r="B1" s="37" t="s">
        <v>60</v>
      </c>
      <c r="C1" s="38" t="s">
        <v>61</v>
      </c>
      <c r="D1" s="39" t="s">
        <v>3</v>
      </c>
      <c r="E1" s="40"/>
      <c r="F1" s="609" t="s">
        <v>4</v>
      </c>
      <c r="G1" s="2558">
        <f>14*60*1000*SpeedFaktor</f>
        <v>840000</v>
      </c>
      <c r="H1" s="609">
        <v>10</v>
      </c>
      <c r="AH1" s="3" t="s">
        <v>5</v>
      </c>
      <c r="AI1" s="150" t="s">
        <v>281</v>
      </c>
      <c r="AJ1" s="24" t="s">
        <v>8</v>
      </c>
      <c r="AK1" s="2" t="s">
        <v>282</v>
      </c>
      <c r="AL1" s="405" t="s">
        <v>8</v>
      </c>
      <c r="AM1" s="15" t="s">
        <v>9</v>
      </c>
      <c r="AN1" s="405" t="s">
        <v>8</v>
      </c>
      <c r="AO1" s="15" t="s">
        <v>10</v>
      </c>
      <c r="AP1" s="405" t="s">
        <v>8</v>
      </c>
      <c r="AQ1" s="15" t="s">
        <v>11</v>
      </c>
      <c r="AR1" s="405" t="s">
        <v>8</v>
      </c>
      <c r="AS1" s="15" t="s">
        <v>12</v>
      </c>
      <c r="AT1" s="405" t="s">
        <v>8</v>
      </c>
      <c r="AU1" s="15" t="s">
        <v>13</v>
      </c>
      <c r="AV1" s="405" t="s">
        <v>8</v>
      </c>
      <c r="AW1" s="15" t="s">
        <v>65</v>
      </c>
      <c r="AX1" s="405" t="s">
        <v>8</v>
      </c>
      <c r="AY1" s="15" t="s">
        <v>15</v>
      </c>
      <c r="AZ1" s="405" t="s">
        <v>8</v>
      </c>
      <c r="BA1" s="15" t="s">
        <v>17</v>
      </c>
      <c r="BB1" s="405" t="s">
        <v>8</v>
      </c>
      <c r="BC1" s="15" t="s">
        <v>1285</v>
      </c>
      <c r="BD1" s="405" t="s">
        <v>8</v>
      </c>
      <c r="BE1" s="15" t="s">
        <v>1286</v>
      </c>
      <c r="BF1" s="405" t="s">
        <v>8</v>
      </c>
      <c r="BG1" s="2019" t="s">
        <v>1303</v>
      </c>
      <c r="BH1" s="405" t="s">
        <v>8</v>
      </c>
      <c r="BI1" s="2020" t="s">
        <v>1306</v>
      </c>
      <c r="BJ1" s="405" t="s">
        <v>8</v>
      </c>
      <c r="BK1" s="2021" t="s">
        <v>1311</v>
      </c>
      <c r="BL1" s="405" t="s">
        <v>8</v>
      </c>
      <c r="BM1" s="2022" t="s">
        <v>1318</v>
      </c>
      <c r="BN1" s="405" t="s">
        <v>8</v>
      </c>
      <c r="BO1" s="2023" t="s">
        <v>1322</v>
      </c>
      <c r="BP1" s="405" t="s">
        <v>8</v>
      </c>
      <c r="BQ1" s="2024" t="s">
        <v>1324</v>
      </c>
      <c r="BR1" s="405" t="s">
        <v>8</v>
      </c>
      <c r="BS1" s="2025" t="s">
        <v>1327</v>
      </c>
      <c r="BT1" s="405" t="s">
        <v>8</v>
      </c>
      <c r="BU1" s="2026" t="s">
        <v>1335</v>
      </c>
      <c r="BV1" s="405" t="s">
        <v>8</v>
      </c>
      <c r="BW1" s="2027" t="s">
        <v>1338</v>
      </c>
      <c r="BX1" s="405" t="s">
        <v>8</v>
      </c>
      <c r="BY1" s="2028" t="s">
        <v>1341</v>
      </c>
      <c r="BZ1" s="405" t="s">
        <v>8</v>
      </c>
      <c r="CA1" s="2029" t="s">
        <v>1361</v>
      </c>
      <c r="CB1" s="405" t="s">
        <v>8</v>
      </c>
      <c r="CC1" s="2030" t="s">
        <v>1363</v>
      </c>
      <c r="CD1" s="405" t="s">
        <v>8</v>
      </c>
      <c r="CE1" s="2031" t="s">
        <v>1368</v>
      </c>
      <c r="CF1" s="405" t="s">
        <v>8</v>
      </c>
      <c r="CG1" s="2032" t="s">
        <v>1371</v>
      </c>
      <c r="CH1" s="405" t="s">
        <v>8</v>
      </c>
      <c r="CI1" s="2033" t="s">
        <v>1375</v>
      </c>
      <c r="CJ1" s="405" t="s">
        <v>8</v>
      </c>
      <c r="CK1" s="2034" t="s">
        <v>1391</v>
      </c>
      <c r="CL1" s="405" t="s">
        <v>8</v>
      </c>
      <c r="CM1" s="2035" t="s">
        <v>1392</v>
      </c>
      <c r="CN1" s="405" t="s">
        <v>8</v>
      </c>
      <c r="CO1" s="2036" t="s">
        <v>1394</v>
      </c>
      <c r="CP1" s="405" t="s">
        <v>8</v>
      </c>
      <c r="CQ1" s="2044" t="s">
        <v>1397</v>
      </c>
      <c r="CR1" s="405" t="s">
        <v>8</v>
      </c>
      <c r="CS1" s="2746" t="s">
        <v>1460</v>
      </c>
      <c r="CT1" s="2747" t="s">
        <v>572</v>
      </c>
      <c r="CU1" s="2916" t="s">
        <v>1472</v>
      </c>
      <c r="CV1" s="2917" t="s">
        <v>572</v>
      </c>
      <c r="CW1" s="3106" t="s">
        <v>1492</v>
      </c>
      <c r="CX1" s="3107" t="s">
        <v>572</v>
      </c>
      <c r="CY1" s="3288" t="s">
        <v>1503</v>
      </c>
      <c r="CZ1" s="3289" t="s">
        <v>572</v>
      </c>
      <c r="DA1" s="3460" t="s">
        <v>1519</v>
      </c>
      <c r="DB1" s="3461" t="s">
        <v>572</v>
      </c>
      <c r="DC1" s="3746" t="s">
        <v>1666</v>
      </c>
      <c r="DD1" s="3747" t="s">
        <v>572</v>
      </c>
      <c r="DE1" s="3971" t="s">
        <v>1717</v>
      </c>
      <c r="DF1" s="3972" t="s">
        <v>572</v>
      </c>
    </row>
    <row r="2" spans="1:110" s="10" customFormat="1" ht="15.75" customHeight="1">
      <c r="A2" s="119">
        <v>1</v>
      </c>
      <c r="B2" s="122" t="s">
        <v>21</v>
      </c>
      <c r="C2" s="590" t="str">
        <f>'001a'!B59</f>
        <v>{"url":p.aventisURL}</v>
      </c>
      <c r="D2" s="13"/>
      <c r="E2" s="45" t="str">
        <f>F2&amp;G2&amp;H2&amp;I2&amp;J2&amp;K2&amp;L2&amp;M2&amp;N2&amp;O2&amp;P2&amp;Q2&amp;R2&amp;S2&amp;T2&amp;U2&amp;V2&amp;W2&amp;X2</f>
        <v>{"url":"https://dev.aventis.swiss"}</v>
      </c>
      <c r="F2" s="611" t="s">
        <v>67</v>
      </c>
      <c r="G2" s="612" t="s">
        <v>68</v>
      </c>
      <c r="H2" s="611" t="s">
        <v>37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54">
        <v>1980</v>
      </c>
      <c r="AJ2" s="156">
        <f>AI2/($AI2)</f>
        <v>1</v>
      </c>
      <c r="AK2" s="154">
        <v>465</v>
      </c>
      <c r="AL2" s="156">
        <f>AK2/($AI2)</f>
        <v>0.23484848484848486</v>
      </c>
      <c r="AM2" s="154">
        <v>381</v>
      </c>
      <c r="AN2" s="156">
        <f>AM2/($AI2)</f>
        <v>0.19242424242424241</v>
      </c>
      <c r="AO2" s="13">
        <v>490</v>
      </c>
      <c r="AP2" s="156">
        <f>AO2/($AI2)</f>
        <v>0.24747474747474749</v>
      </c>
      <c r="AQ2" s="13">
        <v>393</v>
      </c>
      <c r="AR2" s="156">
        <f>AQ2/($AI2)</f>
        <v>0.19848484848484849</v>
      </c>
      <c r="AS2" s="13">
        <v>556</v>
      </c>
      <c r="AT2" s="156">
        <f>AS2/($AI2)</f>
        <v>0.28080808080808078</v>
      </c>
      <c r="AU2" s="13">
        <v>383</v>
      </c>
      <c r="AV2" s="156">
        <f>AU2/($AI2)</f>
        <v>0.19343434343434343</v>
      </c>
      <c r="AW2" s="13">
        <v>426</v>
      </c>
      <c r="AX2" s="156">
        <f>AW2/($AI2)</f>
        <v>0.21515151515151515</v>
      </c>
      <c r="AY2" s="2">
        <v>387</v>
      </c>
      <c r="AZ2" s="156">
        <f>AY2/($AI2)</f>
        <v>0.19545454545454546</v>
      </c>
      <c r="BA2" s="2">
        <v>985</v>
      </c>
      <c r="BB2" s="156">
        <f>BA2/($AI2)</f>
        <v>0.49747474747474746</v>
      </c>
      <c r="BC2" s="2">
        <v>1065</v>
      </c>
      <c r="BD2" s="156">
        <f>BC2/($AI2)</f>
        <v>0.53787878787878785</v>
      </c>
      <c r="BE2" s="2">
        <v>520</v>
      </c>
      <c r="BF2" s="156">
        <f>BE2/($AI2)</f>
        <v>0.26262626262626265</v>
      </c>
      <c r="BG2" s="10">
        <v>1178</v>
      </c>
      <c r="BH2" s="156">
        <f>BG2/($AI2)</f>
        <v>0.59494949494949489</v>
      </c>
      <c r="BI2" s="10">
        <v>1246</v>
      </c>
      <c r="BJ2" s="156">
        <f>BI2/($AI2)</f>
        <v>0.62929292929292935</v>
      </c>
      <c r="BK2" s="10">
        <v>348</v>
      </c>
      <c r="BL2" s="156">
        <f>BK2/($AI2)</f>
        <v>0.17575757575757575</v>
      </c>
      <c r="BM2" s="10">
        <v>303</v>
      </c>
      <c r="BN2" s="156">
        <f>BM2/($AI2)</f>
        <v>0.15303030303030302</v>
      </c>
      <c r="BO2" s="10">
        <v>314</v>
      </c>
      <c r="BP2" s="156">
        <f>BO2/($AI2)</f>
        <v>0.15858585858585858</v>
      </c>
      <c r="BQ2" s="10">
        <v>325</v>
      </c>
      <c r="BR2" s="156">
        <f>BQ2/($AI2)</f>
        <v>0.16414141414141414</v>
      </c>
      <c r="BS2" s="10">
        <v>330</v>
      </c>
      <c r="BT2" s="156">
        <f>BS2/($AI2)</f>
        <v>0.16666666666666666</v>
      </c>
      <c r="BU2" s="10">
        <v>316</v>
      </c>
      <c r="BV2" s="156">
        <f>BU2/($AI2)</f>
        <v>0.1595959595959596</v>
      </c>
      <c r="BW2" s="10">
        <v>275</v>
      </c>
      <c r="BX2" s="156">
        <f>BW2/($AI2)</f>
        <v>0.1388888888888889</v>
      </c>
      <c r="BY2" s="10">
        <v>384</v>
      </c>
      <c r="BZ2" s="156">
        <f>BY2/($AI2)</f>
        <v>0.19393939393939394</v>
      </c>
      <c r="CA2" s="10">
        <v>415</v>
      </c>
      <c r="CB2" s="156">
        <f>CA2/($AI2)</f>
        <v>0.20959595959595959</v>
      </c>
      <c r="CC2" s="10">
        <v>403</v>
      </c>
      <c r="CD2" s="156">
        <f>CC2/($AI2)</f>
        <v>0.20353535353535354</v>
      </c>
      <c r="CE2" s="10">
        <v>371</v>
      </c>
      <c r="CF2" s="156">
        <f>CE2/($AI2)</f>
        <v>0.18737373737373739</v>
      </c>
      <c r="CG2" s="10">
        <v>401</v>
      </c>
      <c r="CH2" s="156">
        <f>CG2/($AI2)</f>
        <v>0.20252525252525252</v>
      </c>
      <c r="CI2" s="10">
        <v>1093</v>
      </c>
      <c r="CJ2" s="156">
        <f>CI2/($AI2)</f>
        <v>0.55202020202020197</v>
      </c>
      <c r="CK2" s="10">
        <v>827</v>
      </c>
      <c r="CL2" s="156">
        <f>CK2/($AI2)</f>
        <v>0.4176767676767677</v>
      </c>
      <c r="CM2" s="10">
        <v>874</v>
      </c>
      <c r="CN2" s="156">
        <f>CM2/($AI2)</f>
        <v>0.44141414141414143</v>
      </c>
      <c r="CO2" s="10">
        <v>894</v>
      </c>
      <c r="CP2" s="156">
        <f>CO2/($AI2)</f>
        <v>0.45151515151515154</v>
      </c>
      <c r="CQ2" s="10">
        <v>884</v>
      </c>
      <c r="CR2" s="156">
        <f>CQ2/($AI2)</f>
        <v>0.44646464646464645</v>
      </c>
      <c r="CS2" s="10">
        <v>361</v>
      </c>
      <c r="CU2" s="10">
        <v>809</v>
      </c>
      <c r="CW2" s="10">
        <v>516</v>
      </c>
      <c r="CY2" s="10">
        <v>286</v>
      </c>
      <c r="DA2" s="10">
        <v>289</v>
      </c>
      <c r="DC2" s="10">
        <v>216</v>
      </c>
      <c r="DE2" s="10">
        <v>338</v>
      </c>
      <c r="DF2" s="10" t="s">
        <v>1718</v>
      </c>
    </row>
    <row r="3" spans="1:110" s="10" customFormat="1" ht="15.75" customHeight="1">
      <c r="A3" s="119">
        <v>2</v>
      </c>
      <c r="B3" s="120" t="s">
        <v>25</v>
      </c>
      <c r="C3" s="121" t="str">
        <f t="shared" ref="C3:C8" si="0">E3</f>
        <v>{"username":"bern.sozialarbeiterin1a@diartis.ch","password":"SMze97-jkSJ59!F.","fullname":"Sozialarbeiterin 1A Bern","team":"Sozialarbeit Bern 1"}</v>
      </c>
      <c r="D3" s="13"/>
      <c r="E3" s="45" t="str">
        <f t="shared" ref="E3:E8" si="1"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611" t="s">
        <v>29</v>
      </c>
      <c r="G3" s="624" t="s">
        <v>71</v>
      </c>
      <c r="H3" s="611" t="s">
        <v>31</v>
      </c>
      <c r="I3" s="611" t="s">
        <v>72</v>
      </c>
      <c r="J3" s="611" t="s">
        <v>73</v>
      </c>
      <c r="K3" s="611" t="s">
        <v>74</v>
      </c>
      <c r="L3" s="611" t="s">
        <v>75</v>
      </c>
      <c r="M3" s="611" t="s">
        <v>76</v>
      </c>
      <c r="N3" s="611" t="s">
        <v>37</v>
      </c>
      <c r="O3" s="611"/>
      <c r="P3" s="611"/>
      <c r="Q3" s="611"/>
      <c r="R3" s="611"/>
      <c r="S3" s="611"/>
      <c r="T3" s="611"/>
      <c r="U3" s="611"/>
      <c r="V3" s="611"/>
      <c r="W3" s="611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54">
        <v>421</v>
      </c>
      <c r="AJ3" s="156">
        <f t="shared" ref="AJ3" si="2">AI3/($AI3)</f>
        <v>1</v>
      </c>
      <c r="AK3" s="154">
        <v>418</v>
      </c>
      <c r="AL3" s="156">
        <f t="shared" ref="AL3:AL54" si="3">AK3/($AI3)</f>
        <v>0.99287410926365793</v>
      </c>
      <c r="AM3" s="154">
        <v>408</v>
      </c>
      <c r="AN3" s="156">
        <f t="shared" ref="AN3:AV54" si="4">AM3/($AI3)</f>
        <v>0.96912114014251782</v>
      </c>
      <c r="AO3" s="13">
        <v>410</v>
      </c>
      <c r="AP3" s="156">
        <f t="shared" si="4"/>
        <v>0.97387173396674587</v>
      </c>
      <c r="AQ3" s="13">
        <v>417</v>
      </c>
      <c r="AR3" s="156">
        <f t="shared" si="4"/>
        <v>0.99049881235154391</v>
      </c>
      <c r="AS3" s="13">
        <v>421</v>
      </c>
      <c r="AT3" s="156">
        <f t="shared" si="4"/>
        <v>1</v>
      </c>
      <c r="AU3" s="13">
        <v>409</v>
      </c>
      <c r="AV3" s="156">
        <f t="shared" si="4"/>
        <v>0.97149643705463185</v>
      </c>
      <c r="AW3" s="13">
        <v>406</v>
      </c>
      <c r="AX3" s="156">
        <f t="shared" ref="AX3:AZ28" si="5">AW3/($AI3)</f>
        <v>0.96437054631828978</v>
      </c>
      <c r="AY3" s="2">
        <v>417</v>
      </c>
      <c r="AZ3" s="156">
        <f t="shared" si="5"/>
        <v>0.99049881235154391</v>
      </c>
      <c r="BA3" s="2">
        <v>406</v>
      </c>
      <c r="BB3" s="156">
        <f t="shared" ref="BB3:BL54" si="6">BA3/($AI3)</f>
        <v>0.96437054631828978</v>
      </c>
      <c r="BC3" s="2">
        <v>417</v>
      </c>
      <c r="BD3" s="156">
        <f t="shared" si="6"/>
        <v>0.99049881235154391</v>
      </c>
      <c r="BE3" s="2">
        <v>402</v>
      </c>
      <c r="BF3" s="156">
        <f t="shared" si="6"/>
        <v>0.95486935866983369</v>
      </c>
      <c r="BG3" s="10">
        <v>418</v>
      </c>
      <c r="BH3" s="156">
        <f t="shared" si="6"/>
        <v>0.99287410926365793</v>
      </c>
      <c r="BI3" s="10">
        <v>418</v>
      </c>
      <c r="BJ3" s="156">
        <f t="shared" si="6"/>
        <v>0.99287410926365793</v>
      </c>
      <c r="BK3" s="10">
        <v>1302</v>
      </c>
      <c r="BL3" s="156">
        <f t="shared" si="6"/>
        <v>3.0926365795724466</v>
      </c>
      <c r="BM3" s="10">
        <v>1256</v>
      </c>
      <c r="BN3" s="156">
        <f t="shared" ref="BN3:BN54" si="7">BM3/($AI3)</f>
        <v>2.9833729216152021</v>
      </c>
      <c r="BO3" s="10">
        <v>1257</v>
      </c>
      <c r="BP3" s="156">
        <f t="shared" ref="BP3:BP54" si="8">BO3/($AI3)</f>
        <v>2.9857482185273159</v>
      </c>
      <c r="BQ3" s="10">
        <v>1455</v>
      </c>
      <c r="BR3" s="156">
        <f t="shared" ref="BR3:BR54" si="9">BQ3/($AI3)</f>
        <v>3.4560570071258909</v>
      </c>
      <c r="BS3" s="10">
        <v>1276</v>
      </c>
      <c r="BT3" s="156">
        <f t="shared" ref="BT3:BT54" si="10">BS3/($AI3)</f>
        <v>3.0308788598574821</v>
      </c>
      <c r="BU3" s="10">
        <v>1252</v>
      </c>
      <c r="BV3" s="156">
        <f t="shared" ref="BV3:BV54" si="11">BU3/($AI3)</f>
        <v>2.973871733966746</v>
      </c>
      <c r="BW3" s="10">
        <v>793</v>
      </c>
      <c r="BX3" s="156">
        <f t="shared" ref="BX3:BX54" si="12">BW3/($AI3)</f>
        <v>1.8836104513064134</v>
      </c>
      <c r="BY3" s="10">
        <v>1129</v>
      </c>
      <c r="BZ3" s="156">
        <f t="shared" ref="BZ3:BZ54" si="13">BY3/($AI3)</f>
        <v>2.6817102137767219</v>
      </c>
      <c r="CA3" s="10">
        <v>1256</v>
      </c>
      <c r="CB3" s="156">
        <f t="shared" ref="CB3:CD54" si="14">CA3/($AI3)</f>
        <v>2.9833729216152021</v>
      </c>
      <c r="CC3" s="10">
        <v>1175</v>
      </c>
      <c r="CD3" s="156">
        <f t="shared" si="14"/>
        <v>2.7909738717339669</v>
      </c>
      <c r="CE3" s="10">
        <v>1138</v>
      </c>
      <c r="CF3" s="156">
        <f t="shared" ref="CF3:CR47" si="15">CE3/($AI3)</f>
        <v>2.7030878859857483</v>
      </c>
      <c r="CG3" s="10">
        <v>1128</v>
      </c>
      <c r="CH3" s="156">
        <f t="shared" ref="CH3:CH47" si="16">CG3/($AI3)</f>
        <v>2.6793349168646081</v>
      </c>
      <c r="CI3" s="10">
        <v>1730</v>
      </c>
      <c r="CJ3" s="156">
        <f t="shared" ref="CJ3:CJ47" si="17">CI3/($AI3)</f>
        <v>4.1092636579572446</v>
      </c>
      <c r="CK3" s="10">
        <v>1471</v>
      </c>
      <c r="CL3" s="156">
        <f t="shared" ref="CL3:CL47" si="18">CK3/($AI3)</f>
        <v>3.4940617577197148</v>
      </c>
      <c r="CM3" s="10">
        <v>1452</v>
      </c>
      <c r="CN3" s="156">
        <f t="shared" ref="CN3:CN47" si="19">CM3/($AI3)</f>
        <v>3.4489311163895486</v>
      </c>
      <c r="CO3" s="10">
        <v>1611</v>
      </c>
      <c r="CP3" s="156">
        <f t="shared" ref="CP3:CT47" si="20">CO3/($AI3)</f>
        <v>3.826603325415677</v>
      </c>
      <c r="CQ3" s="10">
        <v>1490</v>
      </c>
      <c r="CR3" s="156">
        <f t="shared" si="20"/>
        <v>3.539192399049881</v>
      </c>
      <c r="CS3" s="10">
        <v>1146</v>
      </c>
      <c r="CU3" s="10">
        <v>1466</v>
      </c>
      <c r="CW3" s="10">
        <v>3125</v>
      </c>
      <c r="CY3" s="10">
        <v>1122</v>
      </c>
      <c r="DA3" s="10">
        <v>1132</v>
      </c>
      <c r="DC3" s="10">
        <v>929</v>
      </c>
      <c r="DE3" s="10">
        <v>835</v>
      </c>
      <c r="DF3" s="10" t="s">
        <v>1718</v>
      </c>
    </row>
    <row r="4" spans="1:110" s="10" customFormat="1" ht="15.75" customHeight="1">
      <c r="A4" s="119"/>
      <c r="B4" s="122" t="s">
        <v>77</v>
      </c>
      <c r="C4" s="120" t="str">
        <f t="shared" si="0"/>
        <v>{"name":p.FamilyName3,"vorname":p.ManFirstName3,"ahvNumber":"","geburtsdatum":""}</v>
      </c>
      <c r="D4" s="13"/>
      <c r="E4" s="45" t="str">
        <f t="shared" si="1"/>
        <v>{"name":p.FamilyName3,"vorname":p.ManFirstName3,"ahvNumber":"","geburtsdatum":""}</v>
      </c>
      <c r="F4" s="146" t="s">
        <v>78</v>
      </c>
      <c r="G4" s="611" t="str">
        <f>G$62</f>
        <v>p.FamilyName3</v>
      </c>
      <c r="H4" s="611" t="s">
        <v>79</v>
      </c>
      <c r="I4" s="611" t="str">
        <f>H$61</f>
        <v>p.ManFirstName3</v>
      </c>
      <c r="J4" s="611" t="s">
        <v>80</v>
      </c>
      <c r="K4" s="611"/>
      <c r="L4" s="611" t="s">
        <v>81</v>
      </c>
      <c r="M4" s="613"/>
      <c r="N4" s="611" t="s">
        <v>37</v>
      </c>
      <c r="O4" s="611"/>
      <c r="P4" s="611"/>
      <c r="Q4" s="611"/>
      <c r="R4" s="611"/>
      <c r="S4" s="611"/>
      <c r="T4" s="611"/>
      <c r="U4" s="611"/>
      <c r="V4" s="611"/>
      <c r="W4" s="611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54">
        <v>8548</v>
      </c>
      <c r="AJ4" s="156">
        <f t="shared" ref="AJ4" si="21">AI4/($AI4)</f>
        <v>1</v>
      </c>
      <c r="AK4" s="154">
        <v>8637</v>
      </c>
      <c r="AL4" s="156">
        <f t="shared" si="3"/>
        <v>1.010411792232101</v>
      </c>
      <c r="AM4" s="154">
        <v>9835</v>
      </c>
      <c r="AN4" s="156">
        <f t="shared" si="4"/>
        <v>1.150561534861956</v>
      </c>
      <c r="AO4" s="13">
        <v>9773</v>
      </c>
      <c r="AP4" s="156">
        <f t="shared" si="4"/>
        <v>1.1433083762283576</v>
      </c>
      <c r="AQ4" s="13">
        <v>8895</v>
      </c>
      <c r="AR4" s="156">
        <f t="shared" si="4"/>
        <v>1.0405942910622368</v>
      </c>
      <c r="AS4" s="13">
        <v>8841</v>
      </c>
      <c r="AT4" s="156">
        <f t="shared" si="4"/>
        <v>1.0342770238652317</v>
      </c>
      <c r="AU4" s="13">
        <v>9188</v>
      </c>
      <c r="AV4" s="156">
        <f t="shared" si="4"/>
        <v>1.0748713149274685</v>
      </c>
      <c r="AW4" s="13">
        <v>9058</v>
      </c>
      <c r="AX4" s="156">
        <f t="shared" si="5"/>
        <v>1.0596630790828263</v>
      </c>
      <c r="AY4" s="2">
        <v>8611</v>
      </c>
      <c r="AZ4" s="156">
        <f t="shared" si="5"/>
        <v>1.0073701450631727</v>
      </c>
      <c r="BA4" s="2">
        <v>6082</v>
      </c>
      <c r="BB4" s="156">
        <f t="shared" si="6"/>
        <v>0.71151146467009829</v>
      </c>
      <c r="BC4" s="2">
        <v>6346</v>
      </c>
      <c r="BD4" s="156">
        <f t="shared" si="6"/>
        <v>0.74239588207767904</v>
      </c>
      <c r="BE4" s="2">
        <v>5220</v>
      </c>
      <c r="BF4" s="156">
        <f t="shared" si="6"/>
        <v>0.61066916237716429</v>
      </c>
      <c r="BG4" s="10">
        <v>7417</v>
      </c>
      <c r="BH4" s="156">
        <f t="shared" si="6"/>
        <v>0.86768834815161444</v>
      </c>
      <c r="BI4" s="10">
        <v>7453</v>
      </c>
      <c r="BJ4" s="156">
        <f t="shared" si="6"/>
        <v>0.87189985961628447</v>
      </c>
      <c r="BK4" s="10">
        <v>8081</v>
      </c>
      <c r="BL4" s="156">
        <f t="shared" si="6"/>
        <v>0.94536733738886292</v>
      </c>
      <c r="BM4" s="10">
        <v>7083</v>
      </c>
      <c r="BN4" s="156">
        <f t="shared" si="7"/>
        <v>0.82861488067384181</v>
      </c>
      <c r="BO4" s="10">
        <v>7814</v>
      </c>
      <c r="BP4" s="156">
        <f t="shared" si="8"/>
        <v>0.91413196069255964</v>
      </c>
      <c r="BQ4" s="10">
        <v>7953</v>
      </c>
      <c r="BR4" s="156">
        <f t="shared" si="9"/>
        <v>0.93039307440336916</v>
      </c>
      <c r="BS4" s="10">
        <v>8275</v>
      </c>
      <c r="BT4" s="156">
        <f t="shared" si="10"/>
        <v>0.96806270472625178</v>
      </c>
      <c r="BU4" s="10">
        <v>7572</v>
      </c>
      <c r="BV4" s="156">
        <f t="shared" si="11"/>
        <v>0.88582124473561064</v>
      </c>
      <c r="BW4" s="10">
        <v>8337</v>
      </c>
      <c r="BX4" s="156">
        <f t="shared" si="12"/>
        <v>0.97531586335985021</v>
      </c>
      <c r="BY4" s="10">
        <v>7188</v>
      </c>
      <c r="BZ4" s="156">
        <f t="shared" si="13"/>
        <v>0.84089845577912958</v>
      </c>
      <c r="CA4" s="10">
        <v>7101</v>
      </c>
      <c r="CB4" s="156">
        <f t="shared" si="14"/>
        <v>0.83072063640617688</v>
      </c>
      <c r="CC4" s="10">
        <v>7448</v>
      </c>
      <c r="CD4" s="156">
        <f t="shared" si="14"/>
        <v>0.87131492746841366</v>
      </c>
      <c r="CE4" s="10">
        <v>7409</v>
      </c>
      <c r="CF4" s="156">
        <f t="shared" si="15"/>
        <v>0.8667524567150211</v>
      </c>
      <c r="CG4" s="10">
        <v>6685</v>
      </c>
      <c r="CH4" s="156">
        <f t="shared" si="16"/>
        <v>0.78205428170332236</v>
      </c>
      <c r="CI4" s="10">
        <v>6797</v>
      </c>
      <c r="CJ4" s="156">
        <f t="shared" si="17"/>
        <v>0.79515676181562933</v>
      </c>
      <c r="CK4" s="10">
        <v>6709</v>
      </c>
      <c r="CL4" s="156">
        <f t="shared" si="18"/>
        <v>0.78486195601310249</v>
      </c>
      <c r="CM4" s="10">
        <v>7403</v>
      </c>
      <c r="CN4" s="156">
        <f t="shared" si="19"/>
        <v>0.86605053813757604</v>
      </c>
      <c r="CO4" s="10">
        <v>6910</v>
      </c>
      <c r="CP4" s="156">
        <f t="shared" si="20"/>
        <v>0.80837622835751055</v>
      </c>
      <c r="CQ4" s="10">
        <v>6689</v>
      </c>
      <c r="CR4" s="156">
        <f t="shared" si="20"/>
        <v>0.78252222742161914</v>
      </c>
      <c r="CS4" s="10">
        <v>8770</v>
      </c>
      <c r="CU4" s="10">
        <v>7766</v>
      </c>
      <c r="CW4" s="10">
        <v>15262</v>
      </c>
      <c r="CY4" s="10">
        <v>8147</v>
      </c>
      <c r="DA4" s="10">
        <v>8678</v>
      </c>
    </row>
    <row r="5" spans="1:110" s="10" customFormat="1" ht="18" customHeight="1">
      <c r="A5" s="119">
        <v>6</v>
      </c>
      <c r="B5" s="120" t="s">
        <v>82</v>
      </c>
      <c r="C5" s="121" t="str">
        <f t="shared" si="0"/>
        <v>{"name":p.FamilyName3,"vorname":p.ManFirstName3,"ahvNumber":p.AHVNumber9,"language":"Deutsch","zivilstand":"ledig","geburtsdatum":p.BirthdayAdult3,"national":"Schweiz","gender":"männlich","aufenthalt":""}</v>
      </c>
      <c r="D5" s="13"/>
      <c r="E5" s="45" t="str">
        <f t="shared" si="1"/>
        <v>{"name":p.FamilyName3,"vorname":p.ManFirstName3,"ahvNumber":p.AHVNumber9,"language":"Deutsch","zivilstand":"ledig","geburtsdatum":p.BirthdayAdult3,"national":"Schweiz","gender":"männlich","aufenthalt":""}</v>
      </c>
      <c r="F5" s="146" t="s">
        <v>78</v>
      </c>
      <c r="G5" s="611" t="str">
        <f>G4</f>
        <v>p.FamilyName3</v>
      </c>
      <c r="H5" s="611" t="s">
        <v>79</v>
      </c>
      <c r="I5" s="611" t="str">
        <f>I4</f>
        <v>p.ManFirstName3</v>
      </c>
      <c r="J5" s="611" t="s">
        <v>83</v>
      </c>
      <c r="K5" s="609" t="str">
        <f>I$61</f>
        <v>p.AHVNumber9</v>
      </c>
      <c r="L5" s="611" t="s">
        <v>84</v>
      </c>
      <c r="M5" s="613" t="s">
        <v>85</v>
      </c>
      <c r="N5" s="611" t="s">
        <v>86</v>
      </c>
      <c r="O5" s="611" t="s">
        <v>87</v>
      </c>
      <c r="P5" s="611" t="s">
        <v>88</v>
      </c>
      <c r="Q5" s="614" t="str">
        <f>J61</f>
        <v>p.BirthdayAdult3</v>
      </c>
      <c r="R5" s="611" t="s">
        <v>89</v>
      </c>
      <c r="S5" s="611" t="s">
        <v>90</v>
      </c>
      <c r="T5" s="611" t="s">
        <v>91</v>
      </c>
      <c r="U5" s="611" t="s">
        <v>92</v>
      </c>
      <c r="V5" s="611" t="s">
        <v>93</v>
      </c>
      <c r="W5" s="611"/>
      <c r="X5" s="13" t="s">
        <v>37</v>
      </c>
      <c r="Y5" s="13"/>
      <c r="Z5" s="182"/>
      <c r="AA5" s="13"/>
      <c r="AB5" s="13"/>
      <c r="AC5" s="66"/>
      <c r="AD5" s="13"/>
      <c r="AE5" s="66"/>
      <c r="AF5" s="66"/>
      <c r="AG5" s="13"/>
      <c r="AH5" s="13"/>
      <c r="AI5" s="154">
        <v>3182</v>
      </c>
      <c r="AJ5" s="156">
        <f t="shared" ref="AJ5" si="22">AI5/($AI5)</f>
        <v>1</v>
      </c>
      <c r="AK5" s="154">
        <v>3130</v>
      </c>
      <c r="AL5" s="156">
        <f t="shared" si="3"/>
        <v>0.98365807668133254</v>
      </c>
      <c r="AM5" s="154">
        <v>3555</v>
      </c>
      <c r="AN5" s="156">
        <f t="shared" si="4"/>
        <v>1.1172218730358265</v>
      </c>
      <c r="AO5" s="13">
        <v>3050</v>
      </c>
      <c r="AP5" s="156">
        <f t="shared" si="4"/>
        <v>0.95851665619107485</v>
      </c>
      <c r="AQ5" s="13">
        <v>3034</v>
      </c>
      <c r="AR5" s="156">
        <f t="shared" si="4"/>
        <v>0.95348837209302328</v>
      </c>
      <c r="AS5" s="13">
        <v>3093</v>
      </c>
      <c r="AT5" s="156">
        <f t="shared" si="4"/>
        <v>0.97203016970458833</v>
      </c>
      <c r="AU5" s="13">
        <v>3026</v>
      </c>
      <c r="AV5" s="156">
        <f t="shared" si="4"/>
        <v>0.9509742300439975</v>
      </c>
      <c r="AW5" s="13">
        <v>2881</v>
      </c>
      <c r="AX5" s="156">
        <f t="shared" si="5"/>
        <v>0.90540540540540537</v>
      </c>
      <c r="AY5" s="2">
        <v>2686</v>
      </c>
      <c r="AZ5" s="156">
        <f t="shared" si="5"/>
        <v>0.84412319296040228</v>
      </c>
      <c r="BA5" s="2">
        <v>1818</v>
      </c>
      <c r="BB5" s="156">
        <f t="shared" si="6"/>
        <v>0.57133878064110621</v>
      </c>
      <c r="BC5" s="2">
        <v>1815</v>
      </c>
      <c r="BD5" s="156">
        <f t="shared" si="6"/>
        <v>0.57039597737272152</v>
      </c>
      <c r="BE5" s="2">
        <v>1171</v>
      </c>
      <c r="BF5" s="156">
        <f t="shared" si="6"/>
        <v>0.36800754242614708</v>
      </c>
      <c r="BG5" s="10">
        <v>2223</v>
      </c>
      <c r="BH5" s="156">
        <f t="shared" si="6"/>
        <v>0.69861722187303588</v>
      </c>
      <c r="BI5" s="10">
        <v>2069</v>
      </c>
      <c r="BJ5" s="156">
        <f t="shared" si="6"/>
        <v>0.65021998742928977</v>
      </c>
      <c r="BK5" s="10">
        <v>1919</v>
      </c>
      <c r="BL5" s="156">
        <f t="shared" si="6"/>
        <v>0.60307982401005655</v>
      </c>
      <c r="BM5" s="10">
        <v>2209</v>
      </c>
      <c r="BN5" s="156">
        <f t="shared" si="7"/>
        <v>0.69421747328724071</v>
      </c>
      <c r="BO5" s="10">
        <v>2143</v>
      </c>
      <c r="BP5" s="156">
        <f t="shared" si="8"/>
        <v>0.67347580138277807</v>
      </c>
      <c r="BQ5" s="10">
        <v>2145</v>
      </c>
      <c r="BR5" s="156">
        <f t="shared" si="9"/>
        <v>0.67410433689503457</v>
      </c>
      <c r="BS5" s="10">
        <v>2202</v>
      </c>
      <c r="BT5" s="156">
        <f t="shared" si="10"/>
        <v>0.69201759899434323</v>
      </c>
      <c r="BU5" s="10">
        <v>2178</v>
      </c>
      <c r="BV5" s="156">
        <f t="shared" si="11"/>
        <v>0.68447517284726589</v>
      </c>
      <c r="BW5" s="10">
        <v>2086</v>
      </c>
      <c r="BX5" s="156">
        <f t="shared" si="12"/>
        <v>0.65556253928346953</v>
      </c>
      <c r="BY5" s="10">
        <v>1766</v>
      </c>
      <c r="BZ5" s="156">
        <f t="shared" si="13"/>
        <v>0.55499685732243875</v>
      </c>
      <c r="CA5" s="10">
        <v>1581</v>
      </c>
      <c r="CB5" s="156">
        <f t="shared" si="14"/>
        <v>0.49685732243871777</v>
      </c>
      <c r="CC5" s="10">
        <v>1622</v>
      </c>
      <c r="CD5" s="156">
        <f t="shared" si="14"/>
        <v>0.50974230043997482</v>
      </c>
      <c r="CE5" s="10">
        <v>1727</v>
      </c>
      <c r="CF5" s="156">
        <f t="shared" si="15"/>
        <v>0.54274041483343805</v>
      </c>
      <c r="CG5" s="10">
        <v>1632</v>
      </c>
      <c r="CH5" s="156">
        <f t="shared" si="16"/>
        <v>0.5128849780012571</v>
      </c>
      <c r="CI5" s="10">
        <v>810</v>
      </c>
      <c r="CJ5" s="156">
        <f t="shared" si="17"/>
        <v>0.25455688246385921</v>
      </c>
      <c r="CK5" s="10">
        <v>1414</v>
      </c>
      <c r="CL5" s="156">
        <f t="shared" si="18"/>
        <v>0.44437460716530486</v>
      </c>
      <c r="CM5" s="10">
        <v>1869</v>
      </c>
      <c r="CN5" s="156">
        <f t="shared" si="19"/>
        <v>0.58736643620364548</v>
      </c>
      <c r="CO5" s="10">
        <v>1376</v>
      </c>
      <c r="CP5" s="156">
        <f t="shared" si="20"/>
        <v>0.43243243243243246</v>
      </c>
      <c r="CQ5" s="10">
        <v>1322</v>
      </c>
      <c r="CR5" s="156">
        <f t="shared" si="20"/>
        <v>0.41546197360150849</v>
      </c>
      <c r="CS5" s="10">
        <v>1717</v>
      </c>
      <c r="CU5" s="10">
        <v>1091</v>
      </c>
      <c r="CW5" s="10">
        <v>4964</v>
      </c>
      <c r="CY5" s="10">
        <v>1303</v>
      </c>
      <c r="DA5" s="10">
        <v>1522</v>
      </c>
      <c r="DC5" s="10">
        <v>7544</v>
      </c>
      <c r="DE5" s="10">
        <v>7644</v>
      </c>
      <c r="DF5" s="10" t="s">
        <v>1718</v>
      </c>
    </row>
    <row r="6" spans="1:110" s="10" customFormat="1" ht="15.75" customHeight="1" thickBot="1">
      <c r="A6" s="119">
        <v>7</v>
      </c>
      <c r="B6" s="120" t="s">
        <v>94</v>
      </c>
      <c r="C6" s="121" t="str">
        <f t="shared" ca="1" si="0"/>
        <v>{"mobile":"079 5454100","privateNumber":"079 5295411","email":"9728abc@gmail.com"}</v>
      </c>
      <c r="D6" s="13"/>
      <c r="E6" s="45" t="str">
        <f t="shared" ca="1" si="1"/>
        <v>{"mobile":"079 5454100","privateNumber":"079 5295411","email":"9728abc@gmail.com"}</v>
      </c>
      <c r="F6" s="146" t="s">
        <v>95</v>
      </c>
      <c r="G6" s="611" t="str">
        <f ca="1">"079 "&amp;RANDBETWEEN(5234500,5699999)</f>
        <v>079 5454100</v>
      </c>
      <c r="H6" s="611" t="s">
        <v>96</v>
      </c>
      <c r="I6" s="611" t="str">
        <f ca="1">"079 "&amp;RANDBETWEEN(5234500,5699999)</f>
        <v>079 5295411</v>
      </c>
      <c r="J6" s="611" t="s">
        <v>97</v>
      </c>
      <c r="K6" s="612" t="s">
        <v>319</v>
      </c>
      <c r="L6" s="611" t="s">
        <v>37</v>
      </c>
      <c r="M6" s="611"/>
      <c r="N6" s="611"/>
      <c r="O6" s="611"/>
      <c r="P6" s="611"/>
      <c r="Q6" s="611"/>
      <c r="R6" s="611"/>
      <c r="S6" s="611"/>
      <c r="T6" s="611"/>
      <c r="U6" s="611"/>
      <c r="V6" s="611"/>
      <c r="W6" s="611"/>
      <c r="X6" s="13"/>
      <c r="Y6" s="13"/>
      <c r="Z6" s="13"/>
      <c r="AA6" s="13"/>
      <c r="AB6" s="13"/>
      <c r="AC6" s="66"/>
      <c r="AD6" s="13"/>
      <c r="AE6" s="13"/>
      <c r="AF6" s="13"/>
      <c r="AG6" s="13"/>
      <c r="AH6" s="13"/>
      <c r="AI6" s="154">
        <v>2960</v>
      </c>
      <c r="AJ6" s="156">
        <f t="shared" ref="AJ6" si="23">AI6/($AI6)</f>
        <v>1</v>
      </c>
      <c r="AK6" s="154">
        <v>3220</v>
      </c>
      <c r="AL6" s="156">
        <f t="shared" si="3"/>
        <v>1.0878378378378379</v>
      </c>
      <c r="AM6" s="154">
        <v>4791</v>
      </c>
      <c r="AN6" s="156">
        <f t="shared" si="4"/>
        <v>1.618581081081081</v>
      </c>
      <c r="AO6" s="13">
        <v>3691</v>
      </c>
      <c r="AP6" s="156">
        <f t="shared" si="4"/>
        <v>1.2469594594594595</v>
      </c>
      <c r="AQ6" s="13">
        <v>3849</v>
      </c>
      <c r="AR6" s="156">
        <f t="shared" si="4"/>
        <v>1.3003378378378379</v>
      </c>
      <c r="AS6" s="13">
        <v>3715</v>
      </c>
      <c r="AT6" s="156">
        <f t="shared" si="4"/>
        <v>1.2550675675675675</v>
      </c>
      <c r="AU6" s="13">
        <v>4423</v>
      </c>
      <c r="AV6" s="156">
        <f t="shared" si="4"/>
        <v>1.4942567567567568</v>
      </c>
      <c r="AW6" s="13">
        <v>3089</v>
      </c>
      <c r="AX6" s="156">
        <f t="shared" si="5"/>
        <v>1.0435810810810811</v>
      </c>
      <c r="AY6" s="2">
        <v>3086</v>
      </c>
      <c r="AZ6" s="156">
        <f t="shared" si="5"/>
        <v>1.0425675675675676</v>
      </c>
      <c r="BA6" s="2">
        <v>2842</v>
      </c>
      <c r="BB6" s="156">
        <f t="shared" si="6"/>
        <v>0.96013513513513515</v>
      </c>
      <c r="BC6" s="2">
        <v>2821</v>
      </c>
      <c r="BD6" s="156">
        <f t="shared" si="6"/>
        <v>0.95304054054054055</v>
      </c>
      <c r="BE6" s="2">
        <v>2292</v>
      </c>
      <c r="BF6" s="156">
        <f t="shared" si="6"/>
        <v>0.7743243243243243</v>
      </c>
      <c r="BG6" s="10">
        <v>3266</v>
      </c>
      <c r="BH6" s="156">
        <f t="shared" si="6"/>
        <v>1.1033783783783784</v>
      </c>
      <c r="BI6" s="10">
        <v>3402</v>
      </c>
      <c r="BJ6" s="156">
        <f t="shared" si="6"/>
        <v>1.1493243243243243</v>
      </c>
      <c r="BK6" s="10">
        <v>3188</v>
      </c>
      <c r="BL6" s="156">
        <f t="shared" si="6"/>
        <v>1.077027027027027</v>
      </c>
      <c r="BM6" s="10">
        <v>3436</v>
      </c>
      <c r="BN6" s="156">
        <f t="shared" si="7"/>
        <v>1.1608108108108108</v>
      </c>
      <c r="BO6" s="10">
        <v>3036</v>
      </c>
      <c r="BP6" s="156">
        <f t="shared" si="8"/>
        <v>1.0256756756756757</v>
      </c>
      <c r="BQ6" s="10">
        <v>3259</v>
      </c>
      <c r="BR6" s="156">
        <f t="shared" si="9"/>
        <v>1.1010135135135135</v>
      </c>
      <c r="BS6" s="10">
        <v>3428</v>
      </c>
      <c r="BT6" s="156">
        <f t="shared" si="10"/>
        <v>1.1581081081081082</v>
      </c>
      <c r="BU6" s="10">
        <v>3215</v>
      </c>
      <c r="BV6" s="156">
        <f t="shared" si="11"/>
        <v>1.0861486486486487</v>
      </c>
      <c r="BW6" s="10">
        <v>3529</v>
      </c>
      <c r="BX6" s="156">
        <f t="shared" si="12"/>
        <v>1.1922297297297297</v>
      </c>
      <c r="BY6" s="10">
        <v>2773</v>
      </c>
      <c r="BZ6" s="156">
        <f t="shared" si="13"/>
        <v>0.93682432432432428</v>
      </c>
      <c r="CA6" s="10">
        <v>2850</v>
      </c>
      <c r="CB6" s="156">
        <f t="shared" si="14"/>
        <v>0.96283783783783783</v>
      </c>
      <c r="CC6" s="10">
        <v>2864</v>
      </c>
      <c r="CD6" s="156">
        <f t="shared" si="14"/>
        <v>0.96756756756756757</v>
      </c>
      <c r="CE6" s="10">
        <v>3047</v>
      </c>
      <c r="CF6" s="156">
        <f t="shared" si="15"/>
        <v>1.0293918918918918</v>
      </c>
      <c r="CG6" s="10">
        <v>2717</v>
      </c>
      <c r="CH6" s="156">
        <f t="shared" si="16"/>
        <v>0.91790540540540544</v>
      </c>
      <c r="CI6" s="10">
        <v>2990</v>
      </c>
      <c r="CJ6" s="156">
        <f t="shared" si="17"/>
        <v>1.0101351351351351</v>
      </c>
      <c r="CK6" s="10">
        <v>2791</v>
      </c>
      <c r="CL6" s="156">
        <f t="shared" si="18"/>
        <v>0.94290540540540535</v>
      </c>
      <c r="CM6" s="10">
        <v>2910</v>
      </c>
      <c r="CN6" s="156">
        <f t="shared" si="19"/>
        <v>0.98310810810810811</v>
      </c>
      <c r="CO6" s="10">
        <v>2811</v>
      </c>
      <c r="CP6" s="156">
        <f t="shared" si="20"/>
        <v>0.94966216216216215</v>
      </c>
      <c r="CQ6" s="10">
        <v>2862</v>
      </c>
      <c r="CR6" s="156">
        <f t="shared" si="20"/>
        <v>0.96689189189189184</v>
      </c>
      <c r="CS6" s="10">
        <v>2749</v>
      </c>
      <c r="CU6" s="10">
        <v>2581</v>
      </c>
      <c r="CW6" s="10">
        <v>7877</v>
      </c>
      <c r="CY6" s="10">
        <v>2651</v>
      </c>
      <c r="DA6" s="10">
        <v>2798</v>
      </c>
      <c r="DC6" s="10">
        <v>2595</v>
      </c>
      <c r="DE6" s="10">
        <v>3141</v>
      </c>
      <c r="DF6" s="10" t="s">
        <v>1718</v>
      </c>
    </row>
    <row r="7" spans="1:110" s="10" customFormat="1" ht="15.75" customHeight="1" thickBot="1">
      <c r="A7" s="119">
        <v>8</v>
      </c>
      <c r="B7" s="120" t="s">
        <v>99</v>
      </c>
      <c r="C7" s="121" t="str">
        <f t="shared" ca="1" si="0"/>
        <v>{"zusatz":"","strasse":"Strasse_526","houseNumber":"62","ort":"3053 Münchenbuchsee","validDate":"5.6.2021"}</v>
      </c>
      <c r="D7" s="13"/>
      <c r="E7" s="45" t="str">
        <f t="shared" ca="1" si="1"/>
        <v>{"zusatz":"","strasse":"Strasse_526","houseNumber":"62","ort":"3053 Münchenbuchsee","validDate":"5.6.2021"}</v>
      </c>
      <c r="F7" s="611" t="s">
        <v>100</v>
      </c>
      <c r="G7" s="611"/>
      <c r="H7" s="611" t="s">
        <v>101</v>
      </c>
      <c r="I7" s="611" t="str">
        <f ca="1">"Strasse_"&amp;RANDBETWEEN(1,1000)</f>
        <v>Strasse_526</v>
      </c>
      <c r="J7" s="611" t="s">
        <v>102</v>
      </c>
      <c r="K7" s="611">
        <f ca="1">RANDBETWEEN(1,100)</f>
        <v>62</v>
      </c>
      <c r="L7" s="611" t="s">
        <v>103</v>
      </c>
      <c r="M7" s="611" t="s">
        <v>104</v>
      </c>
      <c r="N7" s="611" t="s">
        <v>105</v>
      </c>
      <c r="O7" s="615" t="str">
        <f ca="1">TEXT(RANDBETWEEN(1,28)&amp;"."&amp;RANDBETWEEN(1,12)&amp;"."&amp;TEXT(TODAY()-4*365,"YYYY"),"DD.MM.YYYY")</f>
        <v>5.6.2021</v>
      </c>
      <c r="P7" s="611" t="s">
        <v>37</v>
      </c>
      <c r="Q7" s="611"/>
      <c r="R7" s="611"/>
      <c r="S7" s="611"/>
      <c r="T7" s="611"/>
      <c r="U7" s="611"/>
      <c r="V7" s="611"/>
      <c r="W7" s="611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54">
        <v>415</v>
      </c>
      <c r="AJ7" s="156">
        <f t="shared" ref="AJ7" si="24">AI7/($AI7)</f>
        <v>1</v>
      </c>
      <c r="AK7" s="154">
        <v>479</v>
      </c>
      <c r="AL7" s="156">
        <f t="shared" si="3"/>
        <v>1.1542168674698796</v>
      </c>
      <c r="AM7" s="154">
        <v>833</v>
      </c>
      <c r="AN7" s="156">
        <f t="shared" si="4"/>
        <v>2.0072289156626506</v>
      </c>
      <c r="AO7" s="13">
        <v>583</v>
      </c>
      <c r="AP7" s="156">
        <f t="shared" si="4"/>
        <v>1.4048192771084338</v>
      </c>
      <c r="AQ7" s="13">
        <v>582</v>
      </c>
      <c r="AR7" s="156">
        <f t="shared" si="4"/>
        <v>1.4024096385542169</v>
      </c>
      <c r="AS7" s="13">
        <v>574</v>
      </c>
      <c r="AT7" s="156">
        <f t="shared" si="4"/>
        <v>1.383132530120482</v>
      </c>
      <c r="AU7" s="13">
        <v>600</v>
      </c>
      <c r="AV7" s="156">
        <f t="shared" si="4"/>
        <v>1.4457831325301205</v>
      </c>
      <c r="AW7" s="13">
        <v>372</v>
      </c>
      <c r="AX7" s="156">
        <f t="shared" si="5"/>
        <v>0.89638554216867472</v>
      </c>
      <c r="AY7" s="2">
        <v>373</v>
      </c>
      <c r="AZ7" s="156">
        <f t="shared" si="5"/>
        <v>0.89879518072289155</v>
      </c>
      <c r="BA7" s="2">
        <v>237</v>
      </c>
      <c r="BB7" s="156">
        <f t="shared" si="6"/>
        <v>0.57108433734939756</v>
      </c>
      <c r="BC7" s="2">
        <v>263</v>
      </c>
      <c r="BD7" s="156">
        <f t="shared" si="6"/>
        <v>0.63373493975903616</v>
      </c>
      <c r="BE7" s="2">
        <v>229</v>
      </c>
      <c r="BF7" s="156">
        <f t="shared" si="6"/>
        <v>0.5518072289156627</v>
      </c>
      <c r="BG7" s="10">
        <v>329</v>
      </c>
      <c r="BH7" s="156">
        <f t="shared" si="6"/>
        <v>0.79277108433734944</v>
      </c>
      <c r="BI7" s="10">
        <v>369</v>
      </c>
      <c r="BJ7" s="156">
        <f t="shared" si="6"/>
        <v>0.88915662650602412</v>
      </c>
      <c r="BK7" s="10">
        <v>384</v>
      </c>
      <c r="BL7" s="156">
        <f t="shared" si="6"/>
        <v>0.92530120481927713</v>
      </c>
      <c r="BM7" s="10">
        <v>337</v>
      </c>
      <c r="BN7" s="156">
        <f t="shared" si="7"/>
        <v>0.81204819277108431</v>
      </c>
      <c r="BO7" s="10">
        <v>318</v>
      </c>
      <c r="BP7" s="156">
        <f t="shared" si="8"/>
        <v>0.76626506024096386</v>
      </c>
      <c r="BQ7" s="10">
        <v>391</v>
      </c>
      <c r="BR7" s="156">
        <f t="shared" si="9"/>
        <v>0.94216867469879517</v>
      </c>
      <c r="BS7" s="10">
        <v>391</v>
      </c>
      <c r="BT7" s="156">
        <f t="shared" si="10"/>
        <v>0.94216867469879517</v>
      </c>
      <c r="BU7" s="10">
        <v>372</v>
      </c>
      <c r="BV7" s="156">
        <f t="shared" si="11"/>
        <v>0.89638554216867472</v>
      </c>
      <c r="BW7" s="10">
        <v>435</v>
      </c>
      <c r="BX7" s="156">
        <f t="shared" si="12"/>
        <v>1.0481927710843373</v>
      </c>
      <c r="BY7" s="10">
        <v>355</v>
      </c>
      <c r="BZ7" s="156">
        <f t="shared" si="13"/>
        <v>0.85542168674698793</v>
      </c>
      <c r="CA7" s="10">
        <v>369</v>
      </c>
      <c r="CB7" s="156">
        <f t="shared" si="14"/>
        <v>0.88915662650602412</v>
      </c>
      <c r="CC7" s="10">
        <v>310</v>
      </c>
      <c r="CD7" s="156">
        <f t="shared" si="14"/>
        <v>0.74698795180722888</v>
      </c>
      <c r="CE7" s="10">
        <v>381</v>
      </c>
      <c r="CF7" s="156">
        <f t="shared" si="15"/>
        <v>0.91807228915662653</v>
      </c>
      <c r="CG7" s="10">
        <v>306</v>
      </c>
      <c r="CH7" s="156">
        <f t="shared" si="16"/>
        <v>0.73734939759036144</v>
      </c>
      <c r="CI7" s="10">
        <v>251</v>
      </c>
      <c r="CJ7" s="156">
        <f t="shared" si="17"/>
        <v>0.60481927710843375</v>
      </c>
      <c r="CK7" s="10">
        <v>213</v>
      </c>
      <c r="CL7" s="156">
        <f t="shared" si="18"/>
        <v>0.51325301204819274</v>
      </c>
      <c r="CM7" s="10">
        <v>352</v>
      </c>
      <c r="CN7" s="156">
        <f t="shared" si="19"/>
        <v>0.84819277108433733</v>
      </c>
      <c r="CO7" s="10">
        <v>220</v>
      </c>
      <c r="CP7" s="156">
        <f t="shared" si="20"/>
        <v>0.53012048192771088</v>
      </c>
      <c r="CQ7" s="10">
        <v>220</v>
      </c>
      <c r="CR7" s="156">
        <f t="shared" si="20"/>
        <v>0.53012048192771088</v>
      </c>
      <c r="CS7" s="10">
        <v>282</v>
      </c>
      <c r="CU7" s="10">
        <v>197</v>
      </c>
      <c r="CW7" s="10">
        <v>811</v>
      </c>
      <c r="CY7" s="10">
        <v>409</v>
      </c>
      <c r="DA7" s="10">
        <v>372</v>
      </c>
      <c r="DC7" s="10">
        <v>202</v>
      </c>
      <c r="DE7" s="10">
        <v>259</v>
      </c>
      <c r="DF7" s="10" t="s">
        <v>1718</v>
      </c>
    </row>
    <row r="8" spans="1:110" s="10" customFormat="1" ht="15.75" customHeight="1">
      <c r="A8" s="119">
        <v>9</v>
      </c>
      <c r="B8" s="120" t="s">
        <v>106</v>
      </c>
      <c r="C8" s="121" t="str">
        <f t="shared" si="0"/>
        <v>{"iban":p.IBAN3}</v>
      </c>
      <c r="D8" s="13"/>
      <c r="E8" s="45" t="str">
        <f t="shared" si="1"/>
        <v>{"iban":p.IBAN3}</v>
      </c>
      <c r="F8" s="146" t="s">
        <v>107</v>
      </c>
      <c r="G8" s="611" t="s">
        <v>320</v>
      </c>
      <c r="H8" s="611" t="s">
        <v>109</v>
      </c>
      <c r="I8" s="616"/>
      <c r="J8" s="611"/>
      <c r="K8" s="611"/>
      <c r="L8" s="611"/>
      <c r="M8" s="611"/>
      <c r="N8" s="611"/>
      <c r="O8" s="611"/>
      <c r="P8" s="611"/>
      <c r="Q8" s="611"/>
      <c r="R8" s="611"/>
      <c r="S8" s="611"/>
      <c r="T8" s="611"/>
      <c r="U8" s="611"/>
      <c r="V8" s="611"/>
      <c r="W8" s="611"/>
      <c r="X8" s="13"/>
      <c r="Y8" s="13"/>
      <c r="Z8" s="13"/>
      <c r="AA8" s="13"/>
      <c r="AB8" s="13"/>
      <c r="AC8" s="13"/>
      <c r="AD8" s="13"/>
      <c r="AE8" s="13"/>
      <c r="AF8" s="183"/>
      <c r="AG8" s="13"/>
      <c r="AH8" s="13"/>
      <c r="AI8" s="154">
        <v>5236</v>
      </c>
      <c r="AJ8" s="156">
        <f t="shared" ref="AJ8" si="25">AI8/($AI8)</f>
        <v>1</v>
      </c>
      <c r="AK8" s="154">
        <v>5291</v>
      </c>
      <c r="AL8" s="156">
        <f t="shared" si="3"/>
        <v>1.0105042016806722</v>
      </c>
      <c r="AM8" s="154">
        <v>6049</v>
      </c>
      <c r="AN8" s="156">
        <f t="shared" si="4"/>
        <v>1.1552711993888465</v>
      </c>
      <c r="AO8" s="13">
        <v>5562</v>
      </c>
      <c r="AP8" s="156">
        <f t="shared" si="4"/>
        <v>1.062261268143621</v>
      </c>
      <c r="AQ8" s="13">
        <v>5559</v>
      </c>
      <c r="AR8" s="156">
        <f t="shared" si="4"/>
        <v>1.0616883116883118</v>
      </c>
      <c r="AS8" s="13">
        <v>5580</v>
      </c>
      <c r="AT8" s="156">
        <f t="shared" si="4"/>
        <v>1.0656990068754775</v>
      </c>
      <c r="AU8" s="13">
        <v>5579</v>
      </c>
      <c r="AV8" s="156">
        <f t="shared" si="4"/>
        <v>1.0655080213903743</v>
      </c>
      <c r="AW8" s="13">
        <v>5195</v>
      </c>
      <c r="AX8" s="156">
        <f t="shared" si="5"/>
        <v>0.99216959511077163</v>
      </c>
      <c r="AY8" s="2">
        <v>5127</v>
      </c>
      <c r="AZ8" s="156">
        <f t="shared" si="5"/>
        <v>0.97918258212375864</v>
      </c>
      <c r="BA8" s="2">
        <v>4654</v>
      </c>
      <c r="BB8" s="156">
        <f t="shared" si="6"/>
        <v>0.88884644766997711</v>
      </c>
      <c r="BC8" s="2">
        <v>4718</v>
      </c>
      <c r="BD8" s="156">
        <f t="shared" si="6"/>
        <v>0.90106951871657759</v>
      </c>
      <c r="BE8" s="2">
        <v>4615</v>
      </c>
      <c r="BF8" s="156">
        <f t="shared" si="6"/>
        <v>0.88139801375095495</v>
      </c>
      <c r="BG8" s="10">
        <v>4988</v>
      </c>
      <c r="BH8" s="156">
        <f t="shared" si="6"/>
        <v>0.95263559969442324</v>
      </c>
      <c r="BI8" s="10">
        <v>5075</v>
      </c>
      <c r="BJ8" s="156">
        <f t="shared" si="6"/>
        <v>0.96925133689839571</v>
      </c>
      <c r="BK8" s="10">
        <v>5001</v>
      </c>
      <c r="BL8" s="156">
        <f t="shared" si="6"/>
        <v>0.95511841100076389</v>
      </c>
      <c r="BM8" s="10">
        <v>5201</v>
      </c>
      <c r="BN8" s="156">
        <f t="shared" si="7"/>
        <v>0.99331550802139035</v>
      </c>
      <c r="BO8" s="10">
        <v>5000</v>
      </c>
      <c r="BP8" s="156">
        <f t="shared" si="8"/>
        <v>0.95492742551566079</v>
      </c>
      <c r="BQ8" s="10">
        <v>5037</v>
      </c>
      <c r="BR8" s="156">
        <f t="shared" si="9"/>
        <v>0.96199388846447675</v>
      </c>
      <c r="BS8" s="10">
        <v>5146</v>
      </c>
      <c r="BT8" s="156">
        <f t="shared" si="10"/>
        <v>0.98281130634071812</v>
      </c>
      <c r="BU8" s="10">
        <v>5314</v>
      </c>
      <c r="BV8" s="156">
        <f t="shared" si="11"/>
        <v>1.0148968678380443</v>
      </c>
      <c r="BW8" s="10">
        <v>4892</v>
      </c>
      <c r="BX8" s="156">
        <f t="shared" si="12"/>
        <v>0.93430099312452253</v>
      </c>
      <c r="BY8" s="10">
        <v>5010</v>
      </c>
      <c r="BZ8" s="156">
        <f t="shared" si="13"/>
        <v>0.95683728036669213</v>
      </c>
      <c r="CA8" s="10">
        <v>4918</v>
      </c>
      <c r="CB8" s="156">
        <f t="shared" si="14"/>
        <v>0.93926661573720394</v>
      </c>
      <c r="CC8" s="10">
        <v>4956</v>
      </c>
      <c r="CD8" s="156">
        <f t="shared" si="14"/>
        <v>0.946524064171123</v>
      </c>
      <c r="CE8" s="10">
        <v>5035</v>
      </c>
      <c r="CF8" s="156">
        <f t="shared" si="15"/>
        <v>0.96161191749427044</v>
      </c>
      <c r="CG8" s="10">
        <v>4909</v>
      </c>
      <c r="CH8" s="156">
        <f t="shared" si="16"/>
        <v>0.9375477463712758</v>
      </c>
      <c r="CI8" s="10">
        <v>4862</v>
      </c>
      <c r="CJ8" s="156">
        <f t="shared" si="17"/>
        <v>0.9285714285714286</v>
      </c>
      <c r="CK8" s="10">
        <v>4817</v>
      </c>
      <c r="CL8" s="156">
        <f t="shared" si="18"/>
        <v>0.91997708174178761</v>
      </c>
      <c r="CM8" s="10">
        <v>4954</v>
      </c>
      <c r="CN8" s="156">
        <f t="shared" si="19"/>
        <v>0.94614209320091669</v>
      </c>
      <c r="CO8" s="10">
        <v>4805</v>
      </c>
      <c r="CP8" s="156">
        <f t="shared" si="20"/>
        <v>0.91768525592055006</v>
      </c>
      <c r="CQ8" s="10">
        <v>4766</v>
      </c>
      <c r="CR8" s="156">
        <f t="shared" si="20"/>
        <v>0.91023682200152789</v>
      </c>
      <c r="CS8" s="10">
        <v>2058</v>
      </c>
      <c r="CU8" s="10">
        <v>1242</v>
      </c>
      <c r="CW8" s="10">
        <v>4302</v>
      </c>
      <c r="CY8" s="10">
        <v>1836</v>
      </c>
      <c r="DA8" s="10">
        <v>1711</v>
      </c>
      <c r="DC8" s="10">
        <v>1715</v>
      </c>
      <c r="DE8" s="10">
        <v>3032</v>
      </c>
      <c r="DF8" s="10" t="s">
        <v>1718</v>
      </c>
    </row>
    <row r="9" spans="1:110" s="10" customFormat="1" ht="15.75" customHeight="1">
      <c r="A9" s="119">
        <v>10</v>
      </c>
      <c r="B9" s="120" t="s">
        <v>110</v>
      </c>
      <c r="C9" s="121"/>
      <c r="D9" s="13"/>
      <c r="E9" s="45"/>
      <c r="F9" s="611"/>
      <c r="G9" s="611"/>
      <c r="H9" s="611"/>
      <c r="I9" s="611"/>
      <c r="J9" s="611"/>
      <c r="K9" s="611"/>
      <c r="L9" s="611"/>
      <c r="M9" s="611"/>
      <c r="N9" s="611"/>
      <c r="O9" s="611"/>
      <c r="P9" s="611"/>
      <c r="Q9" s="611"/>
      <c r="R9" s="611"/>
      <c r="S9" s="611"/>
      <c r="T9" s="611"/>
      <c r="U9" s="611"/>
      <c r="V9" s="611"/>
      <c r="W9" s="611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54">
        <v>2129</v>
      </c>
      <c r="AJ9" s="156">
        <f t="shared" ref="AJ9" si="26">AI9/($AI9)</f>
        <v>1</v>
      </c>
      <c r="AK9" s="154">
        <v>2116</v>
      </c>
      <c r="AL9" s="156">
        <f t="shared" si="3"/>
        <v>0.99389384687646787</v>
      </c>
      <c r="AM9" s="154">
        <v>2283</v>
      </c>
      <c r="AN9" s="156">
        <f t="shared" si="4"/>
        <v>1.0723344293095349</v>
      </c>
      <c r="AO9" s="13">
        <v>2201</v>
      </c>
      <c r="AP9" s="156">
        <f t="shared" si="4"/>
        <v>1.0338186942226397</v>
      </c>
      <c r="AQ9" s="13">
        <v>2198</v>
      </c>
      <c r="AR9" s="156">
        <f t="shared" si="4"/>
        <v>1.0324095819633632</v>
      </c>
      <c r="AS9" s="13">
        <v>2212</v>
      </c>
      <c r="AT9" s="156">
        <f t="shared" si="4"/>
        <v>1.0389854391733209</v>
      </c>
      <c r="AU9" s="13">
        <v>2189</v>
      </c>
      <c r="AV9" s="156">
        <f t="shared" si="4"/>
        <v>1.0281822451855331</v>
      </c>
      <c r="AW9" s="13">
        <v>2113</v>
      </c>
      <c r="AX9" s="156">
        <f t="shared" si="5"/>
        <v>0.99248473461719122</v>
      </c>
      <c r="AY9" s="2">
        <v>2084</v>
      </c>
      <c r="AZ9" s="156">
        <f t="shared" si="5"/>
        <v>0.9788633161108502</v>
      </c>
      <c r="BA9" s="2">
        <v>74</v>
      </c>
      <c r="BB9" s="156">
        <f t="shared" si="6"/>
        <v>3.4758102395490841E-2</v>
      </c>
      <c r="BC9" s="2">
        <v>68</v>
      </c>
      <c r="BD9" s="156">
        <f t="shared" si="6"/>
        <v>3.1939877876937528E-2</v>
      </c>
      <c r="BE9" s="2">
        <v>123</v>
      </c>
      <c r="BF9" s="156">
        <f t="shared" si="6"/>
        <v>5.7773602630342882E-2</v>
      </c>
      <c r="BG9" s="10">
        <v>89</v>
      </c>
      <c r="BH9" s="156">
        <f t="shared" si="6"/>
        <v>4.1803663691874118E-2</v>
      </c>
      <c r="BI9" s="10">
        <v>94</v>
      </c>
      <c r="BJ9" s="156">
        <f t="shared" si="6"/>
        <v>4.4152184124001882E-2</v>
      </c>
      <c r="BK9" s="10">
        <v>108</v>
      </c>
      <c r="BL9" s="156">
        <f t="shared" si="6"/>
        <v>5.0728041333959605E-2</v>
      </c>
      <c r="BM9" s="10">
        <v>108</v>
      </c>
      <c r="BN9" s="156">
        <f t="shared" si="7"/>
        <v>5.0728041333959605E-2</v>
      </c>
      <c r="BO9" s="10">
        <v>97</v>
      </c>
      <c r="BP9" s="156">
        <f t="shared" si="8"/>
        <v>4.5561296383278535E-2</v>
      </c>
      <c r="BQ9" s="10">
        <v>75</v>
      </c>
      <c r="BR9" s="156">
        <f t="shared" si="9"/>
        <v>3.5227806481916396E-2</v>
      </c>
      <c r="BS9" s="10">
        <v>91</v>
      </c>
      <c r="BT9" s="156">
        <f t="shared" si="10"/>
        <v>4.2743071864725223E-2</v>
      </c>
      <c r="BU9" s="10">
        <v>99</v>
      </c>
      <c r="BV9" s="156">
        <f t="shared" si="11"/>
        <v>4.6500704556129639E-2</v>
      </c>
      <c r="BW9" s="10">
        <v>93</v>
      </c>
      <c r="BX9" s="156">
        <f t="shared" si="12"/>
        <v>4.3682480037576327E-2</v>
      </c>
      <c r="BY9" s="10">
        <v>91</v>
      </c>
      <c r="BZ9" s="156">
        <f t="shared" si="13"/>
        <v>4.2743071864725223E-2</v>
      </c>
      <c r="CA9" s="10">
        <v>90</v>
      </c>
      <c r="CB9" s="156">
        <f t="shared" si="14"/>
        <v>4.2273367778299674E-2</v>
      </c>
      <c r="CC9" s="10">
        <v>75</v>
      </c>
      <c r="CD9" s="156">
        <f t="shared" si="14"/>
        <v>3.5227806481916396E-2</v>
      </c>
      <c r="CE9" s="10">
        <v>95</v>
      </c>
      <c r="CF9" s="156">
        <f t="shared" si="15"/>
        <v>4.4621888210427431E-2</v>
      </c>
      <c r="CG9" s="10">
        <v>75</v>
      </c>
      <c r="CH9" s="156">
        <f t="shared" si="16"/>
        <v>3.5227806481916396E-2</v>
      </c>
      <c r="CI9" s="10">
        <v>64</v>
      </c>
      <c r="CJ9" s="156">
        <f t="shared" si="17"/>
        <v>3.0061061531235323E-2</v>
      </c>
      <c r="CK9" s="10">
        <v>67</v>
      </c>
      <c r="CL9" s="156">
        <f t="shared" si="18"/>
        <v>3.1470173790511979E-2</v>
      </c>
      <c r="CM9" s="10">
        <v>127</v>
      </c>
      <c r="CN9" s="156">
        <f t="shared" si="19"/>
        <v>5.9652418976045091E-2</v>
      </c>
      <c r="CO9" s="10">
        <v>48</v>
      </c>
      <c r="CP9" s="156">
        <f t="shared" si="20"/>
        <v>2.254579614842649E-2</v>
      </c>
      <c r="CQ9" s="10">
        <v>56</v>
      </c>
      <c r="CR9" s="156">
        <f t="shared" si="20"/>
        <v>2.6303428839830906E-2</v>
      </c>
      <c r="CS9" s="10">
        <v>95</v>
      </c>
      <c r="CU9" s="10">
        <v>99</v>
      </c>
      <c r="CW9" s="10">
        <v>416</v>
      </c>
      <c r="CY9" s="10">
        <v>162</v>
      </c>
      <c r="DA9" s="10">
        <v>127</v>
      </c>
      <c r="DC9" s="10">
        <v>83</v>
      </c>
      <c r="DE9" s="10">
        <v>195</v>
      </c>
      <c r="DF9" s="10" t="s">
        <v>1718</v>
      </c>
    </row>
    <row r="10" spans="1:110" s="10" customFormat="1" ht="15.75" customHeight="1" thickBot="1">
      <c r="A10" s="119">
        <v>11</v>
      </c>
      <c r="B10" s="120" t="s">
        <v>111</v>
      </c>
      <c r="C10" s="121" t="str">
        <f t="shared" ref="C10:C25" si="27">E10</f>
        <v>{"zust_Gemeinde":"Münchenbuchsee","zust_SozTeam":"Sozialarbeit Bern 1","zust_SozMitarbeiter":"Bern Sozialarbeiterin 1A","zust_SachbTeam":"Sachbearbeitung Bern","zust_SachbMitarbeiter":"Bern Sachbearbeiterin"}</v>
      </c>
      <c r="D10" s="13"/>
      <c r="E10" s="13" t="str">
        <f t="shared" ref="E10:E25" si="28">F10&amp;G10&amp;H10&amp;I10&amp;J10&amp;K10&amp;L10&amp;M10&amp;N10&amp;O10&amp;P10&amp;Q10&amp;R10&amp;S10&amp;T10&amp;U10&amp;V10&amp;W10&amp;X10</f>
        <v>{"zust_Gemeinde":"Münchenbuchsee","zust_SozTeam":"Sozialarbeit Bern 1","zust_SozMitarbeiter":"Bern Sozialarbeiterin 1A","zust_SachbTeam":"Sachbearbeitung Bern","zust_SachbMitarbeiter":"Bern Sachbearbeiterin"}</v>
      </c>
      <c r="F10" s="611" t="s">
        <v>112</v>
      </c>
      <c r="G10" s="611" t="s">
        <v>113</v>
      </c>
      <c r="H10" s="611" t="s">
        <v>114</v>
      </c>
      <c r="I10" s="611" t="s">
        <v>76</v>
      </c>
      <c r="J10" s="611" t="s">
        <v>115</v>
      </c>
      <c r="K10" s="611" t="s">
        <v>116</v>
      </c>
      <c r="L10" s="611" t="s">
        <v>117</v>
      </c>
      <c r="M10" s="611" t="s">
        <v>118</v>
      </c>
      <c r="N10" s="611" t="s">
        <v>119</v>
      </c>
      <c r="O10" s="611" t="s">
        <v>120</v>
      </c>
      <c r="P10" s="611" t="s">
        <v>37</v>
      </c>
      <c r="Q10" s="611"/>
      <c r="R10" s="611"/>
      <c r="S10" s="611"/>
      <c r="T10" s="611"/>
      <c r="U10" s="611"/>
      <c r="V10" s="611"/>
      <c r="W10" s="611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54">
        <v>237</v>
      </c>
      <c r="AJ10" s="156">
        <f t="shared" ref="AJ10" si="29">AI10/($AI10)</f>
        <v>1</v>
      </c>
      <c r="AK10" s="154">
        <v>232</v>
      </c>
      <c r="AL10" s="156">
        <f t="shared" si="3"/>
        <v>0.97890295358649793</v>
      </c>
      <c r="AM10" s="154">
        <v>543</v>
      </c>
      <c r="AN10" s="156">
        <f t="shared" si="4"/>
        <v>2.2911392405063293</v>
      </c>
      <c r="AO10" s="13">
        <v>334</v>
      </c>
      <c r="AP10" s="156">
        <f t="shared" si="4"/>
        <v>1.409282700421941</v>
      </c>
      <c r="AQ10" s="13">
        <v>353</v>
      </c>
      <c r="AR10" s="156">
        <f t="shared" si="4"/>
        <v>1.489451476793249</v>
      </c>
      <c r="AS10" s="13">
        <v>333</v>
      </c>
      <c r="AT10" s="156">
        <f t="shared" si="4"/>
        <v>1.4050632911392404</v>
      </c>
      <c r="AU10" s="13">
        <v>324</v>
      </c>
      <c r="AV10" s="156">
        <f t="shared" si="4"/>
        <v>1.3670886075949367</v>
      </c>
      <c r="AW10" s="13">
        <v>147</v>
      </c>
      <c r="AX10" s="156">
        <f t="shared" si="5"/>
        <v>0.620253164556962</v>
      </c>
      <c r="AY10" s="2">
        <v>158</v>
      </c>
      <c r="AZ10" s="156">
        <f t="shared" si="5"/>
        <v>0.66666666666666663</v>
      </c>
      <c r="BA10" s="2">
        <v>1166</v>
      </c>
      <c r="BB10" s="156">
        <f t="shared" si="6"/>
        <v>4.9198312236286919</v>
      </c>
      <c r="BC10" s="2">
        <v>1185</v>
      </c>
      <c r="BD10" s="156">
        <f t="shared" si="6"/>
        <v>5</v>
      </c>
      <c r="BE10" s="2">
        <v>1218</v>
      </c>
      <c r="BF10" s="156">
        <f t="shared" si="6"/>
        <v>5.1392405063291138</v>
      </c>
      <c r="BG10" s="10">
        <v>1192</v>
      </c>
      <c r="BH10" s="156">
        <f t="shared" si="6"/>
        <v>5.0295358649789028</v>
      </c>
      <c r="BI10" s="10">
        <v>1199</v>
      </c>
      <c r="BJ10" s="156">
        <f t="shared" si="6"/>
        <v>5.0590717299578056</v>
      </c>
      <c r="BK10" s="10">
        <v>1267</v>
      </c>
      <c r="BL10" s="156">
        <f t="shared" si="6"/>
        <v>5.3459915611814344</v>
      </c>
      <c r="BM10" s="10">
        <v>1254</v>
      </c>
      <c r="BN10" s="156">
        <f t="shared" si="7"/>
        <v>5.2911392405063289</v>
      </c>
      <c r="BO10" s="10">
        <v>1226</v>
      </c>
      <c r="BP10" s="156">
        <f t="shared" si="8"/>
        <v>5.1729957805907176</v>
      </c>
      <c r="BQ10" s="10">
        <v>1198</v>
      </c>
      <c r="BR10" s="156">
        <f t="shared" si="9"/>
        <v>5.0548523206751055</v>
      </c>
      <c r="BS10" s="10">
        <v>1205</v>
      </c>
      <c r="BT10" s="156">
        <f t="shared" si="10"/>
        <v>5.0843881856540083</v>
      </c>
      <c r="BU10" s="10">
        <v>1247</v>
      </c>
      <c r="BV10" s="156">
        <f t="shared" si="11"/>
        <v>5.2616033755274261</v>
      </c>
      <c r="BW10" s="10">
        <v>1255</v>
      </c>
      <c r="BX10" s="156">
        <f t="shared" si="12"/>
        <v>5.2953586497890299</v>
      </c>
      <c r="BY10" s="10">
        <v>1167</v>
      </c>
      <c r="BZ10" s="156">
        <f t="shared" si="13"/>
        <v>4.924050632911392</v>
      </c>
      <c r="CA10" s="10">
        <v>1168</v>
      </c>
      <c r="CB10" s="156">
        <f t="shared" si="14"/>
        <v>4.928270042194093</v>
      </c>
      <c r="CC10" s="10">
        <v>1174</v>
      </c>
      <c r="CD10" s="156">
        <f t="shared" si="14"/>
        <v>4.9535864978902957</v>
      </c>
      <c r="CE10" s="10">
        <v>1220</v>
      </c>
      <c r="CF10" s="156">
        <f t="shared" si="15"/>
        <v>5.147679324894515</v>
      </c>
      <c r="CG10" s="10">
        <v>1187</v>
      </c>
      <c r="CH10" s="156">
        <f t="shared" si="16"/>
        <v>5.0084388185654012</v>
      </c>
      <c r="CI10" s="10">
        <v>1209</v>
      </c>
      <c r="CJ10" s="156">
        <f t="shared" si="17"/>
        <v>5.1012658227848098</v>
      </c>
      <c r="CK10" s="10">
        <v>1364</v>
      </c>
      <c r="CL10" s="156">
        <f t="shared" si="18"/>
        <v>5.7552742616033754</v>
      </c>
      <c r="CM10" s="10">
        <v>1237</v>
      </c>
      <c r="CN10" s="156">
        <f t="shared" si="19"/>
        <v>5.2194092827004219</v>
      </c>
      <c r="CO10" s="10">
        <v>1159</v>
      </c>
      <c r="CP10" s="156">
        <f t="shared" si="20"/>
        <v>4.890295358649789</v>
      </c>
      <c r="CQ10" s="10">
        <v>1176</v>
      </c>
      <c r="CR10" s="156">
        <f t="shared" si="20"/>
        <v>4.962025316455696</v>
      </c>
      <c r="CS10" s="10">
        <v>1431</v>
      </c>
      <c r="CU10" s="10">
        <v>1180</v>
      </c>
      <c r="CW10" s="10">
        <v>3812</v>
      </c>
      <c r="CY10" s="10">
        <v>1266</v>
      </c>
      <c r="DA10" s="10">
        <v>1280</v>
      </c>
      <c r="DC10" s="10">
        <v>1248</v>
      </c>
      <c r="DE10" s="10">
        <v>1411</v>
      </c>
      <c r="DF10" s="10" t="s">
        <v>1718</v>
      </c>
    </row>
    <row r="11" spans="1:110" s="10" customFormat="1" ht="15.75" customHeight="1" thickBot="1">
      <c r="A11" s="119">
        <v>12</v>
      </c>
      <c r="B11" s="120" t="s">
        <v>122</v>
      </c>
      <c r="C11" s="121" t="str">
        <f t="shared" ca="1" si="27"/>
        <v>{"dossierBezeichnung":p.DossierName3,"eroeffnetAm":"04.11.2025","dossierSprache":"Deutsch"}</v>
      </c>
      <c r="D11" s="13"/>
      <c r="E11" s="45" t="str">
        <f t="shared" ca="1" si="28"/>
        <v>{"dossierBezeichnung":p.DossierName3,"eroeffnetAm":"04.11.2025","dossierSprache":"Deutsch"}</v>
      </c>
      <c r="F11" s="611" t="s">
        <v>123</v>
      </c>
      <c r="G11" s="375" t="str">
        <f>G$61</f>
        <v>p.DossierName3</v>
      </c>
      <c r="H11" s="611" t="s">
        <v>124</v>
      </c>
      <c r="I11" s="615" t="str">
        <f ca="1">TEXT(TEXT(TODAY(),"DD")&amp;"."&amp;TEXT(TODAY(),"MM")&amp;"."&amp;TEXT(TODAY(),"YYYY"),"DD.MM.YYYY")</f>
        <v>04.11.2025</v>
      </c>
      <c r="J11" s="611" t="s">
        <v>125</v>
      </c>
      <c r="K11" s="611" t="s">
        <v>85</v>
      </c>
      <c r="L11" s="611" t="s">
        <v>37</v>
      </c>
      <c r="M11" s="611"/>
      <c r="N11" s="611"/>
      <c r="O11" s="611"/>
      <c r="P11" s="611"/>
      <c r="Q11" s="611"/>
      <c r="R11" s="611"/>
      <c r="S11" s="611"/>
      <c r="T11" s="611"/>
      <c r="U11" s="611"/>
      <c r="V11" s="611"/>
      <c r="W11" s="611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54">
        <v>3909</v>
      </c>
      <c r="AJ11" s="156">
        <f t="shared" ref="AJ11" si="30">AI11/($AI11)</f>
        <v>1</v>
      </c>
      <c r="AK11" s="154">
        <v>3523</v>
      </c>
      <c r="AL11" s="156">
        <f t="shared" si="3"/>
        <v>0.90125351752366334</v>
      </c>
      <c r="AM11" s="154">
        <v>4152</v>
      </c>
      <c r="AN11" s="156">
        <f t="shared" si="4"/>
        <v>1.0621642363775903</v>
      </c>
      <c r="AO11" s="13">
        <v>3453</v>
      </c>
      <c r="AP11" s="156">
        <f t="shared" si="4"/>
        <v>0.8833461243284727</v>
      </c>
      <c r="AQ11" s="13">
        <v>3422</v>
      </c>
      <c r="AR11" s="156">
        <f t="shared" si="4"/>
        <v>0.87541570734203122</v>
      </c>
      <c r="AS11" s="13">
        <v>3477</v>
      </c>
      <c r="AT11" s="156">
        <f t="shared" si="4"/>
        <v>0.88948580199539529</v>
      </c>
      <c r="AU11" s="13">
        <v>3442</v>
      </c>
      <c r="AV11" s="156">
        <f t="shared" si="4"/>
        <v>0.88053210539779991</v>
      </c>
      <c r="AW11" s="13">
        <v>4013</v>
      </c>
      <c r="AX11" s="156">
        <f t="shared" si="5"/>
        <v>1.0266052698899975</v>
      </c>
      <c r="AY11" s="2">
        <v>4001</v>
      </c>
      <c r="AZ11" s="156">
        <f t="shared" si="5"/>
        <v>1.0235354310565361</v>
      </c>
      <c r="BA11" s="2">
        <v>4051</v>
      </c>
      <c r="BB11" s="156">
        <f t="shared" si="6"/>
        <v>1.0363264261959579</v>
      </c>
      <c r="BC11" s="2">
        <v>3963</v>
      </c>
      <c r="BD11" s="156">
        <f t="shared" si="6"/>
        <v>1.0138142747505756</v>
      </c>
      <c r="BE11" s="2">
        <v>3762</v>
      </c>
      <c r="BF11" s="156">
        <f t="shared" si="6"/>
        <v>0.96239447429009972</v>
      </c>
      <c r="BG11" s="10">
        <v>4196</v>
      </c>
      <c r="BH11" s="156">
        <f t="shared" si="6"/>
        <v>1.0734203121002814</v>
      </c>
      <c r="BI11" s="10">
        <v>4106</v>
      </c>
      <c r="BJ11" s="156">
        <f t="shared" si="6"/>
        <v>1.050396520849322</v>
      </c>
      <c r="BK11" s="10">
        <v>4099</v>
      </c>
      <c r="BL11" s="156">
        <f t="shared" si="6"/>
        <v>1.0486057815298031</v>
      </c>
      <c r="BM11" s="10">
        <v>4144</v>
      </c>
      <c r="BN11" s="156">
        <f t="shared" si="7"/>
        <v>1.0601176771552827</v>
      </c>
      <c r="BO11" s="10">
        <v>4218</v>
      </c>
      <c r="BP11" s="156">
        <f t="shared" si="8"/>
        <v>1.079048349961627</v>
      </c>
      <c r="BQ11" s="10">
        <v>3930</v>
      </c>
      <c r="BR11" s="156">
        <f t="shared" si="9"/>
        <v>1.0053722179585571</v>
      </c>
      <c r="BS11" s="10">
        <v>4249</v>
      </c>
      <c r="BT11" s="156">
        <f t="shared" si="10"/>
        <v>1.0869787669480686</v>
      </c>
      <c r="BU11" s="10">
        <v>3839</v>
      </c>
      <c r="BV11" s="156">
        <f t="shared" si="11"/>
        <v>0.98209260680480936</v>
      </c>
      <c r="BW11" s="10">
        <v>4041</v>
      </c>
      <c r="BX11" s="156">
        <f t="shared" si="12"/>
        <v>1.0337682271680737</v>
      </c>
      <c r="BY11" s="10">
        <v>4213</v>
      </c>
      <c r="BZ11" s="156">
        <f t="shared" si="13"/>
        <v>1.0777692504476848</v>
      </c>
      <c r="CA11" s="10">
        <v>4048</v>
      </c>
      <c r="CB11" s="156">
        <f t="shared" si="14"/>
        <v>1.0355589664875928</v>
      </c>
      <c r="CC11" s="10">
        <v>4265</v>
      </c>
      <c r="CD11" s="156">
        <f t="shared" si="14"/>
        <v>1.0910718853926835</v>
      </c>
      <c r="CE11" s="10">
        <v>3663</v>
      </c>
      <c r="CF11" s="156">
        <f t="shared" si="15"/>
        <v>0.9370683039140445</v>
      </c>
      <c r="CG11" s="10">
        <v>4065</v>
      </c>
      <c r="CH11" s="156">
        <f t="shared" si="16"/>
        <v>1.0399079048349962</v>
      </c>
      <c r="CI11" s="10">
        <v>4191</v>
      </c>
      <c r="CJ11" s="156">
        <f t="shared" si="17"/>
        <v>1.0721412125863392</v>
      </c>
      <c r="CK11" s="10">
        <v>4198</v>
      </c>
      <c r="CL11" s="156">
        <f t="shared" si="18"/>
        <v>1.0739319519058583</v>
      </c>
      <c r="CM11" s="10">
        <v>4258</v>
      </c>
      <c r="CN11" s="156">
        <f t="shared" si="19"/>
        <v>1.0892811460731644</v>
      </c>
      <c r="CO11" s="10">
        <v>4181</v>
      </c>
      <c r="CP11" s="156">
        <f t="shared" si="20"/>
        <v>1.0695830135584548</v>
      </c>
      <c r="CQ11" s="10">
        <v>4154</v>
      </c>
      <c r="CR11" s="156">
        <f t="shared" si="20"/>
        <v>1.0626758761831669</v>
      </c>
      <c r="CS11" s="10">
        <v>4139</v>
      </c>
      <c r="CU11" s="10">
        <v>4192</v>
      </c>
      <c r="CW11" s="10">
        <v>4156</v>
      </c>
      <c r="CY11" s="10">
        <v>4180</v>
      </c>
      <c r="DA11" s="10">
        <v>3992</v>
      </c>
      <c r="DC11" s="10">
        <v>3925</v>
      </c>
      <c r="DE11" s="10">
        <v>4161</v>
      </c>
      <c r="DF11" s="10" t="s">
        <v>1718</v>
      </c>
    </row>
    <row r="12" spans="1:110" s="10" customFormat="1" ht="15.75" customHeight="1">
      <c r="A12" s="119">
        <v>13</v>
      </c>
      <c r="B12" s="120" t="s">
        <v>127</v>
      </c>
      <c r="C12" s="121" t="str">
        <f>E12</f>
        <v>{"dossierInstitution":p.DossierName3,"klientschaft":`${p.FamilyName3}, ${p.ManFirstName3}`,"buttonBewilligung":"Anfragen","checkStatus":"In Bearbeitung"}</v>
      </c>
      <c r="D12" s="76"/>
      <c r="E12" s="77" t="str">
        <f>F12&amp;G12&amp;H12&amp;I12&amp;J12&amp;K12&amp;L12&amp;M12&amp;N12&amp;O12&amp;P12&amp;Q12&amp;R12&amp;S12&amp;T12&amp;U12&amp;V12&amp;W12&amp;X12</f>
        <v>{"dossierInstitution":p.DossierName3,"klientschaft":`${p.FamilyName3}, ${p.ManFirstName3}`,"buttonBewilligung":"Anfragen","checkStatus":"In Bearbeitung"}</v>
      </c>
      <c r="F12" s="611" t="s">
        <v>128</v>
      </c>
      <c r="G12" s="611" t="str">
        <f>G11</f>
        <v>p.DossierName3</v>
      </c>
      <c r="H12" s="611" t="s">
        <v>129</v>
      </c>
      <c r="I12" s="609" t="str">
        <f>I23</f>
        <v>${p.FamilyName3}, ${p.ManFirstName3}</v>
      </c>
      <c r="J12" s="611" t="s">
        <v>130</v>
      </c>
      <c r="K12" s="614" t="s">
        <v>131</v>
      </c>
      <c r="L12" s="611" t="s">
        <v>132</v>
      </c>
      <c r="M12" s="611" t="s">
        <v>133</v>
      </c>
      <c r="N12" s="611" t="s">
        <v>37</v>
      </c>
      <c r="O12" s="611"/>
      <c r="P12" s="611"/>
      <c r="Q12" s="611"/>
      <c r="R12" s="611"/>
      <c r="S12" s="611"/>
      <c r="T12" s="611"/>
      <c r="U12" s="611"/>
      <c r="V12" s="611"/>
      <c r="W12" s="611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170">
        <v>2013</v>
      </c>
      <c r="AJ12" s="156">
        <f t="shared" ref="AJ12" si="31">AI12/($AI12)</f>
        <v>1</v>
      </c>
      <c r="AK12" s="170">
        <v>2007</v>
      </c>
      <c r="AL12" s="156">
        <f t="shared" si="3"/>
        <v>0.99701937406855434</v>
      </c>
      <c r="AM12" s="170">
        <v>2008</v>
      </c>
      <c r="AN12" s="156">
        <f t="shared" si="4"/>
        <v>0.99751614505712871</v>
      </c>
      <c r="AO12" s="76">
        <v>2003</v>
      </c>
      <c r="AP12" s="156">
        <f t="shared" si="4"/>
        <v>0.99503229011425731</v>
      </c>
      <c r="AQ12" s="76">
        <v>2019</v>
      </c>
      <c r="AR12" s="156">
        <f t="shared" si="4"/>
        <v>1.0029806259314455</v>
      </c>
      <c r="AS12" s="76">
        <v>2011</v>
      </c>
      <c r="AT12" s="156">
        <f t="shared" si="4"/>
        <v>0.99900645802285148</v>
      </c>
      <c r="AU12" s="76">
        <v>2019</v>
      </c>
      <c r="AV12" s="156">
        <f t="shared" si="4"/>
        <v>1.0029806259314455</v>
      </c>
      <c r="AW12" s="76">
        <v>2018</v>
      </c>
      <c r="AX12" s="156">
        <f t="shared" si="5"/>
        <v>1.0024838549428714</v>
      </c>
      <c r="AY12" s="2">
        <v>2016</v>
      </c>
      <c r="AZ12" s="156">
        <f t="shared" si="5"/>
        <v>1.0014903129657229</v>
      </c>
      <c r="BA12" s="2">
        <v>936</v>
      </c>
      <c r="BB12" s="156">
        <f t="shared" si="6"/>
        <v>0.46497764530551416</v>
      </c>
      <c r="BC12" s="2">
        <v>1036</v>
      </c>
      <c r="BD12" s="156">
        <f t="shared" si="6"/>
        <v>0.51465474416294088</v>
      </c>
      <c r="BE12" s="2">
        <v>1055</v>
      </c>
      <c r="BF12" s="156">
        <f t="shared" si="6"/>
        <v>0.524093392945852</v>
      </c>
      <c r="BG12" s="10">
        <v>972</v>
      </c>
      <c r="BH12" s="156">
        <f t="shared" si="6"/>
        <v>0.48286140089418778</v>
      </c>
      <c r="BI12" s="10">
        <v>1049</v>
      </c>
      <c r="BJ12" s="156">
        <f t="shared" si="6"/>
        <v>0.52111276701440634</v>
      </c>
      <c r="BK12" s="10">
        <v>979</v>
      </c>
      <c r="BL12" s="156">
        <f t="shared" si="6"/>
        <v>0.48633879781420764</v>
      </c>
      <c r="BM12" s="10">
        <v>1492</v>
      </c>
      <c r="BN12" s="156">
        <f t="shared" si="7"/>
        <v>0.74118231495280673</v>
      </c>
      <c r="BO12" s="10">
        <v>974</v>
      </c>
      <c r="BP12" s="156">
        <f t="shared" si="8"/>
        <v>0.48385494287133629</v>
      </c>
      <c r="BQ12" s="10">
        <v>1031</v>
      </c>
      <c r="BR12" s="156">
        <f t="shared" si="9"/>
        <v>0.51217088922006959</v>
      </c>
      <c r="BS12" s="10">
        <v>990</v>
      </c>
      <c r="BT12" s="156">
        <f t="shared" si="10"/>
        <v>0.49180327868852458</v>
      </c>
      <c r="BU12" s="10">
        <v>995</v>
      </c>
      <c r="BV12" s="156">
        <f t="shared" si="11"/>
        <v>0.49428713363139593</v>
      </c>
      <c r="BW12" s="10">
        <v>974</v>
      </c>
      <c r="BX12" s="156">
        <f t="shared" si="12"/>
        <v>0.48385494287133629</v>
      </c>
      <c r="BY12" s="10">
        <v>1460</v>
      </c>
      <c r="BZ12" s="156">
        <f t="shared" si="13"/>
        <v>0.72528564331843015</v>
      </c>
      <c r="CA12" s="10">
        <v>973</v>
      </c>
      <c r="CB12" s="156">
        <f t="shared" si="14"/>
        <v>0.48335817188276203</v>
      </c>
      <c r="CC12" s="10">
        <v>1425</v>
      </c>
      <c r="CD12" s="156">
        <f t="shared" si="14"/>
        <v>0.7078986587183308</v>
      </c>
      <c r="CE12" s="10">
        <v>1163</v>
      </c>
      <c r="CF12" s="156">
        <f t="shared" si="15"/>
        <v>0.57774465971187283</v>
      </c>
      <c r="CG12" s="10">
        <v>958</v>
      </c>
      <c r="CH12" s="156">
        <f t="shared" si="16"/>
        <v>0.47590660705414806</v>
      </c>
      <c r="CI12" s="10">
        <v>1627</v>
      </c>
      <c r="CJ12" s="156">
        <f t="shared" si="17"/>
        <v>0.80824639841033286</v>
      </c>
      <c r="CK12" s="10">
        <v>1574</v>
      </c>
      <c r="CL12" s="156">
        <f t="shared" si="18"/>
        <v>0.78191753601589664</v>
      </c>
      <c r="CM12" s="10">
        <v>1518</v>
      </c>
      <c r="CN12" s="156">
        <f t="shared" si="19"/>
        <v>0.75409836065573765</v>
      </c>
      <c r="CO12" s="10">
        <v>1549</v>
      </c>
      <c r="CP12" s="156">
        <f t="shared" si="20"/>
        <v>0.76949826130153998</v>
      </c>
      <c r="CQ12" s="10">
        <v>1552</v>
      </c>
      <c r="CR12" s="156">
        <f t="shared" si="20"/>
        <v>0.77098857426726275</v>
      </c>
      <c r="CS12" s="10">
        <v>7238</v>
      </c>
      <c r="CU12" s="10">
        <v>3303</v>
      </c>
      <c r="CW12" s="10">
        <v>8682</v>
      </c>
      <c r="CY12" s="10">
        <v>6551</v>
      </c>
      <c r="DA12" s="10">
        <v>7474</v>
      </c>
      <c r="DC12" s="10">
        <v>8571</v>
      </c>
      <c r="DE12" s="10">
        <v>6184</v>
      </c>
      <c r="DF12" s="10" t="s">
        <v>1718</v>
      </c>
    </row>
    <row r="13" spans="1:110" s="10" customFormat="1" ht="18" customHeight="1">
      <c r="A13" s="119">
        <v>14</v>
      </c>
      <c r="B13" s="120" t="s">
        <v>134</v>
      </c>
      <c r="C13" s="121" t="str">
        <f>E13</f>
        <v>{"username":"Bern.Sachbearbeiterin@diartis.ch","password":"XXxa22?pdTA66-S@"}</v>
      </c>
      <c r="D13" s="82"/>
      <c r="E13" s="83" t="str">
        <f>F13&amp;G13&amp;H13&amp;I13&amp;J13&amp;K13&amp;L13&amp;M13&amp;N13&amp;O13&amp;P13&amp;Q13&amp;R13&amp;S13&amp;T13&amp;U13&amp;V13&amp;W13&amp;X13</f>
        <v>{"username":"Bern.Sachbearbeiterin@diartis.ch","password":"XXxa22?pdTA66-S@"}</v>
      </c>
      <c r="F13" s="609" t="s">
        <v>29</v>
      </c>
      <c r="G13" s="617" t="s">
        <v>30</v>
      </c>
      <c r="H13" s="609" t="s">
        <v>31</v>
      </c>
      <c r="I13" s="618" t="s">
        <v>32</v>
      </c>
      <c r="J13" s="609" t="s">
        <v>37</v>
      </c>
      <c r="K13" s="614"/>
      <c r="L13" s="609"/>
      <c r="M13" s="611"/>
      <c r="N13" s="609"/>
      <c r="O13" s="611"/>
      <c r="P13" s="609"/>
      <c r="Q13" s="611"/>
      <c r="R13" s="609"/>
      <c r="S13" s="611"/>
      <c r="T13" s="609"/>
      <c r="U13" s="611"/>
      <c r="V13" s="609"/>
      <c r="W13" s="611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171">
        <v>11393</v>
      </c>
      <c r="AJ13" s="156">
        <f t="shared" ref="AJ13" si="32">AI13/($AI13)</f>
        <v>1</v>
      </c>
      <c r="AK13" s="171">
        <v>11917</v>
      </c>
      <c r="AL13" s="156">
        <f t="shared" si="3"/>
        <v>1.0459931536908629</v>
      </c>
      <c r="AM13" s="171">
        <v>12772</v>
      </c>
      <c r="AN13" s="156">
        <f t="shared" si="4"/>
        <v>1.1210392346177478</v>
      </c>
      <c r="AO13" s="82">
        <v>14193</v>
      </c>
      <c r="AP13" s="156">
        <f t="shared" si="4"/>
        <v>1.2457649433862898</v>
      </c>
      <c r="AQ13" s="82">
        <v>14418</v>
      </c>
      <c r="AR13" s="156">
        <f t="shared" si="4"/>
        <v>1.2655139120512595</v>
      </c>
      <c r="AS13" s="82">
        <v>14406</v>
      </c>
      <c r="AT13" s="156">
        <f t="shared" si="4"/>
        <v>1.2644606337224611</v>
      </c>
      <c r="AU13" s="82">
        <v>14468</v>
      </c>
      <c r="AV13" s="156">
        <f t="shared" si="4"/>
        <v>1.2699025717545862</v>
      </c>
      <c r="AW13" s="82">
        <v>9762</v>
      </c>
      <c r="AX13" s="156">
        <f t="shared" si="5"/>
        <v>0.8568419204774862</v>
      </c>
      <c r="AY13" s="2">
        <v>9683</v>
      </c>
      <c r="AZ13" s="156">
        <f t="shared" si="5"/>
        <v>0.84990783814623017</v>
      </c>
      <c r="BA13" s="2">
        <v>10811</v>
      </c>
      <c r="BB13" s="156">
        <f t="shared" si="6"/>
        <v>0.94891600105327834</v>
      </c>
      <c r="BC13" s="2">
        <v>10833</v>
      </c>
      <c r="BD13" s="156">
        <f t="shared" si="6"/>
        <v>0.95084701132274208</v>
      </c>
      <c r="BE13" s="2">
        <v>9774</v>
      </c>
      <c r="BF13" s="156">
        <f t="shared" si="6"/>
        <v>0.85789519880628451</v>
      </c>
      <c r="BG13" s="10">
        <v>10641</v>
      </c>
      <c r="BH13" s="156">
        <f t="shared" si="6"/>
        <v>0.93399455806196785</v>
      </c>
      <c r="BI13" s="10">
        <v>11221</v>
      </c>
      <c r="BJ13" s="156">
        <f t="shared" si="6"/>
        <v>0.98490301062055652</v>
      </c>
      <c r="BK13" s="10">
        <v>11334</v>
      </c>
      <c r="BL13" s="156">
        <f t="shared" si="6"/>
        <v>0.9948213815500746</v>
      </c>
      <c r="BM13" s="10">
        <v>14450</v>
      </c>
      <c r="BN13" s="156">
        <f t="shared" si="7"/>
        <v>1.2683226542613886</v>
      </c>
      <c r="BO13" s="10">
        <v>11049</v>
      </c>
      <c r="BP13" s="156">
        <f t="shared" si="8"/>
        <v>0.96980602124111293</v>
      </c>
      <c r="BQ13" s="10">
        <v>10905</v>
      </c>
      <c r="BR13" s="156">
        <f t="shared" si="9"/>
        <v>0.9571666812955324</v>
      </c>
      <c r="BS13" s="10">
        <v>10917</v>
      </c>
      <c r="BT13" s="156">
        <f t="shared" si="10"/>
        <v>0.95821995962433071</v>
      </c>
      <c r="BU13" s="10">
        <v>11248</v>
      </c>
      <c r="BV13" s="156">
        <f t="shared" si="11"/>
        <v>0.98727288686035286</v>
      </c>
      <c r="BW13" s="10">
        <v>10060</v>
      </c>
      <c r="BX13" s="156">
        <f t="shared" si="12"/>
        <v>0.88299833230931268</v>
      </c>
      <c r="BY13" s="10">
        <v>9661</v>
      </c>
      <c r="BZ13" s="156">
        <f t="shared" si="13"/>
        <v>0.84797682787676643</v>
      </c>
      <c r="CA13" s="10">
        <v>9656</v>
      </c>
      <c r="CB13" s="156">
        <f t="shared" si="14"/>
        <v>0.84753796190643382</v>
      </c>
      <c r="CC13" s="10">
        <v>7468</v>
      </c>
      <c r="CD13" s="156">
        <f t="shared" si="14"/>
        <v>0.65549021328886159</v>
      </c>
      <c r="CE13" s="10">
        <v>7172</v>
      </c>
      <c r="CF13" s="156">
        <f t="shared" si="15"/>
        <v>0.6295093478451681</v>
      </c>
      <c r="CG13" s="10">
        <v>7504</v>
      </c>
      <c r="CH13" s="156">
        <f t="shared" si="16"/>
        <v>0.65865004827525675</v>
      </c>
      <c r="CI13" s="10">
        <v>27249</v>
      </c>
      <c r="CJ13" s="156">
        <f t="shared" si="17"/>
        <v>2.3917317651189327</v>
      </c>
      <c r="CK13" s="10">
        <v>14949</v>
      </c>
      <c r="CL13" s="156">
        <f t="shared" si="18"/>
        <v>1.3121214781005881</v>
      </c>
      <c r="CM13" s="10">
        <v>14245</v>
      </c>
      <c r="CN13" s="156">
        <f t="shared" si="19"/>
        <v>1.2503291494777495</v>
      </c>
      <c r="CO13" s="10">
        <v>19938</v>
      </c>
      <c r="CP13" s="156">
        <f t="shared" si="20"/>
        <v>1.7500219432985167</v>
      </c>
      <c r="CQ13" s="10">
        <v>28831</v>
      </c>
      <c r="CR13" s="156">
        <f t="shared" si="20"/>
        <v>2.5305889581321863</v>
      </c>
      <c r="CS13" s="10">
        <v>10209</v>
      </c>
      <c r="CU13" s="10">
        <v>8650</v>
      </c>
      <c r="CW13" s="10">
        <v>16583</v>
      </c>
      <c r="CY13" s="10">
        <v>8198</v>
      </c>
      <c r="DA13" s="10">
        <v>10138</v>
      </c>
      <c r="DC13" s="10">
        <v>7938</v>
      </c>
      <c r="DE13" s="10">
        <v>7946</v>
      </c>
      <c r="DF13" s="10" t="s">
        <v>1718</v>
      </c>
    </row>
    <row r="14" spans="1:110" s="10" customFormat="1" ht="15.75" customHeight="1">
      <c r="A14" s="119">
        <v>15</v>
      </c>
      <c r="B14" s="120" t="s">
        <v>127</v>
      </c>
      <c r="C14" s="121" t="str">
        <f>E14</f>
        <v>{"dossierInstitution":p.DossierName3,"klientschaft":`${p.FamilyName3}, ${p.ManFirstName3}`,"buttonBewilligung":"Bewilligen","checkStatus":"Bewilligt"}</v>
      </c>
      <c r="D14" s="76"/>
      <c r="E14" s="77" t="str">
        <f>F14&amp;G14&amp;H14&amp;I14&amp;J14&amp;K14&amp;L14&amp;M14&amp;N14&amp;O14&amp;P14&amp;Q14&amp;R14&amp;S14&amp;T14&amp;U14&amp;V14&amp;W14&amp;X14</f>
        <v>{"dossierInstitution":p.DossierName3,"klientschaft":`${p.FamilyName3}, ${p.ManFirstName3}`,"buttonBewilligung":"Bewilligen","checkStatus":"Bewilligt"}</v>
      </c>
      <c r="F14" s="611" t="s">
        <v>128</v>
      </c>
      <c r="G14" s="611" t="str">
        <f>G12</f>
        <v>p.DossierName3</v>
      </c>
      <c r="H14" s="611" t="s">
        <v>129</v>
      </c>
      <c r="I14" s="609" t="str">
        <f>I23</f>
        <v>${p.FamilyName3}, ${p.ManFirstName3}</v>
      </c>
      <c r="J14" s="611" t="s">
        <v>130</v>
      </c>
      <c r="K14" s="614" t="s">
        <v>136</v>
      </c>
      <c r="L14" s="611" t="s">
        <v>132</v>
      </c>
      <c r="M14" s="611" t="s">
        <v>137</v>
      </c>
      <c r="N14" s="611" t="s">
        <v>37</v>
      </c>
      <c r="O14" s="611"/>
      <c r="P14" s="611"/>
      <c r="Q14" s="611"/>
      <c r="R14" s="611"/>
      <c r="S14" s="611"/>
      <c r="T14" s="611"/>
      <c r="U14" s="611"/>
      <c r="V14" s="611"/>
      <c r="W14" s="611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170">
        <v>5255</v>
      </c>
      <c r="AJ14" s="156">
        <f t="shared" ref="AJ14" si="33">AI14/($AI14)</f>
        <v>1</v>
      </c>
      <c r="AK14" s="170">
        <v>6489</v>
      </c>
      <c r="AL14" s="156">
        <f t="shared" si="3"/>
        <v>1.2348239771646052</v>
      </c>
      <c r="AM14" s="170">
        <v>6176</v>
      </c>
      <c r="AN14" s="156">
        <f t="shared" si="4"/>
        <v>1.1752616555661275</v>
      </c>
      <c r="AO14" s="76">
        <v>5699</v>
      </c>
      <c r="AP14" s="156">
        <f t="shared" si="4"/>
        <v>1.0844909609895337</v>
      </c>
      <c r="AQ14" s="76">
        <v>5074</v>
      </c>
      <c r="AR14" s="156">
        <f t="shared" si="4"/>
        <v>0.96555661274976212</v>
      </c>
      <c r="AS14" s="76">
        <v>5532</v>
      </c>
      <c r="AT14" s="156">
        <f t="shared" si="4"/>
        <v>1.0527117031398667</v>
      </c>
      <c r="AU14" s="76">
        <v>6452</v>
      </c>
      <c r="AV14" s="156">
        <f t="shared" si="4"/>
        <v>1.2277830637488107</v>
      </c>
      <c r="AW14" s="76">
        <v>4731</v>
      </c>
      <c r="AX14" s="156">
        <f t="shared" si="5"/>
        <v>0.90028544243577546</v>
      </c>
      <c r="AY14" s="2">
        <v>4908</v>
      </c>
      <c r="AZ14" s="156">
        <f t="shared" si="5"/>
        <v>0.93396764985727876</v>
      </c>
      <c r="BA14" s="2">
        <v>8773</v>
      </c>
      <c r="BB14" s="156">
        <f t="shared" si="6"/>
        <v>1.6694576593720267</v>
      </c>
      <c r="BC14" s="2">
        <v>9553</v>
      </c>
      <c r="BD14" s="156">
        <f t="shared" si="6"/>
        <v>1.8178877259752617</v>
      </c>
      <c r="BE14" s="2">
        <v>9293</v>
      </c>
      <c r="BF14" s="156">
        <f t="shared" si="6"/>
        <v>1.7684110371075166</v>
      </c>
      <c r="BG14" s="10">
        <v>10180</v>
      </c>
      <c r="BH14" s="156">
        <f t="shared" si="6"/>
        <v>1.9372026641294007</v>
      </c>
      <c r="BI14" s="10">
        <v>11134</v>
      </c>
      <c r="BJ14" s="156">
        <f t="shared" si="6"/>
        <v>2.1187440532825881</v>
      </c>
      <c r="BK14" s="10">
        <v>10321</v>
      </c>
      <c r="BL14" s="156">
        <f t="shared" si="6"/>
        <v>1.964034253092293</v>
      </c>
      <c r="BM14" s="10">
        <v>9767</v>
      </c>
      <c r="BN14" s="156">
        <f t="shared" si="7"/>
        <v>1.8586108468125595</v>
      </c>
      <c r="BO14" s="10">
        <v>10179</v>
      </c>
      <c r="BP14" s="156">
        <f t="shared" si="8"/>
        <v>1.937012369172217</v>
      </c>
      <c r="BQ14" s="10">
        <v>10008</v>
      </c>
      <c r="BR14" s="156">
        <f t="shared" si="9"/>
        <v>1.9044719314938154</v>
      </c>
      <c r="BS14" s="10">
        <v>10034</v>
      </c>
      <c r="BT14" s="156">
        <f t="shared" si="10"/>
        <v>1.9094196003805899</v>
      </c>
      <c r="BU14" s="10">
        <v>10497</v>
      </c>
      <c r="BV14" s="156">
        <f t="shared" si="11"/>
        <v>1.9975261655566128</v>
      </c>
      <c r="BW14" s="10">
        <v>9993</v>
      </c>
      <c r="BX14" s="156">
        <f t="shared" si="12"/>
        <v>1.9016175071360608</v>
      </c>
      <c r="BY14" s="10">
        <v>9766</v>
      </c>
      <c r="BZ14" s="156">
        <f t="shared" si="13"/>
        <v>1.8584205518553758</v>
      </c>
      <c r="CA14" s="10">
        <v>9174</v>
      </c>
      <c r="CB14" s="156">
        <f t="shared" si="14"/>
        <v>1.7457659372026642</v>
      </c>
      <c r="CC14" s="10">
        <v>10116</v>
      </c>
      <c r="CD14" s="156">
        <f t="shared" si="14"/>
        <v>1.925023786869648</v>
      </c>
      <c r="CE14" s="10">
        <v>9939</v>
      </c>
      <c r="CF14" s="156">
        <f t="shared" si="15"/>
        <v>1.8913415794481445</v>
      </c>
      <c r="CG14" s="10">
        <v>9871</v>
      </c>
      <c r="CH14" s="156">
        <f t="shared" si="16"/>
        <v>1.8784015223596575</v>
      </c>
      <c r="CI14" s="10">
        <v>10742</v>
      </c>
      <c r="CJ14" s="156">
        <f t="shared" si="17"/>
        <v>2.0441484300666031</v>
      </c>
      <c r="CK14" s="10">
        <v>12554</v>
      </c>
      <c r="CL14" s="156">
        <f t="shared" si="18"/>
        <v>2.3889628924833493</v>
      </c>
      <c r="CM14" s="10">
        <v>9617</v>
      </c>
      <c r="CN14" s="156">
        <f t="shared" si="19"/>
        <v>1.8300666032350144</v>
      </c>
      <c r="CO14" s="10">
        <v>9116</v>
      </c>
      <c r="CP14" s="156">
        <f t="shared" si="20"/>
        <v>1.7347288296860133</v>
      </c>
      <c r="CQ14" s="10">
        <v>8737</v>
      </c>
      <c r="CR14" s="156">
        <f t="shared" si="20"/>
        <v>1.6626070409134157</v>
      </c>
      <c r="CS14" s="10">
        <v>11551</v>
      </c>
      <c r="CU14" s="10">
        <v>15379</v>
      </c>
      <c r="CW14" s="10">
        <v>18409</v>
      </c>
      <c r="CY14" s="10">
        <v>12171</v>
      </c>
      <c r="DA14" s="10">
        <v>12128</v>
      </c>
      <c r="DC14" s="10">
        <v>8817</v>
      </c>
      <c r="DE14" s="10">
        <v>10143</v>
      </c>
      <c r="DF14" s="10" t="s">
        <v>1718</v>
      </c>
    </row>
    <row r="15" spans="1:110" ht="19.5" customHeight="1" thickBot="1">
      <c r="A15" s="119">
        <v>16</v>
      </c>
      <c r="B15" s="120" t="s">
        <v>134</v>
      </c>
      <c r="C15" s="594" t="s">
        <v>138</v>
      </c>
      <c r="E15" s="2" t="str">
        <f>F15&amp;G15&amp;H15&amp;I15&amp;J15&amp;K15&amp;L15&amp;M15&amp;N15&amp;O15&amp;P15&amp;Q15&amp;R15&amp;S15&amp;T15&amp;U15&amp;V15&amp;W15&amp;X15</f>
        <v>{"username":"Bern.Sachbearbeiterin@diartis.ch","password":"XXxa22?pdTA66-S@"}</v>
      </c>
      <c r="F15" s="609" t="s">
        <v>29</v>
      </c>
      <c r="G15" s="611" t="s">
        <v>30</v>
      </c>
      <c r="H15" s="609" t="s">
        <v>31</v>
      </c>
      <c r="I15" s="611" t="s">
        <v>32</v>
      </c>
      <c r="J15" s="609" t="s">
        <v>37</v>
      </c>
      <c r="AI15" s="3">
        <v>14489</v>
      </c>
      <c r="AJ15" s="156">
        <f t="shared" ref="AJ15" si="34">AI15/($AI15)</f>
        <v>1</v>
      </c>
      <c r="AK15" s="3">
        <v>14307</v>
      </c>
      <c r="AL15" s="156">
        <f t="shared" si="3"/>
        <v>0.98743874663537856</v>
      </c>
      <c r="AM15" s="3">
        <v>14413</v>
      </c>
      <c r="AN15" s="156">
        <f t="shared" si="4"/>
        <v>0.9947546414521361</v>
      </c>
      <c r="AO15" s="2">
        <v>15300</v>
      </c>
      <c r="AP15" s="156">
        <f t="shared" si="4"/>
        <v>1.0559734971357582</v>
      </c>
      <c r="AQ15" s="2">
        <v>17339</v>
      </c>
      <c r="AR15" s="156">
        <f t="shared" si="4"/>
        <v>1.196700945544896</v>
      </c>
      <c r="AS15" s="2">
        <v>15694</v>
      </c>
      <c r="AT15" s="156">
        <f t="shared" si="4"/>
        <v>1.0831665401338946</v>
      </c>
      <c r="AU15" s="2">
        <v>15589</v>
      </c>
      <c r="AV15" s="156">
        <f t="shared" si="4"/>
        <v>1.075919663192767</v>
      </c>
      <c r="AW15" s="2">
        <v>14083</v>
      </c>
      <c r="AX15" s="156">
        <f t="shared" si="5"/>
        <v>0.97197874249430605</v>
      </c>
      <c r="AY15" s="2">
        <v>12206</v>
      </c>
      <c r="AZ15" s="156">
        <f t="shared" si="5"/>
        <v>0.84243218993719371</v>
      </c>
      <c r="BA15" s="2">
        <v>9926</v>
      </c>
      <c r="BB15" s="156">
        <f t="shared" si="6"/>
        <v>0.68507143350127686</v>
      </c>
      <c r="BC15" s="2">
        <v>10279</v>
      </c>
      <c r="BD15" s="156">
        <f t="shared" si="6"/>
        <v>0.70943474359859204</v>
      </c>
      <c r="BE15" s="2">
        <v>10023</v>
      </c>
      <c r="BF15" s="156">
        <f t="shared" si="6"/>
        <v>0.6917661674373663</v>
      </c>
      <c r="BG15" s="2">
        <v>10810</v>
      </c>
      <c r="BH15" s="156">
        <f t="shared" si="6"/>
        <v>0.74608323555800948</v>
      </c>
      <c r="BI15" s="2">
        <v>10379</v>
      </c>
      <c r="BJ15" s="156">
        <f t="shared" si="6"/>
        <v>0.71633653116157081</v>
      </c>
      <c r="BK15" s="2">
        <v>11194</v>
      </c>
      <c r="BL15" s="156">
        <f t="shared" si="6"/>
        <v>0.77258609979984816</v>
      </c>
      <c r="BM15" s="2">
        <v>10912</v>
      </c>
      <c r="BN15" s="156">
        <f t="shared" si="7"/>
        <v>0.75312305887224795</v>
      </c>
      <c r="BO15" s="2">
        <v>10700</v>
      </c>
      <c r="BP15" s="156">
        <f t="shared" si="8"/>
        <v>0.73849126923873287</v>
      </c>
      <c r="BQ15" s="2">
        <v>10673</v>
      </c>
      <c r="BR15" s="156">
        <f t="shared" si="9"/>
        <v>0.73662778659672856</v>
      </c>
      <c r="BS15" s="2">
        <v>11732</v>
      </c>
      <c r="BT15" s="156">
        <f t="shared" si="10"/>
        <v>0.80971771688867422</v>
      </c>
      <c r="BU15" s="2">
        <v>12750</v>
      </c>
      <c r="BV15" s="156">
        <f t="shared" si="11"/>
        <v>0.87997791427979843</v>
      </c>
      <c r="BW15" s="2">
        <v>10445</v>
      </c>
      <c r="BX15" s="156">
        <f t="shared" si="12"/>
        <v>0.72089171095313687</v>
      </c>
      <c r="BY15" s="2">
        <v>10058</v>
      </c>
      <c r="BZ15" s="156">
        <f t="shared" si="13"/>
        <v>0.69418179308440886</v>
      </c>
      <c r="CA15" s="2">
        <v>9857</v>
      </c>
      <c r="CB15" s="156">
        <f t="shared" si="14"/>
        <v>0.68030920008282147</v>
      </c>
      <c r="CC15" s="2">
        <v>7595</v>
      </c>
      <c r="CD15" s="156">
        <f t="shared" si="14"/>
        <v>0.52419076540824072</v>
      </c>
      <c r="CE15" s="2">
        <v>8123</v>
      </c>
      <c r="CF15" s="156">
        <f t="shared" si="15"/>
        <v>0.56063220374076883</v>
      </c>
      <c r="CG15" s="2">
        <v>7499</v>
      </c>
      <c r="CH15" s="156">
        <f t="shared" si="16"/>
        <v>0.51756504934778103</v>
      </c>
      <c r="CI15" s="2">
        <v>14845</v>
      </c>
      <c r="CJ15" s="156">
        <f t="shared" si="17"/>
        <v>1.0245703637242045</v>
      </c>
      <c r="CK15" s="2">
        <v>10894</v>
      </c>
      <c r="CL15" s="156">
        <f t="shared" si="18"/>
        <v>0.75188073711091175</v>
      </c>
      <c r="CM15" s="2008">
        <v>0</v>
      </c>
      <c r="CN15" s="156">
        <f t="shared" si="19"/>
        <v>0</v>
      </c>
      <c r="CO15" s="2">
        <v>9047</v>
      </c>
      <c r="CP15" s="156">
        <f t="shared" si="20"/>
        <v>0.62440472082269305</v>
      </c>
      <c r="CQ15" s="2">
        <v>9586</v>
      </c>
      <c r="CR15" s="156">
        <f t="shared" si="20"/>
        <v>0.66160535578714885</v>
      </c>
      <c r="CS15" s="2">
        <v>11258</v>
      </c>
      <c r="CU15" s="2">
        <v>9248</v>
      </c>
      <c r="CW15" s="2">
        <v>14100</v>
      </c>
      <c r="CY15" s="2">
        <v>8977</v>
      </c>
      <c r="DA15" s="2">
        <v>8713</v>
      </c>
      <c r="DC15" s="2">
        <v>13157</v>
      </c>
      <c r="DE15" s="2">
        <v>13299</v>
      </c>
      <c r="DF15" s="2" t="s">
        <v>1718</v>
      </c>
    </row>
    <row r="16" spans="1:110" s="10" customFormat="1" ht="15.75" customHeight="1" thickBot="1">
      <c r="A16" s="119">
        <v>18</v>
      </c>
      <c r="B16" s="591" t="s">
        <v>139</v>
      </c>
      <c r="C16" s="595" t="str">
        <f>E16</f>
        <v>{"searchDossierOrKlient":p.DossierName3,"resultType":"Dossiers"}</v>
      </c>
      <c r="D16" s="90"/>
      <c r="E16" s="91" t="str">
        <f>F16&amp;G16&amp;H16&amp;I16&amp;J16&amp;K16&amp;L16&amp;M16&amp;N16&amp;O16&amp;P16&amp;Q16&amp;R16&amp;S16&amp;T16&amp;U16&amp;V16&amp;W16&amp;X16</f>
        <v>{"searchDossierOrKlient":p.DossierName3,"resultType":"Dossiers"}</v>
      </c>
      <c r="F16" s="609" t="s">
        <v>140</v>
      </c>
      <c r="G16" s="611" t="str">
        <f>G14</f>
        <v>p.DossierName3</v>
      </c>
      <c r="H16" s="609" t="s">
        <v>141</v>
      </c>
      <c r="I16" s="611" t="s">
        <v>142</v>
      </c>
      <c r="J16" s="609" t="s">
        <v>37</v>
      </c>
      <c r="K16" s="611"/>
      <c r="L16" s="609"/>
      <c r="M16" s="611"/>
      <c r="N16" s="609"/>
      <c r="O16" s="611"/>
      <c r="P16" s="609"/>
      <c r="Q16" s="611"/>
      <c r="R16" s="609"/>
      <c r="S16" s="611"/>
      <c r="T16" s="609"/>
      <c r="U16" s="611"/>
      <c r="V16" s="609"/>
      <c r="W16" s="611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162">
        <v>4057</v>
      </c>
      <c r="AJ16" s="156">
        <f t="shared" ref="AJ16" si="35">AI16/($AI16)</f>
        <v>1</v>
      </c>
      <c r="AK16" s="162">
        <v>4007</v>
      </c>
      <c r="AL16" s="156">
        <f t="shared" si="3"/>
        <v>0.98767562238106976</v>
      </c>
      <c r="AM16" s="162">
        <v>4019</v>
      </c>
      <c r="AN16" s="156">
        <f t="shared" si="4"/>
        <v>0.99063347300961302</v>
      </c>
      <c r="AO16" s="90">
        <v>4031</v>
      </c>
      <c r="AP16" s="156">
        <f t="shared" si="4"/>
        <v>0.99359132363815628</v>
      </c>
      <c r="AQ16" s="90">
        <v>4018</v>
      </c>
      <c r="AR16" s="156">
        <f t="shared" si="4"/>
        <v>0.99038698545723436</v>
      </c>
      <c r="AS16" s="90">
        <v>4013</v>
      </c>
      <c r="AT16" s="156">
        <f t="shared" si="4"/>
        <v>0.98915454769534139</v>
      </c>
      <c r="AU16" s="90">
        <v>4069</v>
      </c>
      <c r="AV16" s="156">
        <f t="shared" si="4"/>
        <v>1.0029578506285433</v>
      </c>
      <c r="AW16" s="90">
        <v>4016</v>
      </c>
      <c r="AX16" s="156">
        <f t="shared" si="5"/>
        <v>0.98989401035247715</v>
      </c>
      <c r="AY16" s="2">
        <v>4007</v>
      </c>
      <c r="AZ16" s="156">
        <f t="shared" si="5"/>
        <v>0.98767562238106976</v>
      </c>
      <c r="BA16" s="2">
        <v>9702</v>
      </c>
      <c r="BB16" s="156">
        <f t="shared" si="6"/>
        <v>2.3914222331772246</v>
      </c>
      <c r="BC16" s="2">
        <v>9717</v>
      </c>
      <c r="BD16" s="156">
        <f t="shared" si="6"/>
        <v>2.3951195464629036</v>
      </c>
      <c r="BE16" s="2">
        <v>9591</v>
      </c>
      <c r="BF16" s="156">
        <f t="shared" si="6"/>
        <v>2.3640621148631995</v>
      </c>
      <c r="BG16" s="10">
        <v>10153</v>
      </c>
      <c r="BH16" s="156">
        <f t="shared" si="6"/>
        <v>2.5025881192999755</v>
      </c>
      <c r="BI16" s="10">
        <v>10469</v>
      </c>
      <c r="BJ16" s="156">
        <f t="shared" si="6"/>
        <v>2.5804781858516144</v>
      </c>
      <c r="BK16" s="10">
        <v>10112</v>
      </c>
      <c r="BL16" s="156">
        <f t="shared" si="6"/>
        <v>2.4924821296524526</v>
      </c>
      <c r="BM16" s="10">
        <v>10588</v>
      </c>
      <c r="BN16" s="156">
        <f t="shared" si="7"/>
        <v>2.6098102045846683</v>
      </c>
      <c r="BO16" s="10">
        <v>10224</v>
      </c>
      <c r="BP16" s="156">
        <f t="shared" si="8"/>
        <v>2.5200887355188564</v>
      </c>
      <c r="BQ16" s="10">
        <v>10357</v>
      </c>
      <c r="BR16" s="156">
        <f t="shared" si="9"/>
        <v>2.5528715799852106</v>
      </c>
      <c r="BS16" s="10">
        <v>10494</v>
      </c>
      <c r="BT16" s="156">
        <f t="shared" si="10"/>
        <v>2.5866403746610795</v>
      </c>
      <c r="BU16" s="10">
        <v>9748</v>
      </c>
      <c r="BV16" s="156">
        <f t="shared" si="11"/>
        <v>2.4027606605866403</v>
      </c>
      <c r="BW16" s="10">
        <v>9946</v>
      </c>
      <c r="BX16" s="156">
        <f t="shared" si="12"/>
        <v>2.4515651959576044</v>
      </c>
      <c r="BY16" s="10">
        <v>9753</v>
      </c>
      <c r="BZ16" s="156">
        <f t="shared" si="13"/>
        <v>2.4039930983485336</v>
      </c>
      <c r="CA16" s="10">
        <v>9987</v>
      </c>
      <c r="CB16" s="156">
        <f t="shared" si="14"/>
        <v>2.4616711856051268</v>
      </c>
      <c r="CC16" s="10">
        <v>10003</v>
      </c>
      <c r="CD16" s="156">
        <f t="shared" si="14"/>
        <v>2.4656149864431844</v>
      </c>
      <c r="CE16" s="10">
        <v>10255</v>
      </c>
      <c r="CF16" s="156">
        <f t="shared" si="15"/>
        <v>2.5277298496425931</v>
      </c>
      <c r="CG16" s="10">
        <v>9840</v>
      </c>
      <c r="CH16" s="156">
        <f t="shared" si="16"/>
        <v>2.4254375154054721</v>
      </c>
      <c r="CI16" s="10">
        <v>9542</v>
      </c>
      <c r="CJ16" s="156">
        <f t="shared" si="17"/>
        <v>2.3519842247966478</v>
      </c>
      <c r="CK16" s="10">
        <v>8988</v>
      </c>
      <c r="CL16" s="156">
        <f t="shared" si="18"/>
        <v>2.2154301207789007</v>
      </c>
      <c r="CM16" s="10">
        <v>214</v>
      </c>
      <c r="CN16" s="156">
        <f t="shared" si="19"/>
        <v>5.2748336209021446E-2</v>
      </c>
      <c r="CO16" s="10">
        <v>8981</v>
      </c>
      <c r="CP16" s="156">
        <f t="shared" si="20"/>
        <v>2.2137047079122505</v>
      </c>
      <c r="CQ16" s="10">
        <v>9107</v>
      </c>
      <c r="CR16" s="156">
        <f t="shared" si="20"/>
        <v>2.2447621395119546</v>
      </c>
      <c r="CS16" s="10">
        <v>13468</v>
      </c>
      <c r="CU16" s="10">
        <v>11552</v>
      </c>
      <c r="CW16" s="10">
        <v>18295</v>
      </c>
      <c r="CY16" s="10">
        <v>11427</v>
      </c>
      <c r="DA16" s="10">
        <v>11525</v>
      </c>
      <c r="DC16" s="10">
        <v>9248</v>
      </c>
      <c r="DE16" s="10">
        <v>9362</v>
      </c>
      <c r="DF16" s="10" t="s">
        <v>1718</v>
      </c>
    </row>
    <row r="17" spans="1:110" s="10" customFormat="1" ht="15.75" customHeight="1" thickBot="1">
      <c r="A17" s="119">
        <v>19</v>
      </c>
      <c r="B17" s="590" t="s">
        <v>143</v>
      </c>
      <c r="C17" s="121" t="str">
        <f t="shared" si="27"/>
        <v>{"vermieter":"Graber Immobilien","wohnungsgrosse":"4 Zimmer","mietkosten":1200,"nebenkosten":100}</v>
      </c>
      <c r="D17" s="13"/>
      <c r="E17" s="45" t="str">
        <f t="shared" si="28"/>
        <v>{"vermieter":"Graber Immobilien","wohnungsgrosse":"4 Zimmer","mietkosten":1200,"nebenkosten":100}</v>
      </c>
      <c r="F17" s="611" t="s">
        <v>144</v>
      </c>
      <c r="G17" s="609" t="s">
        <v>145</v>
      </c>
      <c r="H17" s="611" t="s">
        <v>146</v>
      </c>
      <c r="I17" s="611" t="s">
        <v>147</v>
      </c>
      <c r="J17" s="611" t="s">
        <v>148</v>
      </c>
      <c r="K17" s="611">
        <v>1200</v>
      </c>
      <c r="L17" s="611" t="s">
        <v>149</v>
      </c>
      <c r="M17" s="611">
        <v>100</v>
      </c>
      <c r="N17" s="611" t="s">
        <v>109</v>
      </c>
      <c r="O17" s="611"/>
      <c r="P17" s="611"/>
      <c r="Q17" s="611"/>
      <c r="R17" s="611"/>
      <c r="S17" s="611"/>
      <c r="T17" s="611"/>
      <c r="U17" s="611"/>
      <c r="V17" s="611"/>
      <c r="W17" s="611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54">
        <v>10722</v>
      </c>
      <c r="AJ17" s="156">
        <f t="shared" ref="AJ17" si="36">AI17/($AI17)</f>
        <v>1</v>
      </c>
      <c r="AK17" s="154">
        <v>10910</v>
      </c>
      <c r="AL17" s="156">
        <f t="shared" si="3"/>
        <v>1.0175340421563142</v>
      </c>
      <c r="AM17" s="154">
        <v>11201</v>
      </c>
      <c r="AN17" s="156">
        <f t="shared" si="4"/>
        <v>1.044674501025928</v>
      </c>
      <c r="AO17" s="13">
        <v>10820</v>
      </c>
      <c r="AP17" s="156">
        <f t="shared" si="4"/>
        <v>1.0091400858048871</v>
      </c>
      <c r="AQ17" s="13">
        <v>10906</v>
      </c>
      <c r="AR17" s="156">
        <f t="shared" si="4"/>
        <v>1.017160977429584</v>
      </c>
      <c r="AS17" s="13">
        <v>11083</v>
      </c>
      <c r="AT17" s="156">
        <f t="shared" si="4"/>
        <v>1.0336690915873905</v>
      </c>
      <c r="AU17" s="13">
        <v>10706</v>
      </c>
      <c r="AV17" s="156">
        <f t="shared" si="4"/>
        <v>0.9985077410930796</v>
      </c>
      <c r="AW17" s="13">
        <v>2457</v>
      </c>
      <c r="AX17" s="156">
        <f t="shared" si="5"/>
        <v>0.22915500839395636</v>
      </c>
      <c r="AY17" s="2">
        <v>2447</v>
      </c>
      <c r="AZ17" s="156">
        <f t="shared" si="5"/>
        <v>0.22822234657713114</v>
      </c>
      <c r="BA17" s="2">
        <v>5803</v>
      </c>
      <c r="BB17" s="156">
        <f t="shared" si="6"/>
        <v>0.54122365230367464</v>
      </c>
      <c r="BC17" s="2">
        <v>5854</v>
      </c>
      <c r="BD17" s="156">
        <f t="shared" si="6"/>
        <v>0.54598022756948328</v>
      </c>
      <c r="BE17" s="2">
        <v>6528</v>
      </c>
      <c r="BF17" s="156">
        <f t="shared" si="6"/>
        <v>0.60884163402350311</v>
      </c>
      <c r="BG17" s="10">
        <v>6037</v>
      </c>
      <c r="BH17" s="156">
        <f t="shared" si="6"/>
        <v>0.5630479388173848</v>
      </c>
      <c r="BI17" s="10">
        <v>6158</v>
      </c>
      <c r="BJ17" s="156">
        <f t="shared" si="6"/>
        <v>0.57433314680096992</v>
      </c>
      <c r="BK17" s="10">
        <v>6388</v>
      </c>
      <c r="BL17" s="156">
        <f t="shared" si="6"/>
        <v>0.59578436858795003</v>
      </c>
      <c r="BM17" s="10">
        <v>6264</v>
      </c>
      <c r="BN17" s="156">
        <f t="shared" si="7"/>
        <v>0.58421936205931724</v>
      </c>
      <c r="BO17" s="10">
        <v>6303</v>
      </c>
      <c r="BP17" s="156">
        <f t="shared" si="8"/>
        <v>0.58785674314493563</v>
      </c>
      <c r="BQ17" s="10">
        <v>5894</v>
      </c>
      <c r="BR17" s="156">
        <f t="shared" si="9"/>
        <v>0.54971087483678416</v>
      </c>
      <c r="BS17" s="10">
        <v>7106</v>
      </c>
      <c r="BT17" s="156">
        <f t="shared" si="10"/>
        <v>0.66274948703600078</v>
      </c>
      <c r="BU17" s="10">
        <v>8059</v>
      </c>
      <c r="BV17" s="156">
        <f t="shared" si="11"/>
        <v>0.75163215817944418</v>
      </c>
      <c r="BW17" s="10">
        <v>6048</v>
      </c>
      <c r="BX17" s="156">
        <f t="shared" si="12"/>
        <v>0.56407386681589256</v>
      </c>
      <c r="BY17" s="10">
        <v>5958</v>
      </c>
      <c r="BZ17" s="156">
        <f t="shared" si="13"/>
        <v>0.55567991046446563</v>
      </c>
      <c r="CA17" s="10">
        <v>5388</v>
      </c>
      <c r="CB17" s="156">
        <f t="shared" si="14"/>
        <v>0.50251818690542804</v>
      </c>
      <c r="CC17" s="10">
        <v>2897</v>
      </c>
      <c r="CD17" s="156">
        <f t="shared" si="14"/>
        <v>0.27019212833426598</v>
      </c>
      <c r="CE17" s="10">
        <v>3357</v>
      </c>
      <c r="CF17" s="156">
        <f t="shared" si="15"/>
        <v>0.31309457190822609</v>
      </c>
      <c r="CG17" s="10">
        <v>3623</v>
      </c>
      <c r="CH17" s="156">
        <f t="shared" si="16"/>
        <v>0.33790337623577693</v>
      </c>
      <c r="CI17" s="10">
        <v>9064</v>
      </c>
      <c r="CJ17" s="156">
        <f t="shared" si="17"/>
        <v>0.84536467077037869</v>
      </c>
      <c r="CK17" s="10">
        <v>5519</v>
      </c>
      <c r="CL17" s="156">
        <f t="shared" si="18"/>
        <v>0.51473605670583844</v>
      </c>
      <c r="CN17" s="156">
        <f t="shared" si="19"/>
        <v>0</v>
      </c>
      <c r="CO17" s="10">
        <v>4905</v>
      </c>
      <c r="CP17" s="156">
        <f t="shared" si="20"/>
        <v>0.45747062115276999</v>
      </c>
      <c r="CQ17" s="10">
        <v>6360</v>
      </c>
      <c r="CR17" s="156">
        <f t="shared" si="20"/>
        <v>0.59317291550083939</v>
      </c>
      <c r="CS17" s="10">
        <v>5026</v>
      </c>
      <c r="CU17" s="10">
        <v>6366</v>
      </c>
      <c r="CW17" s="10">
        <v>6816</v>
      </c>
      <c r="CY17" s="10">
        <v>4909</v>
      </c>
      <c r="DA17" s="10">
        <v>4459</v>
      </c>
      <c r="DC17" s="10">
        <v>9883</v>
      </c>
      <c r="DE17" s="10">
        <v>10022</v>
      </c>
      <c r="DF17" s="10" t="s">
        <v>1718</v>
      </c>
    </row>
    <row r="18" spans="1:110" s="10" customFormat="1" ht="15.75" customHeight="1" thickBot="1">
      <c r="A18" s="119">
        <v>20</v>
      </c>
      <c r="B18" s="120" t="s">
        <v>150</v>
      </c>
      <c r="C18" s="121" t="str">
        <f t="shared" ca="1" si="27"/>
        <v>{"name":p.FamilyName3,"vorname":p.WomanFirstName3,"geburtsdatum":p.BirthdayAdult4,"ahvNumber":p.AHVNumber10,"personInhausltVon":"01.01.2025","inHauslt":"Übernehmen","ereignis":"Eheschliessung"}</v>
      </c>
      <c r="D18" s="13"/>
      <c r="E18" s="45" t="str">
        <f t="shared" ca="1" si="28"/>
        <v>{"name":p.FamilyName3,"vorname":p.WomanFirstName3,"geburtsdatum":p.BirthdayAdult4,"ahvNumber":p.AHVNumber10,"personInhausltVon":"01.01.2025","inHauslt":"Übernehmen","ereignis":"Eheschliessung"}</v>
      </c>
      <c r="F18" s="611" t="s">
        <v>78</v>
      </c>
      <c r="G18" s="611" t="str">
        <f>G5</f>
        <v>p.FamilyName3</v>
      </c>
      <c r="H18" s="611" t="s">
        <v>79</v>
      </c>
      <c r="I18" s="609" t="str">
        <f>H62</f>
        <v>p.WomanFirstName3</v>
      </c>
      <c r="J18" s="611" t="s">
        <v>151</v>
      </c>
      <c r="K18" s="614" t="str">
        <f>J62</f>
        <v>p.BirthdayAdult4</v>
      </c>
      <c r="L18" s="611" t="s">
        <v>83</v>
      </c>
      <c r="M18" s="609" t="str">
        <f>I62</f>
        <v>p.AHVNumber10</v>
      </c>
      <c r="N18" s="611" t="s">
        <v>152</v>
      </c>
      <c r="O18" s="615" t="str">
        <f ca="1">"01.01."&amp;YEAR(TODAY())</f>
        <v>01.01.2025</v>
      </c>
      <c r="P18" s="611" t="s">
        <v>153</v>
      </c>
      <c r="Q18" s="611" t="s">
        <v>154</v>
      </c>
      <c r="R18" s="611" t="s">
        <v>155</v>
      </c>
      <c r="S18" s="611" t="s">
        <v>156</v>
      </c>
      <c r="T18" s="611" t="s">
        <v>37</v>
      </c>
      <c r="U18" s="611"/>
      <c r="V18" s="611"/>
      <c r="W18" s="611"/>
      <c r="X18" s="13"/>
      <c r="Y18" s="13"/>
      <c r="Z18" s="182"/>
      <c r="AA18" s="13"/>
      <c r="AB18" s="13"/>
      <c r="AC18" s="66"/>
      <c r="AD18" s="13"/>
      <c r="AE18" s="66"/>
      <c r="AF18" s="66"/>
      <c r="AG18" s="13"/>
      <c r="AH18" s="13"/>
      <c r="AI18" s="154">
        <v>3526</v>
      </c>
      <c r="AJ18" s="156">
        <f t="shared" ref="AJ18" si="37">AI18/($AI18)</f>
        <v>1</v>
      </c>
      <c r="AK18" s="154">
        <v>3436</v>
      </c>
      <c r="AL18" s="156">
        <f t="shared" si="3"/>
        <v>0.97447532614861032</v>
      </c>
      <c r="AM18" s="154">
        <v>3801</v>
      </c>
      <c r="AN18" s="156">
        <f t="shared" si="4"/>
        <v>1.0779920589903573</v>
      </c>
      <c r="AO18" s="13">
        <v>5376</v>
      </c>
      <c r="AP18" s="156">
        <f t="shared" si="4"/>
        <v>1.5246738513896767</v>
      </c>
      <c r="AQ18" s="13">
        <v>5596</v>
      </c>
      <c r="AR18" s="156">
        <f t="shared" si="4"/>
        <v>1.5870674985819626</v>
      </c>
      <c r="AS18" s="13">
        <v>5412</v>
      </c>
      <c r="AT18" s="156">
        <f t="shared" si="4"/>
        <v>1.5348837209302326</v>
      </c>
      <c r="AU18" s="13">
        <v>5245</v>
      </c>
      <c r="AV18" s="156">
        <f t="shared" si="4"/>
        <v>1.4875212705615428</v>
      </c>
      <c r="AW18" s="13">
        <v>5242</v>
      </c>
      <c r="AX18" s="156">
        <f t="shared" si="5"/>
        <v>1.4866704480998298</v>
      </c>
      <c r="AY18" s="2">
        <v>5558</v>
      </c>
      <c r="AZ18" s="156">
        <f t="shared" si="5"/>
        <v>1.5762904140669314</v>
      </c>
      <c r="BA18" s="2">
        <v>3311</v>
      </c>
      <c r="BB18" s="156">
        <f t="shared" si="6"/>
        <v>0.93902439024390238</v>
      </c>
      <c r="BC18" s="2">
        <v>3839</v>
      </c>
      <c r="BD18" s="156">
        <f t="shared" si="6"/>
        <v>1.0887691435053886</v>
      </c>
      <c r="BE18" s="2">
        <v>2847</v>
      </c>
      <c r="BF18" s="156">
        <f t="shared" si="6"/>
        <v>0.80743051616562678</v>
      </c>
      <c r="BG18" s="10">
        <v>4472</v>
      </c>
      <c r="BH18" s="156">
        <f t="shared" si="6"/>
        <v>1.2682926829268293</v>
      </c>
      <c r="BI18" s="10">
        <v>4814</v>
      </c>
      <c r="BJ18" s="156">
        <f t="shared" si="6"/>
        <v>1.3652864435621099</v>
      </c>
      <c r="BK18" s="10">
        <v>4168</v>
      </c>
      <c r="BL18" s="156">
        <f t="shared" si="6"/>
        <v>1.1820760068065796</v>
      </c>
      <c r="BM18" s="10">
        <v>4245</v>
      </c>
      <c r="BN18" s="156">
        <f t="shared" si="7"/>
        <v>1.2039137833238798</v>
      </c>
      <c r="BO18" s="10">
        <v>4423</v>
      </c>
      <c r="BP18" s="156">
        <f t="shared" si="8"/>
        <v>1.2543959160521838</v>
      </c>
      <c r="BQ18" s="10">
        <v>4919</v>
      </c>
      <c r="BR18" s="156">
        <f t="shared" si="9"/>
        <v>1.3950652297220647</v>
      </c>
      <c r="BS18" s="10">
        <v>4111</v>
      </c>
      <c r="BT18" s="156">
        <f t="shared" si="10"/>
        <v>1.1659103800340329</v>
      </c>
      <c r="BU18" s="10">
        <v>4436</v>
      </c>
      <c r="BV18" s="156">
        <f t="shared" si="11"/>
        <v>1.2580828133862734</v>
      </c>
      <c r="BW18" s="10">
        <v>3778</v>
      </c>
      <c r="BX18" s="156">
        <f t="shared" si="12"/>
        <v>1.0714690867838912</v>
      </c>
      <c r="BY18" s="10">
        <v>3601</v>
      </c>
      <c r="BZ18" s="156">
        <f t="shared" si="13"/>
        <v>1.0212705615428248</v>
      </c>
      <c r="CA18" s="10">
        <v>4202</v>
      </c>
      <c r="CB18" s="156">
        <f t="shared" si="14"/>
        <v>1.1917186613726602</v>
      </c>
      <c r="CC18" s="10">
        <v>4482</v>
      </c>
      <c r="CD18" s="156">
        <f t="shared" si="14"/>
        <v>1.2711287577992059</v>
      </c>
      <c r="CE18" s="10">
        <v>4234</v>
      </c>
      <c r="CF18" s="156">
        <f t="shared" si="15"/>
        <v>1.2007941009642655</v>
      </c>
      <c r="CG18" s="10">
        <v>3794</v>
      </c>
      <c r="CH18" s="156">
        <f t="shared" si="16"/>
        <v>1.0760068065796937</v>
      </c>
      <c r="CI18" s="10">
        <v>3847</v>
      </c>
      <c r="CJ18" s="156">
        <f t="shared" si="17"/>
        <v>1.0910380034032898</v>
      </c>
      <c r="CK18" s="10">
        <v>5000</v>
      </c>
      <c r="CL18" s="156">
        <f t="shared" si="18"/>
        <v>1.4180374361883155</v>
      </c>
      <c r="CN18" s="156">
        <f t="shared" si="19"/>
        <v>0</v>
      </c>
      <c r="CO18" s="10">
        <v>3756</v>
      </c>
      <c r="CP18" s="156">
        <f t="shared" si="20"/>
        <v>1.0652297220646625</v>
      </c>
      <c r="CQ18" s="10">
        <v>3886</v>
      </c>
      <c r="CR18" s="156">
        <f t="shared" si="20"/>
        <v>1.1020986954055587</v>
      </c>
      <c r="CS18" s="10">
        <v>3549</v>
      </c>
      <c r="CU18" s="10">
        <v>3073</v>
      </c>
      <c r="CW18" s="10">
        <v>6405</v>
      </c>
      <c r="CY18" s="10">
        <v>4379</v>
      </c>
      <c r="DA18" s="10">
        <v>5050</v>
      </c>
      <c r="DC18" s="10">
        <v>2818</v>
      </c>
      <c r="DE18" s="10">
        <v>3012</v>
      </c>
      <c r="DF18" s="10" t="s">
        <v>1718</v>
      </c>
    </row>
    <row r="19" spans="1:110" s="10" customFormat="1" ht="15.75" customHeight="1" thickBot="1">
      <c r="A19" s="119">
        <v>21</v>
      </c>
      <c r="B19" s="120" t="s">
        <v>150</v>
      </c>
      <c r="C19" s="121" t="str">
        <f t="shared" ca="1" si="27"/>
        <v>{"name":p.FamilyName3,"vorname":p.GirlFirstName3,"geburtsdatum":p.BirthdayKid3,"ahvNumber":p.AHVNumber11,"personInhausltVon":"01.01.2025","inHauslt":"Übernehmen","ereignis":"Geburt"}</v>
      </c>
      <c r="D19" s="13"/>
      <c r="E19" s="45" t="str">
        <f t="shared" ca="1" si="28"/>
        <v>{"name":p.FamilyName3,"vorname":p.GirlFirstName3,"geburtsdatum":p.BirthdayKid3,"ahvNumber":p.AHVNumber11,"personInhausltVon":"01.01.2025","inHauslt":"Übernehmen","ereignis":"Geburt"}</v>
      </c>
      <c r="F19" s="611" t="s">
        <v>78</v>
      </c>
      <c r="G19" s="611" t="str">
        <f>G18</f>
        <v>p.FamilyName3</v>
      </c>
      <c r="H19" s="611" t="s">
        <v>79</v>
      </c>
      <c r="I19" s="609" t="str">
        <f>H63</f>
        <v>p.GirlFirstName3</v>
      </c>
      <c r="J19" s="611" t="s">
        <v>151</v>
      </c>
      <c r="K19" s="614" t="str">
        <f>J63</f>
        <v>p.BirthdayKid3</v>
      </c>
      <c r="L19" s="611" t="s">
        <v>83</v>
      </c>
      <c r="M19" s="609" t="str">
        <f>I63</f>
        <v>p.AHVNumber11</v>
      </c>
      <c r="N19" s="611" t="s">
        <v>152</v>
      </c>
      <c r="O19" s="615" t="str">
        <f ca="1">"01.01."&amp;YEAR(TODAY())</f>
        <v>01.01.2025</v>
      </c>
      <c r="P19" s="611" t="s">
        <v>153</v>
      </c>
      <c r="Q19" s="611" t="s">
        <v>154</v>
      </c>
      <c r="R19" s="611" t="s">
        <v>155</v>
      </c>
      <c r="S19" s="611" t="s">
        <v>157</v>
      </c>
      <c r="T19" s="611" t="s">
        <v>37</v>
      </c>
      <c r="U19" s="611"/>
      <c r="V19" s="611"/>
      <c r="W19" s="611"/>
      <c r="X19" s="13"/>
      <c r="Y19" s="13"/>
      <c r="Z19" s="182"/>
      <c r="AA19" s="13"/>
      <c r="AB19" s="13"/>
      <c r="AC19" s="66"/>
      <c r="AD19" s="13"/>
      <c r="AE19" s="66"/>
      <c r="AF19" s="66"/>
      <c r="AG19" s="13"/>
      <c r="AH19" s="13"/>
      <c r="AI19" s="154">
        <v>2541</v>
      </c>
      <c r="AJ19" s="156">
        <f t="shared" ref="AJ19" si="38">AI19/($AI19)</f>
        <v>1</v>
      </c>
      <c r="AK19" s="154">
        <v>2333</v>
      </c>
      <c r="AL19" s="156">
        <f t="shared" si="3"/>
        <v>0.91814246359700902</v>
      </c>
      <c r="AM19" s="154">
        <v>3947</v>
      </c>
      <c r="AN19" s="156">
        <f t="shared" si="4"/>
        <v>1.5533254624163715</v>
      </c>
      <c r="AO19" s="13">
        <v>5425</v>
      </c>
      <c r="AP19" s="156">
        <f t="shared" si="4"/>
        <v>2.1349862258953167</v>
      </c>
      <c r="AQ19" s="13">
        <v>5370</v>
      </c>
      <c r="AR19" s="156">
        <f t="shared" si="4"/>
        <v>2.113341204250295</v>
      </c>
      <c r="AS19" s="13">
        <v>5288</v>
      </c>
      <c r="AT19" s="156">
        <f t="shared" si="4"/>
        <v>2.0810704447068082</v>
      </c>
      <c r="AU19" s="13">
        <v>5108</v>
      </c>
      <c r="AV19" s="156">
        <f t="shared" si="4"/>
        <v>2.0102321920503741</v>
      </c>
      <c r="AW19" s="13">
        <v>4060</v>
      </c>
      <c r="AX19" s="156">
        <f t="shared" si="5"/>
        <v>1.5977961432506886</v>
      </c>
      <c r="AY19" s="2">
        <v>4164</v>
      </c>
      <c r="AZ19" s="156">
        <f t="shared" si="5"/>
        <v>1.6387249114521842</v>
      </c>
      <c r="BA19" s="2">
        <v>2359</v>
      </c>
      <c r="BB19" s="156">
        <f t="shared" si="6"/>
        <v>0.92837465564738297</v>
      </c>
      <c r="BC19" s="2">
        <v>2449</v>
      </c>
      <c r="BD19" s="156">
        <f t="shared" si="6"/>
        <v>0.96379378197560017</v>
      </c>
      <c r="BE19" s="2">
        <v>2329</v>
      </c>
      <c r="BF19" s="156">
        <f t="shared" si="6"/>
        <v>0.91656828020464387</v>
      </c>
      <c r="BG19" s="10">
        <v>2762</v>
      </c>
      <c r="BH19" s="156">
        <f t="shared" si="6"/>
        <v>1.0869736324281778</v>
      </c>
      <c r="BI19" s="10">
        <v>3101</v>
      </c>
      <c r="BJ19" s="156">
        <f t="shared" si="6"/>
        <v>1.2203856749311295</v>
      </c>
      <c r="BK19" s="10">
        <v>2858</v>
      </c>
      <c r="BL19" s="156">
        <f t="shared" si="6"/>
        <v>1.1247540338449429</v>
      </c>
      <c r="BM19" s="10">
        <v>2870</v>
      </c>
      <c r="BN19" s="156">
        <f t="shared" si="7"/>
        <v>1.1294765840220387</v>
      </c>
      <c r="BO19" s="10">
        <v>2911</v>
      </c>
      <c r="BP19" s="156">
        <f t="shared" si="8"/>
        <v>1.1456119637937821</v>
      </c>
      <c r="BQ19" s="10">
        <v>2796</v>
      </c>
      <c r="BR19" s="156">
        <f t="shared" si="9"/>
        <v>1.1003541912632822</v>
      </c>
      <c r="BS19" s="10">
        <v>2589</v>
      </c>
      <c r="BT19" s="156">
        <f t="shared" si="10"/>
        <v>1.0188902007083824</v>
      </c>
      <c r="BU19" s="10">
        <v>2709</v>
      </c>
      <c r="BV19" s="156">
        <f t="shared" si="11"/>
        <v>1.0661157024793388</v>
      </c>
      <c r="BW19" s="10">
        <v>2594</v>
      </c>
      <c r="BX19" s="156">
        <f t="shared" si="12"/>
        <v>1.0208579299488389</v>
      </c>
      <c r="BY19" s="10">
        <v>2548</v>
      </c>
      <c r="BZ19" s="156">
        <f t="shared" si="13"/>
        <v>1.002754820936639</v>
      </c>
      <c r="CA19" s="10">
        <v>2590</v>
      </c>
      <c r="CB19" s="156">
        <f t="shared" si="14"/>
        <v>1.0192837465564739</v>
      </c>
      <c r="CC19" s="10">
        <v>2630</v>
      </c>
      <c r="CD19" s="156">
        <f t="shared" si="14"/>
        <v>1.0350255804801258</v>
      </c>
      <c r="CE19" s="10">
        <v>2622</v>
      </c>
      <c r="CF19" s="156">
        <f t="shared" si="15"/>
        <v>1.0318772136953955</v>
      </c>
      <c r="CG19" s="10">
        <v>2499</v>
      </c>
      <c r="CH19" s="156">
        <f t="shared" si="16"/>
        <v>0.98347107438016534</v>
      </c>
      <c r="CI19" s="10">
        <v>2461</v>
      </c>
      <c r="CJ19" s="156">
        <f t="shared" si="17"/>
        <v>0.96851633215269584</v>
      </c>
      <c r="CK19" s="10">
        <v>2365</v>
      </c>
      <c r="CL19" s="156">
        <f t="shared" si="18"/>
        <v>0.93073593073593075</v>
      </c>
      <c r="CN19" s="156">
        <f t="shared" si="19"/>
        <v>0</v>
      </c>
      <c r="CO19" s="10">
        <v>2512</v>
      </c>
      <c r="CP19" s="156">
        <f t="shared" si="20"/>
        <v>0.98858717040535227</v>
      </c>
      <c r="CQ19" s="10">
        <v>2693</v>
      </c>
      <c r="CR19" s="156">
        <f t="shared" si="20"/>
        <v>1.059818968909878</v>
      </c>
      <c r="CS19" s="10">
        <v>2225</v>
      </c>
      <c r="CU19" s="10">
        <v>2822</v>
      </c>
      <c r="CW19" s="10">
        <v>10045</v>
      </c>
      <c r="CY19" s="10">
        <v>2496</v>
      </c>
      <c r="DA19" s="10">
        <v>5239</v>
      </c>
      <c r="DC19" s="10">
        <v>5148</v>
      </c>
      <c r="DE19" s="10">
        <v>4146</v>
      </c>
      <c r="DF19" s="10" t="s">
        <v>1718</v>
      </c>
    </row>
    <row r="20" spans="1:110" s="10" customFormat="1" ht="15.75" customHeight="1" thickBot="1">
      <c r="A20" s="119">
        <v>22</v>
      </c>
      <c r="B20" s="120" t="s">
        <v>150</v>
      </c>
      <c r="C20" s="121" t="str">
        <f t="shared" ca="1" si="27"/>
        <v>{"name":p.FamilyName3,"vorname":p.ManFirstName4,"geburtsdatum":p.BirthdayKid4,"ahvNumber":p.AHVNumber12,"personInhausltVon":"01.01.2025","inHauslt":"Übernehmen","ereignis":"Geburt"}</v>
      </c>
      <c r="D20" s="13"/>
      <c r="E20" s="45" t="str">
        <f t="shared" ca="1" si="28"/>
        <v>{"name":p.FamilyName3,"vorname":p.ManFirstName4,"geburtsdatum":p.BirthdayKid4,"ahvNumber":p.AHVNumber12,"personInhausltVon":"01.01.2025","inHauslt":"Übernehmen","ereignis":"Geburt"}</v>
      </c>
      <c r="F20" s="611" t="s">
        <v>78</v>
      </c>
      <c r="G20" s="611" t="str">
        <f>G19</f>
        <v>p.FamilyName3</v>
      </c>
      <c r="H20" s="611" t="s">
        <v>79</v>
      </c>
      <c r="I20" s="609" t="str">
        <f>H64</f>
        <v>p.ManFirstName4</v>
      </c>
      <c r="J20" s="611" t="s">
        <v>151</v>
      </c>
      <c r="K20" s="614" t="str">
        <f>J64</f>
        <v>p.BirthdayKid4</v>
      </c>
      <c r="L20" s="611" t="s">
        <v>83</v>
      </c>
      <c r="M20" s="609" t="str">
        <f>I64</f>
        <v>p.AHVNumber12</v>
      </c>
      <c r="N20" s="611" t="s">
        <v>152</v>
      </c>
      <c r="O20" s="615" t="str">
        <f ca="1">"01.01."&amp;YEAR(TODAY())</f>
        <v>01.01.2025</v>
      </c>
      <c r="P20" s="611" t="s">
        <v>153</v>
      </c>
      <c r="Q20" s="611" t="s">
        <v>154</v>
      </c>
      <c r="R20" s="611" t="s">
        <v>155</v>
      </c>
      <c r="S20" s="611" t="s">
        <v>157</v>
      </c>
      <c r="T20" s="611" t="s">
        <v>37</v>
      </c>
      <c r="U20" s="611"/>
      <c r="V20" s="611"/>
      <c r="W20" s="611"/>
      <c r="X20" s="13"/>
      <c r="Y20" s="13"/>
      <c r="Z20" s="182"/>
      <c r="AA20" s="13"/>
      <c r="AB20" s="13"/>
      <c r="AC20" s="66"/>
      <c r="AD20" s="13"/>
      <c r="AE20" s="66"/>
      <c r="AF20" s="66"/>
      <c r="AG20" s="13"/>
      <c r="AH20" s="13"/>
      <c r="AI20" s="154">
        <v>4538</v>
      </c>
      <c r="AJ20" s="156">
        <f t="shared" ref="AJ20" si="39">AI20/($AI20)</f>
        <v>1</v>
      </c>
      <c r="AK20" s="154">
        <v>3148</v>
      </c>
      <c r="AL20" s="156">
        <f t="shared" si="3"/>
        <v>0.6936976641692375</v>
      </c>
      <c r="AM20" s="154">
        <v>5414</v>
      </c>
      <c r="AN20" s="156">
        <f t="shared" si="4"/>
        <v>1.1930365799911855</v>
      </c>
      <c r="AO20" s="13">
        <v>5366</v>
      </c>
      <c r="AP20" s="156">
        <f t="shared" si="4"/>
        <v>1.1824592331423533</v>
      </c>
      <c r="AQ20" s="13">
        <v>5548</v>
      </c>
      <c r="AR20" s="156">
        <f t="shared" si="4"/>
        <v>1.2225650066108418</v>
      </c>
      <c r="AS20" s="13">
        <v>5165</v>
      </c>
      <c r="AT20" s="156">
        <f t="shared" si="4"/>
        <v>1.1381665932128691</v>
      </c>
      <c r="AU20" s="13">
        <v>5170</v>
      </c>
      <c r="AV20" s="156">
        <f t="shared" si="4"/>
        <v>1.1392684001762892</v>
      </c>
      <c r="AW20" s="13">
        <v>4531</v>
      </c>
      <c r="AX20" s="156">
        <f t="shared" si="5"/>
        <v>0.99845747025121201</v>
      </c>
      <c r="AY20" s="2">
        <v>4619</v>
      </c>
      <c r="AZ20" s="156">
        <f t="shared" si="5"/>
        <v>1.0178492728074042</v>
      </c>
      <c r="BA20" s="2">
        <v>2845</v>
      </c>
      <c r="BB20" s="156">
        <f t="shared" si="6"/>
        <v>0.62692816218598502</v>
      </c>
      <c r="BC20" s="2">
        <v>2697</v>
      </c>
      <c r="BD20" s="156">
        <f t="shared" si="6"/>
        <v>0.59431467606875277</v>
      </c>
      <c r="BE20" s="2">
        <v>2743</v>
      </c>
      <c r="BF20" s="156">
        <f t="shared" si="6"/>
        <v>0.60445130013221682</v>
      </c>
      <c r="BG20" s="10">
        <v>3274</v>
      </c>
      <c r="BH20" s="156">
        <f t="shared" si="6"/>
        <v>0.72146319964742178</v>
      </c>
      <c r="BI20" s="10">
        <v>3687</v>
      </c>
      <c r="BJ20" s="156">
        <f t="shared" si="6"/>
        <v>0.81247245482591446</v>
      </c>
      <c r="BK20" s="10">
        <v>3154</v>
      </c>
      <c r="BL20" s="156">
        <f t="shared" si="6"/>
        <v>0.69501983252534161</v>
      </c>
      <c r="BM20" s="10">
        <v>3896</v>
      </c>
      <c r="BN20" s="156">
        <f t="shared" si="7"/>
        <v>0.85852798589687085</v>
      </c>
      <c r="BO20" s="10">
        <v>3729</v>
      </c>
      <c r="BP20" s="156">
        <f t="shared" si="8"/>
        <v>0.82172763331864263</v>
      </c>
      <c r="BQ20" s="10">
        <v>3252</v>
      </c>
      <c r="BR20" s="156">
        <f t="shared" si="9"/>
        <v>0.7166152490083737</v>
      </c>
      <c r="BS20" s="10">
        <v>3173</v>
      </c>
      <c r="BT20" s="156">
        <f t="shared" si="10"/>
        <v>0.69920669898633758</v>
      </c>
      <c r="BU20" s="10">
        <v>3385</v>
      </c>
      <c r="BV20" s="156">
        <f t="shared" si="11"/>
        <v>0.74592331423534597</v>
      </c>
      <c r="BW20" s="10">
        <v>2978</v>
      </c>
      <c r="BX20" s="156">
        <f t="shared" si="12"/>
        <v>0.65623622741295728</v>
      </c>
      <c r="BY20" s="10">
        <v>2939</v>
      </c>
      <c r="BZ20" s="156">
        <f t="shared" si="13"/>
        <v>0.64764213309828123</v>
      </c>
      <c r="CA20" s="10">
        <v>3179</v>
      </c>
      <c r="CB20" s="156">
        <f t="shared" si="14"/>
        <v>0.70052886734244157</v>
      </c>
      <c r="CC20" s="10">
        <v>3057</v>
      </c>
      <c r="CD20" s="156">
        <f t="shared" si="14"/>
        <v>0.6736447774349934</v>
      </c>
      <c r="CE20" s="10">
        <v>3525</v>
      </c>
      <c r="CF20" s="156">
        <f t="shared" si="15"/>
        <v>0.77677390921110623</v>
      </c>
      <c r="CG20" s="10">
        <v>3207</v>
      </c>
      <c r="CH20" s="156">
        <f t="shared" si="16"/>
        <v>0.70669898633759365</v>
      </c>
      <c r="CI20" s="10">
        <v>4674</v>
      </c>
      <c r="CJ20" s="156">
        <f t="shared" si="17"/>
        <v>1.0299691494050243</v>
      </c>
      <c r="CK20" s="10">
        <v>3927</v>
      </c>
      <c r="CL20" s="156">
        <f t="shared" si="18"/>
        <v>0.86535918907007492</v>
      </c>
      <c r="CN20" s="156">
        <f t="shared" si="19"/>
        <v>0</v>
      </c>
      <c r="CO20" s="10">
        <v>3278</v>
      </c>
      <c r="CP20" s="156">
        <f t="shared" si="20"/>
        <v>0.72234464521815778</v>
      </c>
      <c r="CQ20" s="10">
        <v>5042</v>
      </c>
      <c r="CR20" s="156">
        <f t="shared" si="20"/>
        <v>1.1110621419127369</v>
      </c>
      <c r="CS20" s="10">
        <v>3612</v>
      </c>
      <c r="CU20" s="10">
        <v>3348</v>
      </c>
      <c r="CW20" s="10">
        <v>5224</v>
      </c>
      <c r="CY20" s="10">
        <v>2848</v>
      </c>
      <c r="DA20" s="10">
        <v>2698</v>
      </c>
      <c r="DC20" s="10">
        <v>2501</v>
      </c>
      <c r="DE20" s="10">
        <v>2515</v>
      </c>
      <c r="DF20" s="10" t="s">
        <v>1718</v>
      </c>
    </row>
    <row r="21" spans="1:110" s="10" customFormat="1" ht="15.75" customHeight="1" thickBot="1">
      <c r="A21" s="119">
        <v>18</v>
      </c>
      <c r="B21" s="591" t="s">
        <v>139</v>
      </c>
      <c r="C21" s="595" t="str">
        <f>E21</f>
        <v>{"searchDossierOrKlient":p.DossierName3,"resultType":"Dossiers"}</v>
      </c>
      <c r="D21" s="90"/>
      <c r="E21" s="91" t="str">
        <f>F21&amp;G21&amp;H21&amp;I21&amp;J21&amp;K21&amp;L21&amp;M21&amp;N21&amp;O21&amp;P21&amp;Q21&amp;R21&amp;S21&amp;T21&amp;U21&amp;V21&amp;W21&amp;X21</f>
        <v>{"searchDossierOrKlient":p.DossierName3,"resultType":"Dossiers"}</v>
      </c>
      <c r="F21" s="609" t="s">
        <v>140</v>
      </c>
      <c r="G21" s="611" t="str">
        <f>G14</f>
        <v>p.DossierName3</v>
      </c>
      <c r="H21" s="609" t="s">
        <v>141</v>
      </c>
      <c r="I21" s="611" t="s">
        <v>142</v>
      </c>
      <c r="J21" s="609" t="s">
        <v>37</v>
      </c>
      <c r="K21" s="611"/>
      <c r="L21" s="609"/>
      <c r="M21" s="611"/>
      <c r="N21" s="609"/>
      <c r="O21" s="611"/>
      <c r="P21" s="609"/>
      <c r="Q21" s="611"/>
      <c r="R21" s="609"/>
      <c r="S21" s="611"/>
      <c r="T21" s="609"/>
      <c r="U21" s="611"/>
      <c r="V21" s="609"/>
      <c r="W21" s="611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162">
        <v>4057</v>
      </c>
      <c r="AJ21" s="156">
        <f t="shared" ref="AJ21" si="40">AI21/($AI21)</f>
        <v>1</v>
      </c>
      <c r="AK21" s="162">
        <v>4007</v>
      </c>
      <c r="AL21" s="156">
        <f t="shared" si="3"/>
        <v>0.98767562238106976</v>
      </c>
      <c r="AM21" s="162">
        <v>4019</v>
      </c>
      <c r="AN21" s="156">
        <f t="shared" si="4"/>
        <v>0.99063347300961302</v>
      </c>
      <c r="AO21" s="90">
        <v>5210</v>
      </c>
      <c r="AP21" s="156">
        <f t="shared" si="4"/>
        <v>1.2842001478925313</v>
      </c>
      <c r="AQ21" s="90">
        <v>5140</v>
      </c>
      <c r="AR21" s="156">
        <f t="shared" si="4"/>
        <v>1.2669460192260291</v>
      </c>
      <c r="AS21" s="90">
        <v>5208</v>
      </c>
      <c r="AT21" s="156">
        <f t="shared" si="4"/>
        <v>1.2837071727877742</v>
      </c>
      <c r="AU21" s="90">
        <v>5189</v>
      </c>
      <c r="AV21" s="156">
        <f t="shared" si="4"/>
        <v>1.2790239092925808</v>
      </c>
      <c r="AW21" s="90">
        <v>4437</v>
      </c>
      <c r="AX21" s="156">
        <f t="shared" si="5"/>
        <v>1.0936652699038698</v>
      </c>
      <c r="AY21" s="2">
        <v>4296</v>
      </c>
      <c r="AZ21" s="156">
        <f t="shared" si="5"/>
        <v>1.0589105250184865</v>
      </c>
      <c r="BA21" s="2">
        <v>2671</v>
      </c>
      <c r="BB21" s="156">
        <f t="shared" si="6"/>
        <v>0.65836825240325358</v>
      </c>
      <c r="BC21" s="2">
        <v>2650</v>
      </c>
      <c r="BD21" s="156">
        <f t="shared" si="6"/>
        <v>0.65319201380330294</v>
      </c>
      <c r="BE21" s="2">
        <v>2636</v>
      </c>
      <c r="BF21" s="156">
        <f t="shared" si="6"/>
        <v>0.64974118807000247</v>
      </c>
      <c r="BG21" s="10">
        <v>3072</v>
      </c>
      <c r="BH21" s="156">
        <f t="shared" si="6"/>
        <v>0.75720976090707415</v>
      </c>
      <c r="BI21" s="10">
        <v>3795</v>
      </c>
      <c r="BJ21" s="156">
        <f t="shared" si="6"/>
        <v>0.93542026127680555</v>
      </c>
      <c r="BK21" s="10">
        <v>3137</v>
      </c>
      <c r="BL21" s="156">
        <f t="shared" si="6"/>
        <v>0.77323145181168351</v>
      </c>
      <c r="BM21" s="10">
        <v>3520</v>
      </c>
      <c r="BN21" s="156">
        <f t="shared" si="7"/>
        <v>0.86763618437268919</v>
      </c>
      <c r="BO21" s="10">
        <v>3171</v>
      </c>
      <c r="BP21" s="156">
        <f t="shared" si="8"/>
        <v>0.78161202859255607</v>
      </c>
      <c r="BQ21" s="10">
        <v>3009</v>
      </c>
      <c r="BR21" s="156">
        <f t="shared" si="9"/>
        <v>0.7416810451072221</v>
      </c>
      <c r="BS21" s="10">
        <v>3254</v>
      </c>
      <c r="BT21" s="156">
        <f t="shared" si="10"/>
        <v>0.80207049543998032</v>
      </c>
      <c r="BU21" s="10">
        <v>3510</v>
      </c>
      <c r="BV21" s="156">
        <f t="shared" si="11"/>
        <v>0.86517130884890314</v>
      </c>
      <c r="BW21" s="10">
        <v>2899</v>
      </c>
      <c r="BX21" s="156">
        <f t="shared" si="12"/>
        <v>0.71456741434557558</v>
      </c>
      <c r="BY21" s="10">
        <v>2856</v>
      </c>
      <c r="BZ21" s="156">
        <f t="shared" si="13"/>
        <v>0.70396844959329552</v>
      </c>
      <c r="CA21" s="10">
        <v>2617</v>
      </c>
      <c r="CB21" s="156">
        <f t="shared" si="14"/>
        <v>0.64505792457480893</v>
      </c>
      <c r="CC21" s="10">
        <v>2922</v>
      </c>
      <c r="CD21" s="156">
        <f t="shared" si="14"/>
        <v>0.72023662805028343</v>
      </c>
      <c r="CE21" s="10">
        <v>2957</v>
      </c>
      <c r="CF21" s="156">
        <f t="shared" si="15"/>
        <v>0.72886369238353466</v>
      </c>
      <c r="CG21" s="10">
        <v>2807</v>
      </c>
      <c r="CH21" s="156">
        <f t="shared" si="16"/>
        <v>0.69189055952674394</v>
      </c>
      <c r="CI21" s="10">
        <v>3333</v>
      </c>
      <c r="CJ21" s="156">
        <f t="shared" si="17"/>
        <v>0.82154301207789004</v>
      </c>
      <c r="CK21" s="10">
        <v>4029</v>
      </c>
      <c r="CL21" s="156">
        <f t="shared" si="18"/>
        <v>0.99309834853339907</v>
      </c>
      <c r="CN21" s="156">
        <f t="shared" si="19"/>
        <v>0</v>
      </c>
      <c r="CO21" s="10">
        <v>3343</v>
      </c>
      <c r="CP21" s="156">
        <f t="shared" si="20"/>
        <v>0.82400788760167609</v>
      </c>
      <c r="CQ21" s="10">
        <v>3902</v>
      </c>
      <c r="CR21" s="156">
        <f t="shared" si="20"/>
        <v>0.96179442938131621</v>
      </c>
      <c r="CS21" s="10">
        <v>2882</v>
      </c>
      <c r="CU21" s="10">
        <v>2315</v>
      </c>
      <c r="CW21" s="10">
        <v>4618</v>
      </c>
      <c r="CY21" s="10">
        <v>2976</v>
      </c>
      <c r="DA21" s="10">
        <v>3257</v>
      </c>
      <c r="DC21" s="10">
        <v>3542</v>
      </c>
      <c r="DE21" s="10">
        <v>2871</v>
      </c>
      <c r="DF21" s="10" t="s">
        <v>1718</v>
      </c>
    </row>
    <row r="22" spans="1:110" s="10" customFormat="1" ht="18.75" customHeight="1" thickBot="1">
      <c r="A22" s="119"/>
      <c r="B22" s="590" t="s">
        <v>143</v>
      </c>
      <c r="C22" s="121" t="str">
        <f t="shared" si="27"/>
        <v>{"vermieter":"Graber Immobilien","wohnungsgrosse":"4 Zimmer","mietkosten":3000,"nebenkosten":300}</v>
      </c>
      <c r="D22" s="13"/>
      <c r="E22" s="45" t="str">
        <f t="shared" si="28"/>
        <v>{"vermieter":"Graber Immobilien","wohnungsgrosse":"4 Zimmer","mietkosten":3000,"nebenkosten":300}</v>
      </c>
      <c r="F22" s="611" t="s">
        <v>144</v>
      </c>
      <c r="G22" s="609" t="s">
        <v>145</v>
      </c>
      <c r="H22" s="611" t="s">
        <v>146</v>
      </c>
      <c r="I22" s="611" t="s">
        <v>147</v>
      </c>
      <c r="J22" s="611" t="s">
        <v>148</v>
      </c>
      <c r="K22" s="611">
        <v>3000</v>
      </c>
      <c r="L22" s="611" t="s">
        <v>149</v>
      </c>
      <c r="M22" s="611">
        <v>300</v>
      </c>
      <c r="N22" s="611" t="s">
        <v>109</v>
      </c>
      <c r="O22" s="611"/>
      <c r="P22" s="611"/>
      <c r="Q22" s="611"/>
      <c r="R22" s="611"/>
      <c r="S22" s="611"/>
      <c r="T22" s="611"/>
      <c r="U22" s="611"/>
      <c r="V22" s="611"/>
      <c r="W22" s="611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54">
        <v>3271</v>
      </c>
      <c r="AJ22" s="156">
        <f t="shared" ref="AJ22" si="41">AI22/($AI22)</f>
        <v>1</v>
      </c>
      <c r="AK22" s="154">
        <v>2979</v>
      </c>
      <c r="AL22" s="156">
        <f t="shared" si="3"/>
        <v>0.91073066340568631</v>
      </c>
      <c r="AM22" s="154">
        <v>4426</v>
      </c>
      <c r="AN22" s="156">
        <f t="shared" si="4"/>
        <v>1.3531030265973709</v>
      </c>
      <c r="AO22" s="13">
        <v>0</v>
      </c>
      <c r="AP22" s="156">
        <f t="shared" si="4"/>
        <v>0</v>
      </c>
      <c r="AQ22" s="13">
        <v>11035</v>
      </c>
      <c r="AR22" s="156">
        <f t="shared" si="4"/>
        <v>3.3735860593090798</v>
      </c>
      <c r="AS22" s="13">
        <v>11190</v>
      </c>
      <c r="AT22" s="156">
        <f t="shared" si="4"/>
        <v>3.4209721797615407</v>
      </c>
      <c r="AU22" s="13">
        <v>10867</v>
      </c>
      <c r="AV22" s="156">
        <f t="shared" si="4"/>
        <v>3.3222256190767347</v>
      </c>
      <c r="AW22" s="13">
        <v>3867</v>
      </c>
      <c r="AX22" s="156">
        <f t="shared" si="5"/>
        <v>1.1822072760623663</v>
      </c>
      <c r="AY22" s="2">
        <v>3765</v>
      </c>
      <c r="AZ22" s="156">
        <f t="shared" si="5"/>
        <v>1.1510241516355855</v>
      </c>
      <c r="BA22" s="2">
        <v>5101</v>
      </c>
      <c r="BB22" s="156">
        <f t="shared" si="6"/>
        <v>1.5594619382451849</v>
      </c>
      <c r="BC22" s="2">
        <v>5024</v>
      </c>
      <c r="BD22" s="156">
        <f t="shared" si="6"/>
        <v>1.535921736472027</v>
      </c>
      <c r="BE22" s="2">
        <v>5226</v>
      </c>
      <c r="BF22" s="156">
        <f t="shared" si="6"/>
        <v>1.5976765515132987</v>
      </c>
      <c r="BG22" s="10">
        <v>5402</v>
      </c>
      <c r="BH22" s="156">
        <f t="shared" si="6"/>
        <v>1.6514827269948029</v>
      </c>
      <c r="BI22" s="10">
        <v>5516</v>
      </c>
      <c r="BJ22" s="156">
        <f t="shared" si="6"/>
        <v>1.6863344542953225</v>
      </c>
      <c r="BK22" s="10">
        <v>5721</v>
      </c>
      <c r="BL22" s="156">
        <f t="shared" si="6"/>
        <v>1.749006420055029</v>
      </c>
      <c r="BM22" s="10">
        <v>5576</v>
      </c>
      <c r="BN22" s="156">
        <f t="shared" si="7"/>
        <v>1.7046774686640171</v>
      </c>
      <c r="BO22" s="10">
        <v>5620</v>
      </c>
      <c r="BP22" s="156">
        <f t="shared" si="8"/>
        <v>1.7181290125343931</v>
      </c>
      <c r="BQ22" s="10">
        <v>5757</v>
      </c>
      <c r="BR22" s="156">
        <f t="shared" si="9"/>
        <v>1.7600122286762458</v>
      </c>
      <c r="BS22" s="10">
        <v>5612</v>
      </c>
      <c r="BT22" s="156">
        <f t="shared" si="10"/>
        <v>1.715683277285234</v>
      </c>
      <c r="BU22" s="10">
        <v>5552</v>
      </c>
      <c r="BV22" s="156">
        <f t="shared" si="11"/>
        <v>1.6973402629165393</v>
      </c>
      <c r="BW22" s="10">
        <v>5307</v>
      </c>
      <c r="BX22" s="156">
        <f t="shared" si="12"/>
        <v>1.6224396209110363</v>
      </c>
      <c r="BY22" s="10">
        <v>5504</v>
      </c>
      <c r="BZ22" s="156">
        <f t="shared" si="13"/>
        <v>1.6826658514215835</v>
      </c>
      <c r="CA22" s="10">
        <v>5154</v>
      </c>
      <c r="CB22" s="156">
        <f t="shared" si="14"/>
        <v>1.5756649342708651</v>
      </c>
      <c r="CC22" s="10">
        <v>2384</v>
      </c>
      <c r="CD22" s="156">
        <f t="shared" si="14"/>
        <v>0.72882910424946501</v>
      </c>
      <c r="CE22" s="10">
        <v>2467</v>
      </c>
      <c r="CF22" s="156">
        <f t="shared" si="15"/>
        <v>0.75420360745949255</v>
      </c>
      <c r="CG22" s="10">
        <v>2879</v>
      </c>
      <c r="CH22" s="156">
        <f t="shared" si="16"/>
        <v>0.88015897279119537</v>
      </c>
      <c r="CI22" s="10">
        <v>5253</v>
      </c>
      <c r="CJ22" s="156">
        <f t="shared" si="17"/>
        <v>1.6059309079792112</v>
      </c>
      <c r="CK22" s="10">
        <v>13792</v>
      </c>
      <c r="CL22" s="156">
        <f t="shared" si="18"/>
        <v>4.2164475695505965</v>
      </c>
      <c r="CN22" s="156">
        <f t="shared" si="19"/>
        <v>0</v>
      </c>
      <c r="CO22" s="10">
        <v>4998</v>
      </c>
      <c r="CP22" s="156">
        <f t="shared" si="20"/>
        <v>1.5279730969122594</v>
      </c>
      <c r="CQ22" s="10">
        <v>4489</v>
      </c>
      <c r="CR22" s="156">
        <f t="shared" si="20"/>
        <v>1.3723631916845001</v>
      </c>
      <c r="CS22" s="10">
        <v>5604</v>
      </c>
    </row>
    <row r="23" spans="1:110" s="10" customFormat="1" ht="15.75" customHeight="1" thickBot="1">
      <c r="A23" s="119">
        <v>24</v>
      </c>
      <c r="B23" s="596" t="s">
        <v>158</v>
      </c>
      <c r="C23" s="121" t="str">
        <f t="shared" si="27"/>
        <v>{"dossier":p.DossierName3,"klientschaft":`${p.FamilyName3}, ${p.ManFirstName3}`}</v>
      </c>
      <c r="D23" s="13"/>
      <c r="E23" s="45" t="str">
        <f t="shared" si="28"/>
        <v>{"dossier":p.DossierName3,"klientschaft":`${p.FamilyName3}, ${p.ManFirstName3}`}</v>
      </c>
      <c r="F23" s="609" t="s">
        <v>159</v>
      </c>
      <c r="G23" s="611" t="str">
        <f>G11</f>
        <v>p.DossierName3</v>
      </c>
      <c r="H23" s="611" t="s">
        <v>129</v>
      </c>
      <c r="I23" s="609" t="str">
        <f>"${"&amp;$G$4&amp;"}, ${"&amp;$I$4&amp;"}"</f>
        <v>${p.FamilyName3}, ${p.ManFirstName3}</v>
      </c>
      <c r="J23" s="611" t="s">
        <v>160</v>
      </c>
      <c r="K23" s="611"/>
      <c r="L23" s="611"/>
      <c r="M23" s="611"/>
      <c r="N23" s="611"/>
      <c r="O23" s="611"/>
      <c r="P23" s="611"/>
      <c r="Q23" s="611"/>
      <c r="R23" s="611"/>
      <c r="S23" s="611"/>
      <c r="T23" s="611"/>
      <c r="U23" s="611"/>
      <c r="V23" s="611"/>
      <c r="W23" s="611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54">
        <v>3283</v>
      </c>
      <c r="AJ23" s="156">
        <f t="shared" ref="AJ23" si="42">AI23/($AI23)</f>
        <v>1</v>
      </c>
      <c r="AK23" s="154">
        <v>3185</v>
      </c>
      <c r="AL23" s="156">
        <f t="shared" si="3"/>
        <v>0.97014925373134331</v>
      </c>
      <c r="AM23" s="154">
        <v>5103</v>
      </c>
      <c r="AN23" s="156">
        <f t="shared" si="4"/>
        <v>1.5543710021321961</v>
      </c>
      <c r="AO23" s="13">
        <v>543</v>
      </c>
      <c r="AP23" s="156">
        <f t="shared" si="4"/>
        <v>0.1653975022844959</v>
      </c>
      <c r="AQ23" s="13">
        <v>5159</v>
      </c>
      <c r="AR23" s="156">
        <f t="shared" si="4"/>
        <v>1.5714285714285714</v>
      </c>
      <c r="AS23" s="13">
        <v>4951</v>
      </c>
      <c r="AT23" s="156">
        <f t="shared" si="4"/>
        <v>1.5080718854706061</v>
      </c>
      <c r="AU23" s="13">
        <v>5027</v>
      </c>
      <c r="AV23" s="156">
        <f t="shared" si="4"/>
        <v>1.5312214438014011</v>
      </c>
      <c r="AW23" s="13">
        <v>4514</v>
      </c>
      <c r="AX23" s="156">
        <f t="shared" si="5"/>
        <v>1.374961925068535</v>
      </c>
      <c r="AY23" s="2">
        <v>4551</v>
      </c>
      <c r="AZ23" s="156">
        <f t="shared" si="5"/>
        <v>1.3862321047822115</v>
      </c>
      <c r="BA23" s="2">
        <v>2909</v>
      </c>
      <c r="BB23" s="156">
        <f t="shared" si="6"/>
        <v>0.88607980505635087</v>
      </c>
      <c r="BC23" s="2">
        <v>2617</v>
      </c>
      <c r="BD23" s="156">
        <f t="shared" si="6"/>
        <v>0.7971367651538227</v>
      </c>
      <c r="BE23" s="2">
        <v>2745</v>
      </c>
      <c r="BF23" s="156">
        <f t="shared" si="6"/>
        <v>0.83612549497410904</v>
      </c>
      <c r="BG23" s="10">
        <v>3182</v>
      </c>
      <c r="BH23" s="156">
        <f t="shared" si="6"/>
        <v>0.96923545537618028</v>
      </c>
      <c r="BI23" s="10">
        <v>3138</v>
      </c>
      <c r="BJ23" s="156">
        <f t="shared" si="6"/>
        <v>0.95583307950045693</v>
      </c>
      <c r="BK23" s="10">
        <v>3226</v>
      </c>
      <c r="BL23" s="156">
        <f t="shared" si="6"/>
        <v>0.98263783125190374</v>
      </c>
      <c r="BM23" s="10">
        <v>3365</v>
      </c>
      <c r="BN23" s="156">
        <f t="shared" si="7"/>
        <v>1.0249771550411209</v>
      </c>
      <c r="BO23" s="10">
        <v>3102</v>
      </c>
      <c r="BP23" s="156">
        <f t="shared" si="8"/>
        <v>0.94486749923850133</v>
      </c>
      <c r="BQ23" s="10">
        <v>3179</v>
      </c>
      <c r="BR23" s="156">
        <f t="shared" si="9"/>
        <v>0.96832165702101736</v>
      </c>
      <c r="BS23" s="10">
        <v>3183</v>
      </c>
      <c r="BT23" s="156">
        <f t="shared" si="10"/>
        <v>0.96954005482790129</v>
      </c>
      <c r="BU23" s="10">
        <v>3432</v>
      </c>
      <c r="BV23" s="156">
        <f t="shared" si="11"/>
        <v>1.045385318306427</v>
      </c>
      <c r="BW23" s="10">
        <v>2921</v>
      </c>
      <c r="BX23" s="156">
        <f t="shared" si="12"/>
        <v>0.88973499847700277</v>
      </c>
      <c r="BY23" s="10">
        <v>2744</v>
      </c>
      <c r="BZ23" s="156">
        <f t="shared" si="13"/>
        <v>0.83582089552238803</v>
      </c>
      <c r="CA23" s="10">
        <v>2878</v>
      </c>
      <c r="CB23" s="156">
        <f t="shared" si="14"/>
        <v>0.87663722205300032</v>
      </c>
      <c r="CC23" s="10">
        <v>2841</v>
      </c>
      <c r="CD23" s="156">
        <f t="shared" si="14"/>
        <v>0.86536704233932382</v>
      </c>
      <c r="CE23" s="10">
        <v>2815</v>
      </c>
      <c r="CF23" s="156">
        <f t="shared" si="15"/>
        <v>0.85744745659457811</v>
      </c>
      <c r="CG23" s="10">
        <v>2799</v>
      </c>
      <c r="CH23" s="156">
        <f t="shared" si="16"/>
        <v>0.85257386536704238</v>
      </c>
      <c r="CI23" s="10">
        <v>3094</v>
      </c>
      <c r="CJ23" s="156">
        <f t="shared" si="17"/>
        <v>0.94243070362473347</v>
      </c>
      <c r="CK23" s="10">
        <v>3201</v>
      </c>
      <c r="CL23" s="156">
        <f t="shared" si="18"/>
        <v>0.97502284495887903</v>
      </c>
      <c r="CN23" s="156">
        <f t="shared" si="19"/>
        <v>0</v>
      </c>
      <c r="CO23" s="10">
        <v>7599</v>
      </c>
      <c r="CP23" s="156">
        <f t="shared" si="20"/>
        <v>2.3146512336277794</v>
      </c>
      <c r="CQ23" s="10">
        <v>3055</v>
      </c>
      <c r="CR23" s="156">
        <f t="shared" si="20"/>
        <v>0.93055132500761495</v>
      </c>
      <c r="CS23" s="10">
        <v>2168</v>
      </c>
      <c r="CU23" s="10">
        <v>5755</v>
      </c>
      <c r="CW23" s="10">
        <v>5983</v>
      </c>
      <c r="CY23" s="10">
        <v>4540</v>
      </c>
      <c r="DA23" s="10">
        <v>4547</v>
      </c>
      <c r="DC23" s="10">
        <v>4830</v>
      </c>
      <c r="DE23" s="10">
        <v>6019</v>
      </c>
      <c r="DF23" s="10" t="s">
        <v>1718</v>
      </c>
    </row>
    <row r="24" spans="1:110" s="2722" customFormat="1" ht="16.5" customHeight="1" thickBot="1">
      <c r="A24" s="2721">
        <v>50</v>
      </c>
      <c r="B24" s="2722" t="s">
        <v>22</v>
      </c>
      <c r="C24" s="2723" t="s">
        <v>280</v>
      </c>
      <c r="D24" s="2724"/>
      <c r="E24" s="2725"/>
      <c r="F24" s="2726"/>
      <c r="G24" s="2727"/>
      <c r="H24" s="2727"/>
      <c r="I24" s="2727"/>
      <c r="J24" s="2727"/>
      <c r="K24" s="2727"/>
      <c r="L24" s="2727"/>
      <c r="M24" s="2727"/>
      <c r="N24" s="2727"/>
      <c r="O24" s="2727"/>
      <c r="P24" s="2727"/>
      <c r="Q24" s="2727"/>
      <c r="R24" s="2727"/>
      <c r="S24" s="2727"/>
      <c r="T24" s="2727"/>
      <c r="U24" s="2727"/>
      <c r="V24" s="2727"/>
      <c r="W24" s="2727"/>
      <c r="X24" s="2724"/>
      <c r="Y24" s="2724"/>
      <c r="Z24" s="2724"/>
      <c r="AA24" s="2724"/>
      <c r="AB24" s="2724"/>
      <c r="AC24" s="2724"/>
      <c r="AD24" s="2724"/>
      <c r="AE24" s="2724"/>
      <c r="AF24" s="2724"/>
      <c r="AG24" s="2724"/>
      <c r="AH24" s="2724"/>
      <c r="AI24" s="2724">
        <v>2011</v>
      </c>
      <c r="AJ24" s="2728"/>
      <c r="AK24" s="2729"/>
      <c r="AL24" s="2724">
        <v>2008</v>
      </c>
      <c r="AM24" s="2730">
        <f t="shared" ref="AM24:AO24" si="43">AL24/($AI24)</f>
        <v>0.99850820487319747</v>
      </c>
      <c r="AN24" s="2724">
        <v>2011</v>
      </c>
      <c r="AO24" s="2730">
        <f t="shared" si="43"/>
        <v>1</v>
      </c>
      <c r="AP24" s="2724"/>
      <c r="AQ24" s="2730">
        <f t="shared" ref="AQ24:AY24" si="44">AP24/($AI24)</f>
        <v>0</v>
      </c>
      <c r="AR24" s="2724">
        <v>2013</v>
      </c>
      <c r="AS24" s="2730">
        <f t="shared" si="44"/>
        <v>1.0009945300845351</v>
      </c>
      <c r="AT24" s="2724">
        <v>2020</v>
      </c>
      <c r="AU24" s="2730">
        <f t="shared" si="44"/>
        <v>1.0044753853804078</v>
      </c>
      <c r="AV24" s="2724">
        <v>2017</v>
      </c>
      <c r="AW24" s="2730">
        <f t="shared" si="44"/>
        <v>1.0029835902536051</v>
      </c>
      <c r="AX24" s="2724">
        <v>2019</v>
      </c>
      <c r="AY24" s="2730">
        <f t="shared" si="44"/>
        <v>1.0039781203381402</v>
      </c>
      <c r="AZ24" s="2724">
        <v>2013</v>
      </c>
      <c r="BA24" s="2724"/>
      <c r="BB24" s="2724">
        <v>341</v>
      </c>
      <c r="BC24" s="2730">
        <f t="shared" ref="BC24:BI24" si="45">BB24/($AI24)</f>
        <v>0.16956737941322725</v>
      </c>
      <c r="BD24" s="2724">
        <v>2007</v>
      </c>
      <c r="BE24" s="2730">
        <f t="shared" si="45"/>
        <v>0.99801093983092992</v>
      </c>
      <c r="BF24" s="2724">
        <v>2003</v>
      </c>
      <c r="BG24" s="2730">
        <f t="shared" si="45"/>
        <v>0.99602187966185973</v>
      </c>
      <c r="BH24" s="2724">
        <v>2009</v>
      </c>
      <c r="BI24" s="2730">
        <f t="shared" si="45"/>
        <v>0.99900546991546491</v>
      </c>
      <c r="BK24" s="2722">
        <v>2019</v>
      </c>
      <c r="BL24" s="2730">
        <f t="shared" ref="BL24" si="46">BK24/($AI24)</f>
        <v>1.0039781203381402</v>
      </c>
      <c r="BM24" s="2722">
        <v>2008</v>
      </c>
      <c r="BN24" s="2730">
        <f t="shared" si="7"/>
        <v>0.99850820487319747</v>
      </c>
      <c r="BO24" s="2722">
        <v>2005</v>
      </c>
      <c r="BP24" s="2730">
        <f t="shared" si="8"/>
        <v>0.99701640974639483</v>
      </c>
      <c r="BQ24" s="2722">
        <v>2012</v>
      </c>
      <c r="BR24" s="2730">
        <f t="shared" si="9"/>
        <v>1.0004972650422674</v>
      </c>
      <c r="BS24" s="2722">
        <v>2004</v>
      </c>
      <c r="BT24" s="2730">
        <f t="shared" si="10"/>
        <v>0.99651914470412728</v>
      </c>
      <c r="BU24" s="2722">
        <v>2005</v>
      </c>
      <c r="BV24" s="2730">
        <f t="shared" si="11"/>
        <v>0.99701640974639483</v>
      </c>
      <c r="BW24" s="2722">
        <v>2013</v>
      </c>
      <c r="BX24" s="2730">
        <f t="shared" si="12"/>
        <v>1.0009945300845351</v>
      </c>
      <c r="BY24" s="2722">
        <v>2013</v>
      </c>
      <c r="BZ24" s="2730">
        <f t="shared" si="13"/>
        <v>1.0009945300845351</v>
      </c>
      <c r="CA24" s="2722">
        <v>2006</v>
      </c>
      <c r="CB24" s="2730">
        <f t="shared" si="14"/>
        <v>0.99751367478866237</v>
      </c>
      <c r="CC24" s="2722">
        <v>2006</v>
      </c>
      <c r="CD24" s="2730">
        <f t="shared" si="14"/>
        <v>0.99751367478866237</v>
      </c>
      <c r="CE24" s="2722">
        <v>2015</v>
      </c>
      <c r="CF24" s="2730">
        <f t="shared" si="15"/>
        <v>1.0019890601690702</v>
      </c>
      <c r="CG24" s="2722">
        <v>2010</v>
      </c>
      <c r="CH24" s="2730">
        <f t="shared" si="16"/>
        <v>0.99950273495773245</v>
      </c>
      <c r="CI24" s="2722">
        <v>2012</v>
      </c>
      <c r="CJ24" s="2730">
        <f t="shared" si="17"/>
        <v>1.0004972650422674</v>
      </c>
      <c r="CK24" s="2722">
        <v>2005</v>
      </c>
      <c r="CL24" s="2730">
        <f t="shared" si="18"/>
        <v>0.99701640974639483</v>
      </c>
      <c r="CN24" s="2730">
        <f t="shared" si="19"/>
        <v>0</v>
      </c>
      <c r="CO24" s="2722">
        <v>4190</v>
      </c>
      <c r="CP24" s="2730">
        <f t="shared" si="20"/>
        <v>2.0835405271009448</v>
      </c>
      <c r="CQ24" s="2722">
        <v>4228</v>
      </c>
      <c r="CR24" s="2730">
        <f t="shared" si="20"/>
        <v>2.102436598707111</v>
      </c>
      <c r="CS24" s="2722">
        <v>4085</v>
      </c>
      <c r="CT24" s="2730">
        <f t="shared" si="20"/>
        <v>2.0313276976628543</v>
      </c>
      <c r="CU24" s="2722">
        <v>6923</v>
      </c>
      <c r="CV24" s="2730"/>
      <c r="CW24" s="2722">
        <v>9432</v>
      </c>
      <c r="CX24" s="2730"/>
      <c r="CY24" s="2722">
        <v>5842</v>
      </c>
      <c r="DA24" s="2722">
        <v>5828</v>
      </c>
      <c r="DC24" s="2722">
        <v>5080</v>
      </c>
      <c r="DE24" s="2722">
        <v>6406</v>
      </c>
      <c r="DF24" s="2722" t="s">
        <v>1718</v>
      </c>
    </row>
    <row r="25" spans="1:110" s="10" customFormat="1" ht="15.75" customHeight="1" thickBot="1">
      <c r="A25" s="119">
        <v>25</v>
      </c>
      <c r="B25" s="595" t="s">
        <v>161</v>
      </c>
      <c r="C25" s="121" t="str">
        <f t="shared" ca="1" si="27"/>
        <v>{"zahlbarDurch":"BKW Energie AG","pensumm":"100","betrag":"1000","gueltigVon":"01.01.2025","gueltigBis":"31.12.2025","checkbox":"x"}</v>
      </c>
      <c r="D25" s="13"/>
      <c r="E25" s="45" t="str">
        <f t="shared" ca="1" si="28"/>
        <v>{"zahlbarDurch":"BKW Energie AG","pensumm":"100","betrag":"1000","gueltigVon":"01.01.2025","gueltigBis":"31.12.2025","checkbox":"x"}</v>
      </c>
      <c r="F25" s="619" t="s">
        <v>162</v>
      </c>
      <c r="G25" s="611"/>
      <c r="H25" s="611" t="s">
        <v>163</v>
      </c>
      <c r="I25" s="611" t="s">
        <v>164</v>
      </c>
      <c r="J25" s="611" t="s">
        <v>165</v>
      </c>
      <c r="K25" s="611">
        <v>100</v>
      </c>
      <c r="L25" s="611" t="s">
        <v>166</v>
      </c>
      <c r="M25" s="611">
        <v>1000</v>
      </c>
      <c r="N25" s="611" t="s">
        <v>167</v>
      </c>
      <c r="O25" s="615" t="str">
        <f ca="1">"01.01."&amp;YEAR(TODAY())</f>
        <v>01.01.2025</v>
      </c>
      <c r="P25" s="611" t="s">
        <v>168</v>
      </c>
      <c r="Q25" s="615" t="str">
        <f ca="1">"31.12."&amp;YEAR(TODAY())</f>
        <v>31.12.2025</v>
      </c>
      <c r="R25" s="611" t="s">
        <v>169</v>
      </c>
      <c r="S25" s="611" t="s">
        <v>170</v>
      </c>
      <c r="T25" s="611" t="s">
        <v>37</v>
      </c>
      <c r="U25" s="611"/>
      <c r="V25" s="611"/>
      <c r="W25" s="611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54">
        <v>11343</v>
      </c>
      <c r="AJ25" s="156">
        <f t="shared" ref="AJ25" si="47">AI25/($AI25)</f>
        <v>1</v>
      </c>
      <c r="AK25" s="154">
        <v>11197</v>
      </c>
      <c r="AL25" s="156">
        <f t="shared" si="3"/>
        <v>0.98712862558406067</v>
      </c>
      <c r="AM25" s="154">
        <v>12009</v>
      </c>
      <c r="AN25" s="156">
        <f t="shared" si="4"/>
        <v>1.0587146257603808</v>
      </c>
      <c r="AO25" s="13"/>
      <c r="AP25" s="156">
        <f t="shared" si="4"/>
        <v>0</v>
      </c>
      <c r="AQ25" s="13">
        <v>11259</v>
      </c>
      <c r="AR25" s="156">
        <f t="shared" si="4"/>
        <v>0.99259455170589794</v>
      </c>
      <c r="AS25" s="13">
        <v>11557</v>
      </c>
      <c r="AT25" s="156">
        <f t="shared" si="4"/>
        <v>1.0188662611302124</v>
      </c>
      <c r="AU25" s="13">
        <v>11181</v>
      </c>
      <c r="AV25" s="156">
        <f t="shared" si="4"/>
        <v>0.98571806400423168</v>
      </c>
      <c r="AW25" s="13">
        <v>4847</v>
      </c>
      <c r="AX25" s="156">
        <f t="shared" si="5"/>
        <v>0.42731199858943841</v>
      </c>
      <c r="AY25" s="2">
        <v>4806</v>
      </c>
      <c r="AZ25" s="156">
        <f t="shared" si="5"/>
        <v>0.42369743454112668</v>
      </c>
      <c r="BA25" s="2">
        <v>4952</v>
      </c>
      <c r="BB25" s="156">
        <f t="shared" si="6"/>
        <v>0.43656880895706601</v>
      </c>
      <c r="BC25" s="2">
        <v>4825</v>
      </c>
      <c r="BD25" s="156">
        <f t="shared" si="6"/>
        <v>0.42537247641717357</v>
      </c>
      <c r="BE25" s="2">
        <v>4896</v>
      </c>
      <c r="BF25" s="156">
        <f t="shared" si="6"/>
        <v>0.43163184342766464</v>
      </c>
      <c r="BG25" s="10">
        <v>4980</v>
      </c>
      <c r="BH25" s="156">
        <f t="shared" si="6"/>
        <v>0.43903729172176675</v>
      </c>
      <c r="BI25" s="10">
        <v>5223</v>
      </c>
      <c r="BJ25" s="156">
        <f t="shared" si="6"/>
        <v>0.46046019571541918</v>
      </c>
      <c r="BK25" s="10">
        <v>5284</v>
      </c>
      <c r="BL25" s="156">
        <f t="shared" si="6"/>
        <v>0.46583796173851716</v>
      </c>
      <c r="BM25" s="10">
        <v>5165</v>
      </c>
      <c r="BN25" s="156">
        <f t="shared" si="7"/>
        <v>0.45534690998853916</v>
      </c>
      <c r="BO25" s="10">
        <v>5216</v>
      </c>
      <c r="BP25" s="156">
        <f t="shared" si="8"/>
        <v>0.45984307502424404</v>
      </c>
      <c r="BQ25" s="10">
        <v>5255</v>
      </c>
      <c r="BR25" s="156">
        <f t="shared" si="9"/>
        <v>0.46328131887507712</v>
      </c>
      <c r="BS25" s="10">
        <v>5131</v>
      </c>
      <c r="BT25" s="156">
        <f t="shared" si="10"/>
        <v>0.45234946663140263</v>
      </c>
      <c r="BU25" s="10">
        <v>5160</v>
      </c>
      <c r="BV25" s="156">
        <f t="shared" si="11"/>
        <v>0.45490610949484261</v>
      </c>
      <c r="BW25" s="10">
        <v>5130</v>
      </c>
      <c r="BX25" s="156">
        <f t="shared" si="12"/>
        <v>0.45226130653266333</v>
      </c>
      <c r="BY25" s="10">
        <v>5231</v>
      </c>
      <c r="BZ25" s="156">
        <f t="shared" si="13"/>
        <v>0.46116547650533368</v>
      </c>
      <c r="CA25" s="10">
        <v>4703</v>
      </c>
      <c r="CB25" s="156">
        <f t="shared" si="14"/>
        <v>0.41461694437097768</v>
      </c>
      <c r="CC25" s="10">
        <v>2240</v>
      </c>
      <c r="CD25" s="156">
        <f t="shared" si="14"/>
        <v>0.19747862117605572</v>
      </c>
      <c r="CE25" s="10">
        <v>2131</v>
      </c>
      <c r="CF25" s="156">
        <f t="shared" si="15"/>
        <v>0.18786917041347087</v>
      </c>
      <c r="CG25" s="10">
        <v>2114</v>
      </c>
      <c r="CH25" s="156">
        <f t="shared" si="16"/>
        <v>0.18637044873490258</v>
      </c>
      <c r="CI25" s="10">
        <v>6747</v>
      </c>
      <c r="CJ25" s="156">
        <f t="shared" si="17"/>
        <v>0.59481618619412857</v>
      </c>
      <c r="CK25" s="10">
        <v>5107</v>
      </c>
      <c r="CL25" s="156">
        <f t="shared" si="18"/>
        <v>0.45023362426165919</v>
      </c>
      <c r="CN25" s="156">
        <f t="shared" si="19"/>
        <v>0</v>
      </c>
      <c r="CO25" s="10">
        <v>4900</v>
      </c>
      <c r="CP25" s="156">
        <f t="shared" si="20"/>
        <v>0.43198448382262189</v>
      </c>
      <c r="CQ25" s="10">
        <v>4984</v>
      </c>
      <c r="CR25" s="156">
        <f t="shared" si="20"/>
        <v>0.43938993211672395</v>
      </c>
      <c r="CS25" s="10">
        <v>5740</v>
      </c>
      <c r="CU25" s="10">
        <v>6012</v>
      </c>
      <c r="CW25" s="10">
        <v>6015</v>
      </c>
      <c r="CY25" s="10">
        <v>6017</v>
      </c>
      <c r="DA25" s="10">
        <v>6009</v>
      </c>
      <c r="DC25" s="10">
        <v>6012</v>
      </c>
      <c r="DE25" s="10">
        <v>6006</v>
      </c>
      <c r="DF25" s="10" t="s">
        <v>1718</v>
      </c>
    </row>
    <row r="26" spans="1:110" s="10" customFormat="1" ht="15.75" customHeight="1" thickBot="1">
      <c r="A26" s="119">
        <v>27</v>
      </c>
      <c r="B26" s="596" t="s">
        <v>139</v>
      </c>
      <c r="C26" s="121" t="str">
        <f>E26</f>
        <v>{"searchDossierOrKlient":p.DossierName3,"resultType":"Dossiers"}</v>
      </c>
      <c r="D26" s="56"/>
      <c r="E26" s="109" t="str">
        <f>F26&amp;G26&amp;H26&amp;I26&amp;J26&amp;K26&amp;L26&amp;M26&amp;N26&amp;O26&amp;P26&amp;Q26&amp;R26&amp;S26&amp;T26&amp;U26&amp;V26&amp;W26&amp;X26</f>
        <v>{"searchDossierOrKlient":p.DossierName3,"resultType":"Dossiers"}</v>
      </c>
      <c r="F26" s="609" t="s">
        <v>140</v>
      </c>
      <c r="G26" s="614" t="str">
        <f>G23</f>
        <v>p.DossierName3</v>
      </c>
      <c r="H26" s="609" t="s">
        <v>141</v>
      </c>
      <c r="I26" s="611" t="s">
        <v>142</v>
      </c>
      <c r="J26" s="609" t="s">
        <v>37</v>
      </c>
      <c r="K26" s="611"/>
      <c r="L26" s="609"/>
      <c r="M26" s="611"/>
      <c r="N26" s="609"/>
      <c r="O26" s="611"/>
      <c r="P26" s="609"/>
      <c r="Q26" s="611"/>
      <c r="R26" s="609"/>
      <c r="S26" s="611"/>
      <c r="T26" s="609"/>
      <c r="U26" s="611"/>
      <c r="V26" s="609"/>
      <c r="W26" s="611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157">
        <v>4012</v>
      </c>
      <c r="AJ26" s="156">
        <f t="shared" ref="AJ26" si="48">AI26/($AI26)</f>
        <v>1</v>
      </c>
      <c r="AK26" s="157">
        <v>4022</v>
      </c>
      <c r="AL26" s="156">
        <f t="shared" si="3"/>
        <v>1.0024925224327019</v>
      </c>
      <c r="AM26" s="157">
        <v>4006</v>
      </c>
      <c r="AN26" s="156">
        <f t="shared" si="4"/>
        <v>0.99850448654037882</v>
      </c>
      <c r="AO26" s="56"/>
      <c r="AP26" s="156">
        <f t="shared" si="4"/>
        <v>0</v>
      </c>
      <c r="AQ26" s="56">
        <v>4076</v>
      </c>
      <c r="AR26" s="156">
        <f t="shared" si="4"/>
        <v>1.0159521435692922</v>
      </c>
      <c r="AS26" s="56">
        <v>4039</v>
      </c>
      <c r="AT26" s="156">
        <f t="shared" si="4"/>
        <v>1.0067298105682951</v>
      </c>
      <c r="AU26" s="56">
        <v>4012</v>
      </c>
      <c r="AV26" s="156">
        <f t="shared" si="4"/>
        <v>1</v>
      </c>
      <c r="AW26" s="56">
        <v>4016</v>
      </c>
      <c r="AX26" s="156">
        <f t="shared" si="5"/>
        <v>1.0009970089730809</v>
      </c>
      <c r="AY26" s="2">
        <v>4018</v>
      </c>
      <c r="AZ26" s="156">
        <f t="shared" si="5"/>
        <v>1.0014955134596211</v>
      </c>
      <c r="BA26" s="2">
        <v>3286</v>
      </c>
      <c r="BB26" s="156">
        <f t="shared" si="6"/>
        <v>0.81904287138584242</v>
      </c>
      <c r="BC26" s="2">
        <v>3327</v>
      </c>
      <c r="BD26" s="156">
        <f t="shared" si="6"/>
        <v>0.82926221335992023</v>
      </c>
      <c r="BE26" s="2">
        <v>3138</v>
      </c>
      <c r="BF26" s="156">
        <f t="shared" si="6"/>
        <v>0.78215353938185439</v>
      </c>
      <c r="BG26" s="10">
        <v>3623</v>
      </c>
      <c r="BH26" s="156">
        <f t="shared" si="6"/>
        <v>0.90304087736789629</v>
      </c>
      <c r="BI26" s="10">
        <v>3946</v>
      </c>
      <c r="BJ26" s="156">
        <f t="shared" si="6"/>
        <v>0.98354935194416748</v>
      </c>
      <c r="BK26" s="10">
        <v>4045</v>
      </c>
      <c r="BL26" s="156">
        <f t="shared" si="6"/>
        <v>1.0082253240279162</v>
      </c>
      <c r="BM26" s="10">
        <v>3795</v>
      </c>
      <c r="BN26" s="156">
        <f t="shared" si="7"/>
        <v>0.94591226321036892</v>
      </c>
      <c r="BO26" s="10">
        <v>3744</v>
      </c>
      <c r="BP26" s="156">
        <f t="shared" si="8"/>
        <v>0.93320039880358918</v>
      </c>
      <c r="BQ26" s="10">
        <v>4063</v>
      </c>
      <c r="BR26" s="156">
        <f t="shared" si="9"/>
        <v>1.0127118644067796</v>
      </c>
      <c r="BS26" s="10">
        <v>3832</v>
      </c>
      <c r="BT26" s="156">
        <f t="shared" si="10"/>
        <v>0.95513459621136587</v>
      </c>
      <c r="BU26" s="10">
        <v>4123</v>
      </c>
      <c r="BV26" s="156">
        <f t="shared" si="11"/>
        <v>1.027666999002991</v>
      </c>
      <c r="BW26" s="10">
        <v>3780</v>
      </c>
      <c r="BX26" s="156">
        <f t="shared" si="12"/>
        <v>0.94217347956131603</v>
      </c>
      <c r="BY26" s="10">
        <v>3558</v>
      </c>
      <c r="BZ26" s="156">
        <f t="shared" si="13"/>
        <v>0.88683948155533399</v>
      </c>
      <c r="CA26" s="10">
        <v>3546</v>
      </c>
      <c r="CB26" s="156">
        <f t="shared" si="14"/>
        <v>0.88384845463609174</v>
      </c>
      <c r="CC26" s="10">
        <v>3452</v>
      </c>
      <c r="CD26" s="156">
        <f t="shared" si="14"/>
        <v>0.86041874376869387</v>
      </c>
      <c r="CE26" s="10">
        <v>3478</v>
      </c>
      <c r="CF26" s="156">
        <f t="shared" si="15"/>
        <v>0.86689930209371879</v>
      </c>
      <c r="CG26" s="10">
        <v>3444</v>
      </c>
      <c r="CH26" s="156">
        <f t="shared" si="16"/>
        <v>0.85842472582253238</v>
      </c>
      <c r="CI26" s="10">
        <v>5013</v>
      </c>
      <c r="CJ26" s="156">
        <f t="shared" si="17"/>
        <v>1.2495014955134596</v>
      </c>
      <c r="CK26" s="10">
        <v>5502</v>
      </c>
      <c r="CL26" s="156">
        <f t="shared" si="18"/>
        <v>1.3713858424725822</v>
      </c>
      <c r="CN26" s="156">
        <f t="shared" si="19"/>
        <v>0</v>
      </c>
      <c r="CO26" s="10">
        <v>5308</v>
      </c>
      <c r="CP26" s="156">
        <f t="shared" si="20"/>
        <v>1.3230309072781654</v>
      </c>
      <c r="CQ26" s="10">
        <v>4024</v>
      </c>
      <c r="CR26" s="156">
        <f t="shared" si="20"/>
        <v>1.0029910269192424</v>
      </c>
      <c r="CS26" s="10">
        <v>4358</v>
      </c>
      <c r="CU26" s="10">
        <v>3019</v>
      </c>
      <c r="CW26" s="10">
        <v>14923</v>
      </c>
      <c r="CY26" s="10">
        <v>3135</v>
      </c>
      <c r="DA26" s="10">
        <v>3245</v>
      </c>
      <c r="DC26" s="10">
        <v>3357</v>
      </c>
      <c r="DE26" s="10">
        <v>4009</v>
      </c>
      <c r="DF26" s="10" t="s">
        <v>1718</v>
      </c>
    </row>
    <row r="27" spans="1:110" s="2722" customFormat="1" ht="16.5" customHeight="1" thickBot="1">
      <c r="A27" s="2721">
        <v>50</v>
      </c>
      <c r="B27" s="2722" t="s">
        <v>22</v>
      </c>
      <c r="C27" s="2723" t="s">
        <v>280</v>
      </c>
      <c r="D27" s="2724"/>
      <c r="E27" s="2725"/>
      <c r="F27" s="2726"/>
      <c r="G27" s="2727"/>
      <c r="H27" s="2727"/>
      <c r="I27" s="2727"/>
      <c r="J27" s="2727"/>
      <c r="K27" s="2727"/>
      <c r="L27" s="2727"/>
      <c r="M27" s="2727"/>
      <c r="N27" s="2727"/>
      <c r="O27" s="2727"/>
      <c r="P27" s="2727"/>
      <c r="Q27" s="2727"/>
      <c r="R27" s="2727"/>
      <c r="S27" s="2727"/>
      <c r="T27" s="2727"/>
      <c r="U27" s="2727"/>
      <c r="V27" s="2727"/>
      <c r="W27" s="2727"/>
      <c r="X27" s="2724"/>
      <c r="Y27" s="2724"/>
      <c r="Z27" s="2724"/>
      <c r="AA27" s="2724"/>
      <c r="AB27" s="2724"/>
      <c r="AC27" s="2724"/>
      <c r="AD27" s="2724"/>
      <c r="AE27" s="2724"/>
      <c r="AF27" s="2724"/>
      <c r="AG27" s="2724"/>
      <c r="AH27" s="2724"/>
      <c r="AI27" s="2724">
        <v>2011</v>
      </c>
      <c r="AJ27" s="2728"/>
      <c r="AK27" s="2729"/>
      <c r="AL27" s="2724">
        <v>2008</v>
      </c>
      <c r="AM27" s="2730">
        <f t="shared" ref="AM27:AO27" si="49">AL27/($AI27)</f>
        <v>0.99850820487319747</v>
      </c>
      <c r="AN27" s="2724">
        <v>2011</v>
      </c>
      <c r="AO27" s="2730">
        <f t="shared" si="49"/>
        <v>1</v>
      </c>
      <c r="AP27" s="2724"/>
      <c r="AQ27" s="2730">
        <f t="shared" ref="AQ27:AY27" si="50">AP27/($AI27)</f>
        <v>0</v>
      </c>
      <c r="AR27" s="2724">
        <v>2013</v>
      </c>
      <c r="AS27" s="2730">
        <f t="shared" si="50"/>
        <v>1.0009945300845351</v>
      </c>
      <c r="AT27" s="2724">
        <v>2020</v>
      </c>
      <c r="AU27" s="2730">
        <f t="shared" si="50"/>
        <v>1.0044753853804078</v>
      </c>
      <c r="AV27" s="2724">
        <v>2017</v>
      </c>
      <c r="AW27" s="2730">
        <f t="shared" si="50"/>
        <v>1.0029835902536051</v>
      </c>
      <c r="AX27" s="2724">
        <v>2019</v>
      </c>
      <c r="AY27" s="2730">
        <f t="shared" si="50"/>
        <v>1.0039781203381402</v>
      </c>
      <c r="AZ27" s="2724">
        <v>2013</v>
      </c>
      <c r="BA27" s="2724"/>
      <c r="BB27" s="2724">
        <v>341</v>
      </c>
      <c r="BC27" s="2730">
        <f t="shared" ref="BC27" si="51">BB27/($AI27)</f>
        <v>0.16956737941322725</v>
      </c>
      <c r="BD27" s="2724">
        <v>2007</v>
      </c>
      <c r="BE27" s="2730">
        <f t="shared" ref="BE27" si="52">BD27/($AI27)</f>
        <v>0.99801093983092992</v>
      </c>
      <c r="BF27" s="2724">
        <v>2003</v>
      </c>
      <c r="BG27" s="2730">
        <f t="shared" ref="BG27" si="53">BF27/($AI27)</f>
        <v>0.99602187966185973</v>
      </c>
      <c r="BH27" s="2724">
        <v>2009</v>
      </c>
      <c r="BI27" s="2730">
        <f t="shared" ref="BI27" si="54">BH27/($AI27)</f>
        <v>0.99900546991546491</v>
      </c>
      <c r="BK27" s="2722">
        <v>2019</v>
      </c>
      <c r="BL27" s="2730">
        <f t="shared" ref="BL27" si="55">BK27/($AI27)</f>
        <v>1.0039781203381402</v>
      </c>
      <c r="BM27" s="2722">
        <v>2008</v>
      </c>
      <c r="BN27" s="2730">
        <f t="shared" si="7"/>
        <v>0.99850820487319747</v>
      </c>
      <c r="BO27" s="2722">
        <v>2005</v>
      </c>
      <c r="BP27" s="2730">
        <f t="shared" si="8"/>
        <v>0.99701640974639483</v>
      </c>
      <c r="BQ27" s="2722">
        <v>2012</v>
      </c>
      <c r="BR27" s="2730">
        <f t="shared" si="9"/>
        <v>1.0004972650422674</v>
      </c>
      <c r="BS27" s="2722">
        <v>2004</v>
      </c>
      <c r="BT27" s="2730">
        <f t="shared" si="10"/>
        <v>0.99651914470412728</v>
      </c>
      <c r="BU27" s="2722">
        <v>2005</v>
      </c>
      <c r="BV27" s="2730">
        <f t="shared" si="11"/>
        <v>0.99701640974639483</v>
      </c>
      <c r="BW27" s="2722">
        <v>2013</v>
      </c>
      <c r="BX27" s="2730">
        <f t="shared" si="12"/>
        <v>1.0009945300845351</v>
      </c>
      <c r="BY27" s="2722">
        <v>2013</v>
      </c>
      <c r="BZ27" s="2730">
        <f t="shared" si="13"/>
        <v>1.0009945300845351</v>
      </c>
      <c r="CA27" s="2722">
        <v>2006</v>
      </c>
      <c r="CB27" s="2730">
        <f t="shared" si="14"/>
        <v>0.99751367478866237</v>
      </c>
      <c r="CC27" s="2722">
        <v>2006</v>
      </c>
      <c r="CD27" s="2730">
        <f t="shared" si="14"/>
        <v>0.99751367478866237</v>
      </c>
      <c r="CE27" s="2722">
        <v>2015</v>
      </c>
      <c r="CF27" s="2730">
        <f t="shared" si="15"/>
        <v>1.0019890601690702</v>
      </c>
      <c r="CG27" s="2722">
        <v>2010</v>
      </c>
      <c r="CH27" s="2730">
        <f t="shared" si="15"/>
        <v>0.99950273495773245</v>
      </c>
      <c r="CI27" s="2722">
        <v>2012</v>
      </c>
      <c r="CJ27" s="2730">
        <f t="shared" si="15"/>
        <v>1.0004972650422674</v>
      </c>
      <c r="CK27" s="2722">
        <v>2005</v>
      </c>
      <c r="CL27" s="2730">
        <f t="shared" si="15"/>
        <v>0.99701640974639483</v>
      </c>
      <c r="CN27" s="2730">
        <f t="shared" si="15"/>
        <v>0</v>
      </c>
      <c r="CO27" s="2722">
        <v>3307</v>
      </c>
      <c r="CP27" s="2730">
        <f t="shared" si="15"/>
        <v>1.6444554947787171</v>
      </c>
      <c r="CQ27" s="2722">
        <v>4946</v>
      </c>
      <c r="CR27" s="2730">
        <f t="shared" si="15"/>
        <v>2.4594728990551964</v>
      </c>
      <c r="CS27" s="2722">
        <v>4779</v>
      </c>
      <c r="CU27" s="2722">
        <v>5760</v>
      </c>
      <c r="CW27" s="2722">
        <v>6323</v>
      </c>
      <c r="CY27" s="2722">
        <v>4593</v>
      </c>
      <c r="DA27" s="2722">
        <v>4426</v>
      </c>
      <c r="DC27" s="2722">
        <v>4898</v>
      </c>
      <c r="DE27" s="2722">
        <v>5183</v>
      </c>
      <c r="DF27" s="2722" t="s">
        <v>1718</v>
      </c>
    </row>
    <row r="28" spans="1:110" s="10" customFormat="1" ht="15.75" customHeight="1" thickBot="1">
      <c r="A28" s="159">
        <v>28</v>
      </c>
      <c r="B28" s="137" t="s">
        <v>180</v>
      </c>
      <c r="C28" s="121" t="str">
        <f ca="1">E28</f>
        <v>{"entscheidVom":"04.11.2025","begrundung":"Gar keine Begründung","unterstutzungab":"01.11.2025"}</v>
      </c>
      <c r="D28" s="56"/>
      <c r="E28" s="109" t="str">
        <f ca="1">F28&amp;G28&amp;H28&amp;I28&amp;J28&amp;K28&amp;L28&amp;M28&amp;N28&amp;O28&amp;P28&amp;Q28&amp;R28&amp;S28&amp;T28&amp;U28&amp;V28&amp;W28&amp;X28</f>
        <v>{"entscheidVom":"04.11.2025","begrundung":"Gar keine Begründung","unterstutzungab":"01.11.2025"}</v>
      </c>
      <c r="F28" s="609" t="s">
        <v>181</v>
      </c>
      <c r="G28" s="615" t="str">
        <f ca="1">TEXT(TEXT(TODAY(),"DD")&amp;"."&amp;TEXT(TODAY(),"MM")&amp;"."&amp;TEXT(TODAY(),"YYYY"),"DD.MM.YYYY")</f>
        <v>04.11.2025</v>
      </c>
      <c r="H28" s="609" t="s">
        <v>182</v>
      </c>
      <c r="I28" s="611" t="s">
        <v>183</v>
      </c>
      <c r="J28" s="609" t="s">
        <v>184</v>
      </c>
      <c r="K28" s="615" t="str">
        <f ca="1">"01."&amp;TEXT(TODAY(),"MM")&amp;"."&amp;TEXT(TODAY(),"YYYY")</f>
        <v>01.11.2025</v>
      </c>
      <c r="L28" s="609" t="s">
        <v>37</v>
      </c>
      <c r="M28" s="611"/>
      <c r="N28" s="609"/>
      <c r="O28" s="611"/>
      <c r="P28" s="609"/>
      <c r="Q28" s="611"/>
      <c r="R28" s="609"/>
      <c r="S28" s="611"/>
      <c r="T28" s="609"/>
      <c r="U28" s="611"/>
      <c r="V28" s="609"/>
      <c r="W28" s="611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157">
        <v>10488</v>
      </c>
      <c r="AJ28" s="156">
        <f t="shared" ref="AJ28" si="56">AI28/($AI28)</f>
        <v>1</v>
      </c>
      <c r="AK28" s="157">
        <v>10739</v>
      </c>
      <c r="AL28" s="156">
        <f t="shared" si="3"/>
        <v>1.0239321128909229</v>
      </c>
      <c r="AM28" s="157">
        <v>11104</v>
      </c>
      <c r="AN28" s="156">
        <f t="shared" si="4"/>
        <v>1.0587337909992371</v>
      </c>
      <c r="AO28" s="56"/>
      <c r="AP28" s="156">
        <f t="shared" si="4"/>
        <v>0</v>
      </c>
      <c r="AQ28" s="56">
        <v>10810</v>
      </c>
      <c r="AR28" s="156">
        <f t="shared" si="4"/>
        <v>1.0307017543859649</v>
      </c>
      <c r="AS28" s="56">
        <v>11018</v>
      </c>
      <c r="AT28" s="156">
        <f t="shared" si="4"/>
        <v>1.0505339435545384</v>
      </c>
      <c r="AU28" s="56">
        <v>10619</v>
      </c>
      <c r="AV28" s="156">
        <f t="shared" si="4"/>
        <v>1.012490465293669</v>
      </c>
      <c r="AW28" s="56">
        <v>2405</v>
      </c>
      <c r="AX28" s="156">
        <f t="shared" si="5"/>
        <v>0.22930968726163234</v>
      </c>
      <c r="AY28" s="2">
        <v>2398</v>
      </c>
      <c r="AZ28" s="156">
        <f t="shared" si="5"/>
        <v>0.2286422578184592</v>
      </c>
      <c r="BA28" s="2">
        <v>4874</v>
      </c>
      <c r="BB28" s="156">
        <f t="shared" si="6"/>
        <v>0.46472158657513346</v>
      </c>
      <c r="BC28" s="2">
        <v>4818</v>
      </c>
      <c r="BD28" s="156">
        <f t="shared" si="6"/>
        <v>0.45938215102974828</v>
      </c>
      <c r="BE28" s="2">
        <v>4728</v>
      </c>
      <c r="BF28" s="156">
        <f t="shared" si="6"/>
        <v>0.45080091533180777</v>
      </c>
      <c r="BG28" s="10">
        <v>5139</v>
      </c>
      <c r="BH28" s="156">
        <f t="shared" si="6"/>
        <v>0.48998855835240274</v>
      </c>
      <c r="BI28" s="10">
        <v>5237</v>
      </c>
      <c r="BJ28" s="156">
        <f t="shared" si="6"/>
        <v>0.49933257055682684</v>
      </c>
      <c r="BK28" s="10">
        <v>5472</v>
      </c>
      <c r="BL28" s="156">
        <f t="shared" si="6"/>
        <v>0.52173913043478259</v>
      </c>
      <c r="BM28" s="10">
        <v>5216</v>
      </c>
      <c r="BN28" s="156">
        <f t="shared" si="7"/>
        <v>0.49733028222730741</v>
      </c>
      <c r="BO28" s="10">
        <v>5314</v>
      </c>
      <c r="BP28" s="156">
        <f t="shared" si="8"/>
        <v>0.50667429443173151</v>
      </c>
      <c r="BQ28" s="10">
        <v>5425</v>
      </c>
      <c r="BR28" s="156">
        <f t="shared" si="9"/>
        <v>0.5172578184591915</v>
      </c>
      <c r="BS28" s="10">
        <v>5369</v>
      </c>
      <c r="BT28" s="156">
        <f t="shared" si="10"/>
        <v>0.5119183829138062</v>
      </c>
      <c r="BU28" s="10">
        <v>5209</v>
      </c>
      <c r="BV28" s="156">
        <f t="shared" si="11"/>
        <v>0.49666285278413425</v>
      </c>
      <c r="BW28" s="10">
        <v>5202</v>
      </c>
      <c r="BX28" s="156">
        <f t="shared" si="12"/>
        <v>0.49599542334096108</v>
      </c>
      <c r="BY28" s="10">
        <v>5452</v>
      </c>
      <c r="BZ28" s="156">
        <f t="shared" si="13"/>
        <v>0.51983218916857366</v>
      </c>
      <c r="CA28" s="10">
        <v>4725</v>
      </c>
      <c r="CB28" s="156">
        <f t="shared" si="14"/>
        <v>0.45051487414187641</v>
      </c>
      <c r="CC28" s="10">
        <v>2366</v>
      </c>
      <c r="CD28" s="156">
        <f t="shared" si="14"/>
        <v>0.22559115179252479</v>
      </c>
      <c r="CE28" s="10">
        <v>2360</v>
      </c>
      <c r="CF28" s="156">
        <f t="shared" si="15"/>
        <v>0.22501906941266209</v>
      </c>
      <c r="CG28" s="10">
        <v>2750</v>
      </c>
      <c r="CH28" s="156">
        <f t="shared" si="16"/>
        <v>0.26220442410373762</v>
      </c>
      <c r="CI28" s="10">
        <v>4412</v>
      </c>
      <c r="CJ28" s="156">
        <f t="shared" si="17"/>
        <v>0.42067124332570555</v>
      </c>
      <c r="CK28" s="10">
        <v>4370</v>
      </c>
      <c r="CL28" s="156">
        <f t="shared" si="18"/>
        <v>0.41666666666666669</v>
      </c>
      <c r="CN28" s="156">
        <f t="shared" si="19"/>
        <v>0</v>
      </c>
      <c r="CO28" s="10">
        <v>4041</v>
      </c>
      <c r="CP28" s="156">
        <f t="shared" si="20"/>
        <v>0.38529748283752863</v>
      </c>
      <c r="CQ28" s="10">
        <v>6017</v>
      </c>
      <c r="CR28" s="156">
        <f t="shared" si="20"/>
        <v>0.57370327993897785</v>
      </c>
      <c r="CS28" s="10">
        <v>6006</v>
      </c>
      <c r="CU28" s="10">
        <v>6007</v>
      </c>
      <c r="CW28" s="10">
        <v>6048</v>
      </c>
      <c r="CY28" s="10">
        <v>6018</v>
      </c>
      <c r="DA28" s="10">
        <v>6005</v>
      </c>
      <c r="DC28" s="10">
        <v>6012</v>
      </c>
      <c r="DE28" s="10">
        <v>6019</v>
      </c>
      <c r="DF28" s="10" t="s">
        <v>1718</v>
      </c>
    </row>
    <row r="29" spans="1:110" s="2722" customFormat="1" ht="16.5" customHeight="1" thickBot="1">
      <c r="A29" s="2721">
        <v>50</v>
      </c>
      <c r="B29" s="2722" t="s">
        <v>22</v>
      </c>
      <c r="C29" s="2723" t="s">
        <v>477</v>
      </c>
      <c r="D29" s="2724"/>
      <c r="E29" s="2725"/>
      <c r="F29" s="2726"/>
      <c r="G29" s="2727"/>
      <c r="H29" s="2727"/>
      <c r="I29" s="2727"/>
      <c r="J29" s="2727"/>
      <c r="K29" s="2727"/>
      <c r="L29" s="2727"/>
      <c r="M29" s="2727"/>
      <c r="N29" s="2727"/>
      <c r="O29" s="2727"/>
      <c r="P29" s="2727"/>
      <c r="Q29" s="2727"/>
      <c r="R29" s="2727"/>
      <c r="S29" s="2727"/>
      <c r="T29" s="2727"/>
      <c r="U29" s="2727"/>
      <c r="V29" s="2727"/>
      <c r="W29" s="2727"/>
      <c r="X29" s="2724"/>
      <c r="Y29" s="2724"/>
      <c r="Z29" s="2724"/>
      <c r="AA29" s="2724"/>
      <c r="AB29" s="2724"/>
      <c r="AC29" s="2724"/>
      <c r="AD29" s="2724"/>
      <c r="AE29" s="2724"/>
      <c r="AF29" s="2724"/>
      <c r="AG29" s="2724"/>
      <c r="AH29" s="2724"/>
      <c r="AI29" s="2724">
        <v>2011</v>
      </c>
      <c r="AJ29" s="2728"/>
      <c r="AK29" s="2729"/>
      <c r="AL29" s="2724">
        <v>2008</v>
      </c>
      <c r="AM29" s="2730">
        <f t="shared" ref="AM29" si="57">AL29/($AI29)</f>
        <v>0.99850820487319747</v>
      </c>
      <c r="AN29" s="2724">
        <v>2011</v>
      </c>
      <c r="AO29" s="2730">
        <f t="shared" ref="AO29" si="58">AN29/($AI29)</f>
        <v>1</v>
      </c>
      <c r="AP29" s="2724"/>
      <c r="AQ29" s="2730">
        <f t="shared" ref="AQ29" si="59">AP29/($AI29)</f>
        <v>0</v>
      </c>
      <c r="AR29" s="2724">
        <v>2013</v>
      </c>
      <c r="AS29" s="2730">
        <f t="shared" ref="AS29" si="60">AR29/($AI29)</f>
        <v>1.0009945300845351</v>
      </c>
      <c r="AT29" s="2724">
        <v>2020</v>
      </c>
      <c r="AU29" s="2730">
        <f t="shared" ref="AU29" si="61">AT29/($AI29)</f>
        <v>1.0044753853804078</v>
      </c>
      <c r="AV29" s="2724">
        <v>2017</v>
      </c>
      <c r="AW29" s="2730">
        <f t="shared" ref="AW29" si="62">AV29/($AI29)</f>
        <v>1.0029835902536051</v>
      </c>
      <c r="AX29" s="2724">
        <v>2019</v>
      </c>
      <c r="AY29" s="2730">
        <f t="shared" ref="AY29" si="63">AX29/($AI29)</f>
        <v>1.0039781203381402</v>
      </c>
      <c r="AZ29" s="2724">
        <v>2013</v>
      </c>
      <c r="BA29" s="2724"/>
      <c r="BB29" s="2724">
        <v>341</v>
      </c>
      <c r="BC29" s="2730">
        <f t="shared" ref="BC29" si="64">BB29/($AI29)</f>
        <v>0.16956737941322725</v>
      </c>
      <c r="BD29" s="2724">
        <v>2007</v>
      </c>
      <c r="BE29" s="2730">
        <f t="shared" ref="BE29" si="65">BD29/($AI29)</f>
        <v>0.99801093983092992</v>
      </c>
      <c r="BF29" s="2724">
        <v>2003</v>
      </c>
      <c r="BG29" s="2730">
        <f t="shared" ref="BG29" si="66">BF29/($AI29)</f>
        <v>0.99602187966185973</v>
      </c>
      <c r="BH29" s="2724">
        <v>2009</v>
      </c>
      <c r="BI29" s="2730">
        <f t="shared" ref="BI29" si="67">BH29/($AI29)</f>
        <v>0.99900546991546491</v>
      </c>
      <c r="BK29" s="2722">
        <v>2019</v>
      </c>
      <c r="BL29" s="2730">
        <f t="shared" ref="BL29" si="68">BK29/($AI29)</f>
        <v>1.0039781203381402</v>
      </c>
      <c r="BM29" s="2722">
        <v>2008</v>
      </c>
      <c r="BN29" s="2730">
        <f t="shared" ref="BN29" si="69">BM29/($AI29)</f>
        <v>0.99850820487319747</v>
      </c>
      <c r="BO29" s="2722">
        <v>2005</v>
      </c>
      <c r="BP29" s="2730">
        <f t="shared" ref="BP29" si="70">BO29/($AI29)</f>
        <v>0.99701640974639483</v>
      </c>
      <c r="BQ29" s="2722">
        <v>2012</v>
      </c>
      <c r="BR29" s="2730">
        <f t="shared" ref="BR29" si="71">BQ29/($AI29)</f>
        <v>1.0004972650422674</v>
      </c>
      <c r="BS29" s="2722">
        <v>2004</v>
      </c>
      <c r="BT29" s="2730">
        <f t="shared" ref="BT29" si="72">BS29/($AI29)</f>
        <v>0.99651914470412728</v>
      </c>
      <c r="BU29" s="2722">
        <v>2005</v>
      </c>
      <c r="BV29" s="2730">
        <f t="shared" ref="BV29" si="73">BU29/($AI29)</f>
        <v>0.99701640974639483</v>
      </c>
      <c r="BW29" s="2722">
        <v>2013</v>
      </c>
      <c r="BX29" s="2730">
        <f t="shared" ref="BX29" si="74">BW29/($AI29)</f>
        <v>1.0009945300845351</v>
      </c>
      <c r="BY29" s="2722">
        <v>2013</v>
      </c>
      <c r="BZ29" s="2730">
        <f t="shared" ref="BZ29" si="75">BY29/($AI29)</f>
        <v>1.0009945300845351</v>
      </c>
      <c r="CA29" s="2722">
        <v>2006</v>
      </c>
      <c r="CB29" s="2730">
        <f t="shared" ref="CB29" si="76">CA29/($AI29)</f>
        <v>0.99751367478866237</v>
      </c>
      <c r="CC29" s="2722">
        <v>2006</v>
      </c>
      <c r="CD29" s="2730">
        <f t="shared" ref="CD29" si="77">CC29/($AI29)</f>
        <v>0.99751367478866237</v>
      </c>
      <c r="CE29" s="2722">
        <v>2015</v>
      </c>
      <c r="CF29" s="2730">
        <f t="shared" ref="CF29" si="78">CE29/($AI29)</f>
        <v>1.0019890601690702</v>
      </c>
      <c r="CG29" s="2722">
        <v>2010</v>
      </c>
      <c r="CH29" s="2730">
        <f t="shared" si="16"/>
        <v>0.99950273495773245</v>
      </c>
      <c r="CI29" s="2722">
        <v>2012</v>
      </c>
      <c r="CJ29" s="2730">
        <f t="shared" si="17"/>
        <v>1.0004972650422674</v>
      </c>
      <c r="CK29" s="2722">
        <v>2005</v>
      </c>
      <c r="CL29" s="2730">
        <f t="shared" si="18"/>
        <v>0.99701640974639483</v>
      </c>
      <c r="CN29" s="2730">
        <f t="shared" si="19"/>
        <v>0</v>
      </c>
      <c r="CO29" s="2722">
        <v>3307</v>
      </c>
      <c r="CP29" s="2730">
        <f t="shared" si="20"/>
        <v>1.6444554947787171</v>
      </c>
      <c r="CQ29" s="2722">
        <v>18735</v>
      </c>
      <c r="CR29" s="2730">
        <f t="shared" si="20"/>
        <v>9.3162605668821481</v>
      </c>
      <c r="CS29" s="2722">
        <v>18596</v>
      </c>
      <c r="CU29" s="2722">
        <v>14520</v>
      </c>
      <c r="CW29" s="2722">
        <v>25423</v>
      </c>
      <c r="CY29" s="2722">
        <v>15042</v>
      </c>
      <c r="DA29" s="2722">
        <v>15473</v>
      </c>
      <c r="DC29" s="2722">
        <v>17303</v>
      </c>
      <c r="DE29" s="2722">
        <v>19206</v>
      </c>
      <c r="DF29" s="2722" t="s">
        <v>1718</v>
      </c>
    </row>
    <row r="30" spans="1:110" s="10" customFormat="1" ht="15.75" customHeight="1" thickBot="1">
      <c r="A30" s="119"/>
      <c r="B30" s="120" t="s">
        <v>185</v>
      </c>
      <c r="C30" s="121" t="str">
        <f ca="1">E30</f>
        <v>{"ubernahmeWohnkostenCFH":"100","uebernahmeWohnkostenVon":"01.11.2025","uebernahmeWohnkostenBis":"27.5.2026","uebernahemBegruendung":"Die Wohnungen sind teuer hier"}</v>
      </c>
      <c r="D30" s="56"/>
      <c r="E30" s="109" t="str">
        <f ca="1">F30&amp;G30&amp;H30&amp;I30&amp;J30&amp;K30&amp;L30&amp;M30&amp;N30&amp;O30&amp;P30&amp;Q30&amp;R30&amp;S30&amp;T30&amp;U30&amp;V30&amp;W30&amp;X30</f>
        <v>{"ubernahmeWohnkostenCFH":"100","uebernahmeWohnkostenVon":"01.11.2025","uebernahmeWohnkostenBis":"27.5.2026","uebernahemBegruendung":"Die Wohnungen sind teuer hier"}</v>
      </c>
      <c r="F30" s="609" t="s">
        <v>186</v>
      </c>
      <c r="G30" s="611">
        <v>100</v>
      </c>
      <c r="H30" s="611" t="s">
        <v>187</v>
      </c>
      <c r="I30" s="614" t="str">
        <f ca="1">"01."&amp;MONTH(TODAY())&amp;"."&amp;YEAR(TODAY())</f>
        <v>01.11.2025</v>
      </c>
      <c r="J30" s="611" t="s">
        <v>188</v>
      </c>
      <c r="K30" s="614" t="str">
        <f ca="1">"27."&amp;MONTH(TODAY()+180)&amp;"."&amp;YEAR(TODAY()+180)</f>
        <v>27.5.2026</v>
      </c>
      <c r="L30" s="609" t="s">
        <v>189</v>
      </c>
      <c r="M30" s="611" t="s">
        <v>190</v>
      </c>
      <c r="N30" s="609" t="s">
        <v>37</v>
      </c>
      <c r="O30" s="611"/>
      <c r="P30" s="611"/>
      <c r="Q30" s="611"/>
      <c r="R30" s="611"/>
      <c r="S30" s="611"/>
      <c r="T30" s="611"/>
      <c r="U30" s="611"/>
      <c r="V30" s="611"/>
      <c r="W30" s="611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157">
        <v>5026</v>
      </c>
      <c r="AJ30" s="156">
        <f t="shared" ref="AJ30" si="79">AI30/($AI30)</f>
        <v>1</v>
      </c>
      <c r="AK30" s="157">
        <v>5007</v>
      </c>
      <c r="AL30" s="156">
        <f t="shared" si="3"/>
        <v>0.99621965777954635</v>
      </c>
      <c r="AM30" s="157">
        <v>5010</v>
      </c>
      <c r="AN30" s="156">
        <f t="shared" si="4"/>
        <v>0.99681655391961799</v>
      </c>
      <c r="AO30" s="56"/>
      <c r="AP30" s="156">
        <f t="shared" si="4"/>
        <v>0</v>
      </c>
      <c r="AQ30" s="56">
        <v>5013</v>
      </c>
      <c r="AR30" s="156">
        <f t="shared" si="4"/>
        <v>0.99741345005968962</v>
      </c>
      <c r="AS30" s="56">
        <v>5002</v>
      </c>
      <c r="AT30" s="156">
        <f t="shared" si="4"/>
        <v>0.99522483087942692</v>
      </c>
      <c r="AU30" s="56">
        <v>5019</v>
      </c>
      <c r="AV30" s="156">
        <f t="shared" ref="AV30:AZ54" si="80">AU30/($AI30)</f>
        <v>0.99860724233983289</v>
      </c>
      <c r="AW30" s="56">
        <v>5014</v>
      </c>
      <c r="AX30" s="156">
        <f t="shared" si="80"/>
        <v>0.99761241543971346</v>
      </c>
      <c r="AY30" s="2">
        <v>5018</v>
      </c>
      <c r="AZ30" s="156">
        <f t="shared" si="80"/>
        <v>0.99840827695980894</v>
      </c>
      <c r="BA30" s="2">
        <v>10780</v>
      </c>
      <c r="BB30" s="156">
        <f t="shared" si="6"/>
        <v>2.1448467966573816</v>
      </c>
      <c r="BC30" s="2">
        <v>10190</v>
      </c>
      <c r="BD30" s="156">
        <f t="shared" si="6"/>
        <v>2.027457222443295</v>
      </c>
      <c r="BE30" s="2">
        <v>9053</v>
      </c>
      <c r="BF30" s="156">
        <f t="shared" si="6"/>
        <v>1.8012335853561481</v>
      </c>
      <c r="BG30" s="10">
        <v>12584</v>
      </c>
      <c r="BH30" s="156">
        <f t="shared" si="6"/>
        <v>2.5037803422204536</v>
      </c>
      <c r="BI30" s="10">
        <v>10706</v>
      </c>
      <c r="BJ30" s="156">
        <f t="shared" si="6"/>
        <v>2.1301233585356147</v>
      </c>
      <c r="BK30" s="10">
        <v>12695</v>
      </c>
      <c r="BL30" s="156">
        <f t="shared" si="6"/>
        <v>2.5258654994031038</v>
      </c>
      <c r="BM30" s="10">
        <v>13396</v>
      </c>
      <c r="BN30" s="156">
        <f t="shared" si="7"/>
        <v>2.6653402307998406</v>
      </c>
      <c r="BO30" s="10">
        <v>12426</v>
      </c>
      <c r="BP30" s="156">
        <f t="shared" si="8"/>
        <v>2.4723438121766814</v>
      </c>
      <c r="BQ30" s="10">
        <v>13643</v>
      </c>
      <c r="BR30" s="156">
        <f t="shared" si="9"/>
        <v>2.714484679665738</v>
      </c>
      <c r="BS30" s="10">
        <v>14388</v>
      </c>
      <c r="BT30" s="156">
        <f t="shared" si="10"/>
        <v>2.8627138877835256</v>
      </c>
      <c r="BU30" s="10">
        <v>12730</v>
      </c>
      <c r="BV30" s="156">
        <f t="shared" si="11"/>
        <v>2.5328292877039393</v>
      </c>
      <c r="BW30" s="10">
        <v>12753</v>
      </c>
      <c r="BX30" s="156">
        <f t="shared" si="12"/>
        <v>2.5374054914444888</v>
      </c>
      <c r="BY30" s="10">
        <v>10758</v>
      </c>
      <c r="BZ30" s="156">
        <f t="shared" si="13"/>
        <v>2.1404695582968563</v>
      </c>
      <c r="CA30" s="10">
        <v>11801</v>
      </c>
      <c r="CB30" s="156">
        <f t="shared" si="14"/>
        <v>2.3479904496617587</v>
      </c>
      <c r="CC30" s="10">
        <v>10724</v>
      </c>
      <c r="CD30" s="156">
        <f t="shared" si="14"/>
        <v>2.1337047353760448</v>
      </c>
      <c r="CE30" s="10">
        <v>11778</v>
      </c>
      <c r="CF30" s="156">
        <f t="shared" si="15"/>
        <v>2.3434142459212097</v>
      </c>
      <c r="CG30" s="10">
        <v>10643</v>
      </c>
      <c r="CH30" s="156">
        <f t="shared" si="16"/>
        <v>2.1175885395941108</v>
      </c>
      <c r="CI30" s="10">
        <v>18682</v>
      </c>
      <c r="CJ30" s="156">
        <f t="shared" si="17"/>
        <v>3.7170712296060486</v>
      </c>
      <c r="CK30" s="10">
        <v>14914</v>
      </c>
      <c r="CL30" s="156">
        <f t="shared" si="18"/>
        <v>2.9673696776760843</v>
      </c>
      <c r="CN30" s="156">
        <f t="shared" si="19"/>
        <v>0</v>
      </c>
      <c r="CO30" s="10">
        <v>18904</v>
      </c>
      <c r="CP30" s="156">
        <f t="shared" si="20"/>
        <v>3.7612415439713489</v>
      </c>
      <c r="CQ30" s="10">
        <v>6011</v>
      </c>
      <c r="CR30" s="156">
        <f t="shared" si="20"/>
        <v>1.1959808993235177</v>
      </c>
      <c r="CS30" s="10">
        <v>6021</v>
      </c>
    </row>
    <row r="31" spans="1:110" s="2722" customFormat="1" ht="16.5" customHeight="1" thickBot="1">
      <c r="A31" s="2721"/>
      <c r="B31" s="2722" t="s">
        <v>22</v>
      </c>
      <c r="C31" s="2723" t="s">
        <v>280</v>
      </c>
      <c r="D31" s="2724"/>
      <c r="E31" s="2725"/>
      <c r="F31" s="2726"/>
      <c r="G31" s="2727"/>
      <c r="H31" s="2727"/>
      <c r="I31" s="2727"/>
      <c r="J31" s="2727"/>
      <c r="K31" s="2727"/>
      <c r="L31" s="2727"/>
      <c r="M31" s="2727"/>
      <c r="N31" s="2727"/>
      <c r="O31" s="2727"/>
      <c r="P31" s="2727"/>
      <c r="Q31" s="2727"/>
      <c r="R31" s="2727"/>
      <c r="S31" s="2727"/>
      <c r="T31" s="2727"/>
      <c r="U31" s="2727"/>
      <c r="V31" s="2727"/>
      <c r="W31" s="2727"/>
      <c r="X31" s="2724"/>
      <c r="Y31" s="2724"/>
      <c r="Z31" s="2724"/>
      <c r="AA31" s="2724"/>
      <c r="AB31" s="2724"/>
      <c r="AC31" s="2724"/>
      <c r="AD31" s="2724"/>
      <c r="AE31" s="2724"/>
      <c r="AF31" s="2724"/>
      <c r="AG31" s="2724"/>
      <c r="AH31" s="2724"/>
      <c r="AI31" s="2724">
        <v>2011</v>
      </c>
      <c r="AJ31" s="2728"/>
      <c r="AK31" s="2729"/>
      <c r="AL31" s="2724">
        <v>2008</v>
      </c>
      <c r="AM31" s="2730">
        <f t="shared" ref="AM31" si="81">AL31/($AI31)</f>
        <v>0.99850820487319747</v>
      </c>
      <c r="AN31" s="2724">
        <v>2011</v>
      </c>
      <c r="AO31" s="2730">
        <f t="shared" ref="AO31" si="82">AN31/($AI31)</f>
        <v>1</v>
      </c>
      <c r="AP31" s="2724"/>
      <c r="AQ31" s="2730">
        <f t="shared" ref="AQ31" si="83">AP31/($AI31)</f>
        <v>0</v>
      </c>
      <c r="AR31" s="2724">
        <v>2013</v>
      </c>
      <c r="AS31" s="2730">
        <f t="shared" ref="AS31" si="84">AR31/($AI31)</f>
        <v>1.0009945300845351</v>
      </c>
      <c r="AT31" s="2724">
        <v>2020</v>
      </c>
      <c r="AU31" s="2730">
        <f t="shared" ref="AU31" si="85">AT31/($AI31)</f>
        <v>1.0044753853804078</v>
      </c>
      <c r="AV31" s="2724">
        <v>2017</v>
      </c>
      <c r="AW31" s="2730">
        <f t="shared" ref="AW31" si="86">AV31/($AI31)</f>
        <v>1.0029835902536051</v>
      </c>
      <c r="AX31" s="2724">
        <v>2019</v>
      </c>
      <c r="AY31" s="2730">
        <f t="shared" ref="AY31" si="87">AX31/($AI31)</f>
        <v>1.0039781203381402</v>
      </c>
      <c r="AZ31" s="2724">
        <v>2013</v>
      </c>
      <c r="BA31" s="2724"/>
      <c r="BB31" s="2724">
        <v>341</v>
      </c>
      <c r="BC31" s="2730">
        <f t="shared" ref="BC31" si="88">BB31/($AI31)</f>
        <v>0.16956737941322725</v>
      </c>
      <c r="BD31" s="2724">
        <v>2007</v>
      </c>
      <c r="BE31" s="2730">
        <f t="shared" ref="BE31" si="89">BD31/($AI31)</f>
        <v>0.99801093983092992</v>
      </c>
      <c r="BF31" s="2724">
        <v>2003</v>
      </c>
      <c r="BG31" s="2730">
        <f t="shared" ref="BG31" si="90">BF31/($AI31)</f>
        <v>0.99602187966185973</v>
      </c>
      <c r="BH31" s="2724">
        <v>2009</v>
      </c>
      <c r="BI31" s="2730">
        <f t="shared" ref="BI31" si="91">BH31/($AI31)</f>
        <v>0.99900546991546491</v>
      </c>
      <c r="BK31" s="2722">
        <v>2019</v>
      </c>
      <c r="BL31" s="2730">
        <f t="shared" ref="BL31" si="92">BK31/($AI31)</f>
        <v>1.0039781203381402</v>
      </c>
      <c r="BM31" s="2722">
        <v>2008</v>
      </c>
      <c r="BN31" s="2730">
        <f t="shared" ref="BN31" si="93">BM31/($AI31)</f>
        <v>0.99850820487319747</v>
      </c>
      <c r="BO31" s="2722">
        <v>2005</v>
      </c>
      <c r="BP31" s="2730">
        <f t="shared" ref="BP31" si="94">BO31/($AI31)</f>
        <v>0.99701640974639483</v>
      </c>
      <c r="BQ31" s="2722">
        <v>2012</v>
      </c>
      <c r="BR31" s="2730">
        <f t="shared" ref="BR31" si="95">BQ31/($AI31)</f>
        <v>1.0004972650422674</v>
      </c>
      <c r="BS31" s="2722">
        <v>2004</v>
      </c>
      <c r="BT31" s="2730">
        <f t="shared" ref="BT31" si="96">BS31/($AI31)</f>
        <v>0.99651914470412728</v>
      </c>
      <c r="BU31" s="2722">
        <v>2005</v>
      </c>
      <c r="BV31" s="2730">
        <f t="shared" ref="BV31" si="97">BU31/($AI31)</f>
        <v>0.99701640974639483</v>
      </c>
      <c r="BW31" s="2722">
        <v>2013</v>
      </c>
      <c r="BX31" s="2730">
        <f t="shared" ref="BX31" si="98">BW31/($AI31)</f>
        <v>1.0009945300845351</v>
      </c>
      <c r="BY31" s="2722">
        <v>2013</v>
      </c>
      <c r="BZ31" s="2730">
        <f t="shared" ref="BZ31" si="99">BY31/($AI31)</f>
        <v>1.0009945300845351</v>
      </c>
      <c r="CA31" s="2722">
        <v>2006</v>
      </c>
      <c r="CB31" s="2730">
        <f t="shared" ref="CB31" si="100">CA31/($AI31)</f>
        <v>0.99751367478866237</v>
      </c>
      <c r="CC31" s="2722">
        <v>2006</v>
      </c>
      <c r="CD31" s="2730">
        <f t="shared" ref="CD31" si="101">CC31/($AI31)</f>
        <v>0.99751367478866237</v>
      </c>
      <c r="CE31" s="2722">
        <v>2015</v>
      </c>
      <c r="CF31" s="2730">
        <f t="shared" ref="CF31" si="102">CE31/($AI31)</f>
        <v>1.0019890601690702</v>
      </c>
      <c r="CG31" s="2722">
        <v>2010</v>
      </c>
      <c r="CH31" s="2730">
        <f t="shared" si="16"/>
        <v>0.99950273495773245</v>
      </c>
      <c r="CI31" s="2722">
        <v>2012</v>
      </c>
      <c r="CJ31" s="2730">
        <f t="shared" si="17"/>
        <v>1.0004972650422674</v>
      </c>
      <c r="CK31" s="2722">
        <v>2005</v>
      </c>
      <c r="CL31" s="2730">
        <f t="shared" si="18"/>
        <v>0.99701640974639483</v>
      </c>
      <c r="CN31" s="2730">
        <f t="shared" si="19"/>
        <v>0</v>
      </c>
      <c r="CO31" s="2722">
        <v>3307</v>
      </c>
      <c r="CP31" s="2730">
        <f t="shared" si="20"/>
        <v>1.6444554947787171</v>
      </c>
      <c r="CQ31" s="2722">
        <v>9914</v>
      </c>
      <c r="CR31" s="2730">
        <f t="shared" si="20"/>
        <v>4.9298856290402782</v>
      </c>
      <c r="CS31" s="2722">
        <v>1695</v>
      </c>
      <c r="CU31" s="2722">
        <v>6019</v>
      </c>
      <c r="CW31" s="2722">
        <v>6046</v>
      </c>
      <c r="CY31" s="2722">
        <v>6007</v>
      </c>
      <c r="DA31" s="2722">
        <v>6007</v>
      </c>
    </row>
    <row r="32" spans="1:110" s="10" customFormat="1" ht="15.75" customHeight="1" thickBot="1">
      <c r="A32" s="4198">
        <v>32</v>
      </c>
      <c r="B32" s="4199" t="s">
        <v>191</v>
      </c>
      <c r="C32" s="121" t="str">
        <f t="shared" ref="C32:C38" ca="1" si="103">E32</f>
        <v>{"lEvonDate":"04.11.2025","lEbisDate":"03.05.2026","checkStatus":"In Bearbeitung"}</v>
      </c>
      <c r="D32" s="82"/>
      <c r="E32" s="83" t="str">
        <f t="shared" ref="E32:E43" ca="1" si="104">F32&amp;G32&amp;H32&amp;I32&amp;J32&amp;K32&amp;L32&amp;M32&amp;N32&amp;O32&amp;P32&amp;Q32&amp;R32&amp;S32&amp;T32&amp;U32&amp;V32&amp;W32&amp;X32</f>
        <v>{"lEvonDate":"04.11.2025","lEbisDate":"03.05.2026","checkStatus":"In Bearbeitung"}</v>
      </c>
      <c r="F32" s="609" t="s">
        <v>192</v>
      </c>
      <c r="G32" s="615" t="str">
        <f ca="1">TEXT(TEXT(TODAY(),"DD")&amp;"."&amp;TEXT(TODAY(),"MM")&amp;"."&amp;TEXT(TODAY(),"YYYY"),"DD.MM.YYYY")</f>
        <v>04.11.2025</v>
      </c>
      <c r="H32" s="609" t="s">
        <v>193</v>
      </c>
      <c r="I32" s="615" t="str">
        <f ca="1">TEXT(TEXT(TODAY()+180,"DD")&amp;"."&amp;TEXT(TODAY()+180,"MM")&amp;"."&amp;TEXT(TODAY()+180,"YYYY"),"DD.MM.YYYY")</f>
        <v>03.05.2026</v>
      </c>
      <c r="J32" s="609" t="s">
        <v>132</v>
      </c>
      <c r="K32" s="611" t="s">
        <v>133</v>
      </c>
      <c r="L32" s="609" t="s">
        <v>37</v>
      </c>
      <c r="M32" s="611"/>
      <c r="N32" s="609"/>
      <c r="O32" s="611"/>
      <c r="P32" s="609"/>
      <c r="Q32" s="611"/>
      <c r="R32" s="609"/>
      <c r="S32" s="611"/>
      <c r="T32" s="609"/>
      <c r="U32" s="611"/>
      <c r="V32" s="609"/>
      <c r="W32" s="611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171">
        <v>3015</v>
      </c>
      <c r="AJ32" s="156">
        <f t="shared" ref="AJ32" si="105">AI32/($AI32)</f>
        <v>1</v>
      </c>
      <c r="AK32" s="171">
        <v>3011</v>
      </c>
      <c r="AL32" s="156">
        <f t="shared" si="3"/>
        <v>0.99867330016583744</v>
      </c>
      <c r="AM32" s="171">
        <v>3011</v>
      </c>
      <c r="AN32" s="156">
        <f t="shared" si="4"/>
        <v>0.99867330016583744</v>
      </c>
      <c r="AO32" s="82"/>
      <c r="AP32" s="156">
        <f t="shared" si="4"/>
        <v>0</v>
      </c>
      <c r="AQ32" s="82">
        <v>3018</v>
      </c>
      <c r="AR32" s="156">
        <f t="shared" si="4"/>
        <v>1.0009950248756219</v>
      </c>
      <c r="AS32" s="82">
        <v>3015</v>
      </c>
      <c r="AT32" s="156">
        <f t="shared" si="4"/>
        <v>1</v>
      </c>
      <c r="AU32" s="82">
        <v>3021</v>
      </c>
      <c r="AV32" s="156">
        <f t="shared" si="80"/>
        <v>1.0019900497512437</v>
      </c>
      <c r="AW32" s="82">
        <v>3014</v>
      </c>
      <c r="AX32" s="156">
        <f t="shared" si="80"/>
        <v>0.99966832504145942</v>
      </c>
      <c r="AY32" s="2">
        <v>3010</v>
      </c>
      <c r="AZ32" s="156">
        <f t="shared" si="80"/>
        <v>0.99834162520729686</v>
      </c>
      <c r="BA32" s="2">
        <v>1615</v>
      </c>
      <c r="BB32" s="156">
        <f t="shared" si="6"/>
        <v>0.53565505804311775</v>
      </c>
      <c r="BC32" s="2">
        <v>1911</v>
      </c>
      <c r="BD32" s="156">
        <f t="shared" si="6"/>
        <v>0.63383084577114424</v>
      </c>
      <c r="BE32" s="2">
        <v>1373</v>
      </c>
      <c r="BF32" s="156">
        <f t="shared" si="6"/>
        <v>0.45538971807628525</v>
      </c>
      <c r="BG32" s="10">
        <v>1978</v>
      </c>
      <c r="BH32" s="156">
        <f t="shared" si="6"/>
        <v>0.65605306799336649</v>
      </c>
      <c r="BI32" s="10">
        <v>3632</v>
      </c>
      <c r="BJ32" s="156">
        <f t="shared" si="6"/>
        <v>1.2046434494195688</v>
      </c>
      <c r="BK32" s="10">
        <v>2346</v>
      </c>
      <c r="BL32" s="156">
        <f t="shared" ref="BL32:BL54" si="106">BK32/($AI32)</f>
        <v>0.77810945273631837</v>
      </c>
      <c r="BM32" s="10">
        <v>2017</v>
      </c>
      <c r="BN32" s="156">
        <f t="shared" si="7"/>
        <v>0.66898839137645105</v>
      </c>
      <c r="BO32" s="10">
        <v>2253</v>
      </c>
      <c r="BP32" s="156">
        <f t="shared" si="8"/>
        <v>0.74726368159203982</v>
      </c>
      <c r="BQ32" s="10">
        <v>2713</v>
      </c>
      <c r="BR32" s="156">
        <f t="shared" si="9"/>
        <v>0.89983416252072967</v>
      </c>
      <c r="BS32" s="10">
        <v>2297</v>
      </c>
      <c r="BT32" s="156">
        <f t="shared" si="10"/>
        <v>0.76185737976782753</v>
      </c>
      <c r="BU32" s="10">
        <v>2143</v>
      </c>
      <c r="BV32" s="156">
        <f t="shared" si="11"/>
        <v>0.71077943615257044</v>
      </c>
      <c r="BW32" s="10">
        <v>2397</v>
      </c>
      <c r="BX32" s="156">
        <f t="shared" si="12"/>
        <v>0.7950248756218905</v>
      </c>
      <c r="BY32" s="10">
        <v>1734</v>
      </c>
      <c r="BZ32" s="156">
        <f t="shared" si="13"/>
        <v>0.57512437810945272</v>
      </c>
      <c r="CA32" s="10">
        <v>2875</v>
      </c>
      <c r="CB32" s="156">
        <f t="shared" si="14"/>
        <v>0.95356550580431176</v>
      </c>
      <c r="CC32" s="1501">
        <v>0</v>
      </c>
      <c r="CD32" s="156">
        <f t="shared" si="14"/>
        <v>0</v>
      </c>
      <c r="CE32" s="10">
        <v>2315</v>
      </c>
      <c r="CF32" s="156">
        <f t="shared" si="15"/>
        <v>0.76782752902155882</v>
      </c>
      <c r="CG32" s="10">
        <v>1770</v>
      </c>
      <c r="CH32" s="156">
        <f t="shared" si="16"/>
        <v>0.58706467661691542</v>
      </c>
      <c r="CI32" s="10">
        <v>7772</v>
      </c>
      <c r="CJ32" s="156">
        <f t="shared" si="17"/>
        <v>2.5777777777777779</v>
      </c>
      <c r="CK32" s="10">
        <v>9024</v>
      </c>
      <c r="CL32" s="156">
        <f t="shared" si="18"/>
        <v>2.9930348258706467</v>
      </c>
      <c r="CN32" s="156">
        <f t="shared" si="19"/>
        <v>0</v>
      </c>
      <c r="CO32" s="10">
        <v>8833</v>
      </c>
      <c r="CP32" s="156">
        <f t="shared" si="20"/>
        <v>2.9296849087893864</v>
      </c>
      <c r="CQ32" s="10">
        <v>6017</v>
      </c>
      <c r="CR32" s="156">
        <f t="shared" si="20"/>
        <v>1.9956882255389718</v>
      </c>
      <c r="CS32" s="10">
        <v>6016</v>
      </c>
      <c r="CU32" s="10">
        <v>6004</v>
      </c>
      <c r="CW32" s="10">
        <v>6021</v>
      </c>
      <c r="CY32" s="10">
        <v>6007</v>
      </c>
      <c r="DA32" s="10">
        <v>6004</v>
      </c>
      <c r="DC32" s="10">
        <v>14001</v>
      </c>
      <c r="DE32" s="10">
        <v>14010</v>
      </c>
      <c r="DF32" s="10" t="s">
        <v>1718</v>
      </c>
    </row>
    <row r="33" spans="1:110" s="10" customFormat="1" ht="15.75" customHeight="1">
      <c r="A33" s="4198"/>
      <c r="B33" s="4199" t="s">
        <v>134</v>
      </c>
      <c r="C33" s="121" t="str">
        <f t="shared" ref="C33" si="107">E33</f>
        <v>{"username":"aventis-gemeinde-ma@diartis.ch","password":"#xFymiADPk7wJG/FWMz"}</v>
      </c>
      <c r="D33" s="82"/>
      <c r="E33" s="83" t="str">
        <f t="shared" ref="E33" si="108">F33&amp;G33&amp;H33&amp;I33&amp;J33&amp;K33&amp;L33&amp;M33&amp;N33&amp;O33&amp;P33&amp;Q33&amp;R33&amp;S33&amp;T33&amp;U33&amp;V33&amp;W33&amp;X33</f>
        <v>{"username":"aventis-gemeinde-ma@diartis.ch","password":"#xFymiADPk7wJG/FWMz"}</v>
      </c>
      <c r="F33" s="609" t="s">
        <v>29</v>
      </c>
      <c r="G33" s="617" t="s">
        <v>195</v>
      </c>
      <c r="H33" s="609" t="s">
        <v>31</v>
      </c>
      <c r="I33" s="618" t="s">
        <v>196</v>
      </c>
      <c r="J33" s="609" t="s">
        <v>37</v>
      </c>
      <c r="K33" s="614"/>
      <c r="L33" s="609"/>
      <c r="M33" s="611"/>
      <c r="N33" s="609"/>
      <c r="O33" s="611"/>
      <c r="P33" s="609"/>
      <c r="Q33" s="611"/>
      <c r="R33" s="609"/>
      <c r="S33" s="611"/>
      <c r="T33" s="609"/>
      <c r="U33" s="611"/>
      <c r="V33" s="609"/>
      <c r="W33" s="611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171">
        <v>4543</v>
      </c>
      <c r="AJ33" s="156">
        <f t="shared" ref="AJ33" si="109">AI33/($AI33)</f>
        <v>1</v>
      </c>
      <c r="AK33" s="171">
        <v>5116</v>
      </c>
      <c r="AL33" s="156">
        <f t="shared" ref="AL33" si="110">AK33/($AI33)</f>
        <v>1.1261281091789566</v>
      </c>
      <c r="AM33" s="171">
        <v>17431</v>
      </c>
      <c r="AN33" s="156">
        <f t="shared" ref="AN33:AT33" si="111">AM33/($AI33)</f>
        <v>3.8368919216376844</v>
      </c>
      <c r="AO33" s="82"/>
      <c r="AP33" s="156">
        <f t="shared" si="111"/>
        <v>0</v>
      </c>
      <c r="AQ33" s="82">
        <v>15851</v>
      </c>
      <c r="AR33" s="156">
        <f t="shared" si="111"/>
        <v>3.4891041162227605</v>
      </c>
      <c r="AS33" s="82">
        <v>15764</v>
      </c>
      <c r="AT33" s="156">
        <f t="shared" si="111"/>
        <v>3.4699537750385208</v>
      </c>
      <c r="AU33" s="82">
        <v>15355</v>
      </c>
      <c r="AV33" s="156">
        <f t="shared" ref="AV33:AZ33" si="112">AU33/($AI33)</f>
        <v>3.3799251595861763</v>
      </c>
      <c r="AW33" s="82">
        <v>10440</v>
      </c>
      <c r="AX33" s="156">
        <f t="shared" si="112"/>
        <v>2.2980409421087389</v>
      </c>
      <c r="AY33" s="2">
        <v>9867</v>
      </c>
      <c r="AZ33" s="156">
        <f t="shared" si="112"/>
        <v>2.1719128329297819</v>
      </c>
      <c r="BA33" s="2">
        <v>11315</v>
      </c>
      <c r="BB33" s="156">
        <f t="shared" si="6"/>
        <v>2.4906449482720667</v>
      </c>
      <c r="BC33" s="2">
        <v>10960</v>
      </c>
      <c r="BD33" s="156">
        <f t="shared" si="6"/>
        <v>2.4125027514858024</v>
      </c>
      <c r="BE33" s="2">
        <v>10249</v>
      </c>
      <c r="BF33" s="156">
        <f t="shared" si="6"/>
        <v>2.2559982390490867</v>
      </c>
      <c r="BG33" s="10">
        <v>12457</v>
      </c>
      <c r="BH33" s="156">
        <f t="shared" si="6"/>
        <v>2.7420206911732334</v>
      </c>
      <c r="BI33" s="10">
        <v>12508</v>
      </c>
      <c r="BJ33" s="156">
        <f t="shared" si="6"/>
        <v>2.7532467532467533</v>
      </c>
      <c r="BK33" s="10">
        <v>12427</v>
      </c>
      <c r="BL33" s="156">
        <f t="shared" si="106"/>
        <v>2.7354171252476336</v>
      </c>
      <c r="BM33" s="10">
        <v>12094</v>
      </c>
      <c r="BN33" s="156">
        <f t="shared" si="7"/>
        <v>2.6621175434734758</v>
      </c>
      <c r="BO33" s="10">
        <v>12595</v>
      </c>
      <c r="BP33" s="156">
        <f t="shared" si="8"/>
        <v>2.7723970944309926</v>
      </c>
      <c r="BQ33" s="10">
        <v>13016</v>
      </c>
      <c r="BR33" s="156">
        <f t="shared" si="9"/>
        <v>2.8650671362535771</v>
      </c>
      <c r="BS33" s="10">
        <v>12543</v>
      </c>
      <c r="BT33" s="156">
        <f t="shared" si="10"/>
        <v>2.7609509134932866</v>
      </c>
      <c r="BU33" s="10">
        <v>12835</v>
      </c>
      <c r="BV33" s="156">
        <f t="shared" si="11"/>
        <v>2.8252256218357914</v>
      </c>
      <c r="BW33" s="10">
        <v>12275</v>
      </c>
      <c r="BX33" s="156">
        <f t="shared" si="12"/>
        <v>2.7019590578912611</v>
      </c>
      <c r="BY33" s="10">
        <v>11191</v>
      </c>
      <c r="BZ33" s="156">
        <f t="shared" si="13"/>
        <v>2.4633502091129209</v>
      </c>
      <c r="CA33" s="10">
        <v>11887</v>
      </c>
      <c r="CB33" s="156">
        <f t="shared" si="14"/>
        <v>2.6165529385868367</v>
      </c>
      <c r="CC33" s="10">
        <v>13076</v>
      </c>
      <c r="CD33" s="156">
        <f t="shared" si="14"/>
        <v>2.8782742681047764</v>
      </c>
      <c r="CE33" s="10">
        <v>11208</v>
      </c>
      <c r="CF33" s="156">
        <f t="shared" si="15"/>
        <v>2.467092229804094</v>
      </c>
      <c r="CG33" s="10">
        <v>11133</v>
      </c>
      <c r="CH33" s="156">
        <f t="shared" si="16"/>
        <v>2.4505833149900949</v>
      </c>
      <c r="CI33" s="10">
        <v>15162</v>
      </c>
      <c r="CJ33" s="156">
        <f t="shared" si="17"/>
        <v>3.337442218798151</v>
      </c>
      <c r="CK33" s="10">
        <v>14459</v>
      </c>
      <c r="CL33" s="156">
        <f t="shared" si="18"/>
        <v>3.1826986572749285</v>
      </c>
      <c r="CN33" s="156">
        <f t="shared" si="19"/>
        <v>0</v>
      </c>
      <c r="CO33" s="10">
        <v>20977</v>
      </c>
      <c r="CP33" s="156">
        <f t="shared" si="20"/>
        <v>4.6174334140435835</v>
      </c>
      <c r="CR33" s="156">
        <f t="shared" si="20"/>
        <v>0</v>
      </c>
    </row>
    <row r="34" spans="1:110" s="10" customFormat="1" ht="15.75" customHeight="1">
      <c r="A34" s="4198">
        <v>34</v>
      </c>
      <c r="B34" s="4199" t="s">
        <v>134</v>
      </c>
      <c r="C34" s="121" t="str">
        <f t="shared" si="103"/>
        <v>{"username":"Bern.Sachbearbeiterin@diartis.ch","password":"XXxa22?pdTA66-S@"}</v>
      </c>
      <c r="D34" s="82"/>
      <c r="E34" s="83" t="str">
        <f t="shared" si="104"/>
        <v>{"username":"Bern.Sachbearbeiterin@diartis.ch","password":"XXxa22?pdTA66-S@"}</v>
      </c>
      <c r="F34" s="609" t="s">
        <v>29</v>
      </c>
      <c r="G34" s="617" t="s">
        <v>30</v>
      </c>
      <c r="H34" s="609" t="s">
        <v>31</v>
      </c>
      <c r="I34" s="618" t="s">
        <v>32</v>
      </c>
      <c r="J34" s="609" t="s">
        <v>37</v>
      </c>
      <c r="K34" s="614"/>
      <c r="L34" s="609"/>
      <c r="M34" s="611"/>
      <c r="N34" s="609"/>
      <c r="O34" s="611"/>
      <c r="P34" s="609"/>
      <c r="Q34" s="611"/>
      <c r="R34" s="609"/>
      <c r="S34" s="611"/>
      <c r="T34" s="609"/>
      <c r="U34" s="611"/>
      <c r="V34" s="609"/>
      <c r="W34" s="611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171">
        <v>3007</v>
      </c>
      <c r="AJ34" s="156">
        <f t="shared" ref="AJ34" si="113">AI34/($AI34)</f>
        <v>1</v>
      </c>
      <c r="AK34" s="171">
        <v>3012</v>
      </c>
      <c r="AL34" s="156">
        <f t="shared" si="3"/>
        <v>1.0016627868307284</v>
      </c>
      <c r="AM34" s="171">
        <v>3010</v>
      </c>
      <c r="AN34" s="156">
        <f t="shared" si="4"/>
        <v>1.000997672098437</v>
      </c>
      <c r="AO34" s="82"/>
      <c r="AP34" s="156">
        <f t="shared" si="4"/>
        <v>0</v>
      </c>
      <c r="AQ34" s="82">
        <v>3013</v>
      </c>
      <c r="AR34" s="156">
        <f t="shared" si="4"/>
        <v>1.0019953441968739</v>
      </c>
      <c r="AS34" s="82">
        <v>3013</v>
      </c>
      <c r="AT34" s="156">
        <f t="shared" si="4"/>
        <v>1.0019953441968739</v>
      </c>
      <c r="AU34" s="82">
        <v>3017</v>
      </c>
      <c r="AV34" s="156">
        <f t="shared" si="80"/>
        <v>1.0033255736614566</v>
      </c>
      <c r="AW34" s="82">
        <v>3006</v>
      </c>
      <c r="AX34" s="156">
        <f t="shared" si="80"/>
        <v>0.99966744263385432</v>
      </c>
      <c r="AY34" s="2">
        <v>3013</v>
      </c>
      <c r="AZ34" s="156">
        <f t="shared" si="80"/>
        <v>1.0019953441968739</v>
      </c>
      <c r="BA34" s="2">
        <v>8212</v>
      </c>
      <c r="BB34" s="156">
        <f t="shared" si="6"/>
        <v>2.7309610907881607</v>
      </c>
      <c r="BC34" s="2">
        <v>8857</v>
      </c>
      <c r="BD34" s="156">
        <f t="shared" si="6"/>
        <v>2.9454605919521115</v>
      </c>
      <c r="BE34" s="2">
        <v>9407</v>
      </c>
      <c r="BF34" s="156">
        <f t="shared" si="6"/>
        <v>3.1283671433322247</v>
      </c>
      <c r="BG34" s="10">
        <v>9123</v>
      </c>
      <c r="BH34" s="156">
        <f t="shared" si="6"/>
        <v>3.0339208513468572</v>
      </c>
      <c r="BI34" s="10">
        <v>8582</v>
      </c>
      <c r="BJ34" s="156">
        <f t="shared" si="6"/>
        <v>2.8540073162620554</v>
      </c>
      <c r="BK34" s="10">
        <v>9253</v>
      </c>
      <c r="BL34" s="156">
        <f t="shared" si="106"/>
        <v>3.077153308945793</v>
      </c>
      <c r="BM34" s="10">
        <v>8465</v>
      </c>
      <c r="BN34" s="156">
        <f t="shared" si="7"/>
        <v>2.8150981044230128</v>
      </c>
      <c r="BO34" s="10">
        <v>9213</v>
      </c>
      <c r="BP34" s="156">
        <f t="shared" si="8"/>
        <v>3.0638510142999666</v>
      </c>
      <c r="BQ34" s="10">
        <v>9673</v>
      </c>
      <c r="BR34" s="156">
        <f t="shared" si="9"/>
        <v>3.2168274027269703</v>
      </c>
      <c r="BS34" s="10">
        <v>8530</v>
      </c>
      <c r="BT34" s="156">
        <f t="shared" si="10"/>
        <v>2.8367143332224809</v>
      </c>
      <c r="BU34" s="10">
        <v>9800</v>
      </c>
      <c r="BV34" s="156">
        <f t="shared" si="11"/>
        <v>3.2590621882274693</v>
      </c>
      <c r="BW34" s="10">
        <v>9273</v>
      </c>
      <c r="BX34" s="156">
        <f t="shared" si="12"/>
        <v>3.0838044562687061</v>
      </c>
      <c r="BY34" s="10">
        <v>8484</v>
      </c>
      <c r="BZ34" s="156">
        <f t="shared" si="13"/>
        <v>2.8214166943797805</v>
      </c>
      <c r="CA34" s="10">
        <v>8330</v>
      </c>
      <c r="CB34" s="156">
        <f t="shared" si="14"/>
        <v>2.7702028599933488</v>
      </c>
      <c r="CC34" s="10">
        <v>9052</v>
      </c>
      <c r="CD34" s="156">
        <f t="shared" si="14"/>
        <v>3.0103092783505154</v>
      </c>
      <c r="CE34" s="10">
        <v>9335</v>
      </c>
      <c r="CF34" s="156">
        <f t="shared" si="15"/>
        <v>3.1044230129697374</v>
      </c>
      <c r="CG34" s="10">
        <v>8708</v>
      </c>
      <c r="CH34" s="156">
        <f t="shared" si="16"/>
        <v>2.8959095443964085</v>
      </c>
      <c r="CI34" s="10">
        <v>9369</v>
      </c>
      <c r="CJ34" s="156">
        <f t="shared" si="17"/>
        <v>3.1157299634186897</v>
      </c>
      <c r="CK34" s="10">
        <v>9064</v>
      </c>
      <c r="CL34" s="156">
        <f t="shared" si="18"/>
        <v>3.0142999667442636</v>
      </c>
      <c r="CN34" s="156">
        <f t="shared" si="19"/>
        <v>0</v>
      </c>
      <c r="CO34" s="10">
        <v>10502</v>
      </c>
      <c r="CP34" s="156">
        <f t="shared" si="20"/>
        <v>3.4925174592617227</v>
      </c>
      <c r="CQ34" s="10">
        <v>12921</v>
      </c>
      <c r="CR34" s="156">
        <f t="shared" si="20"/>
        <v>4.2969737279680746</v>
      </c>
      <c r="CS34" s="10">
        <v>10384</v>
      </c>
      <c r="CU34" s="10">
        <v>653246</v>
      </c>
      <c r="CW34" s="10">
        <v>11176</v>
      </c>
      <c r="CY34" s="10">
        <v>9350</v>
      </c>
      <c r="DA34" s="10">
        <v>9539</v>
      </c>
      <c r="DC34" s="10">
        <v>18375</v>
      </c>
      <c r="DE34" s="10">
        <v>15539</v>
      </c>
      <c r="DF34" s="10" t="s">
        <v>1718</v>
      </c>
    </row>
    <row r="35" spans="1:110" s="10" customFormat="1" ht="15.75" customHeight="1">
      <c r="A35" s="4198">
        <v>36</v>
      </c>
      <c r="B35" s="4200" t="s">
        <v>197</v>
      </c>
      <c r="C35" s="121" t="str">
        <f>E35</f>
        <v>{"dossier":p.DossierName3,"buttonName":"Prüfung OK","checkStatus":"In Bearbeitung"}</v>
      </c>
      <c r="D35" s="82"/>
      <c r="E35" s="83" t="str">
        <f t="shared" si="104"/>
        <v>{"dossier":p.DossierName3,"buttonName":"Prüfung OK","checkStatus":"In Bearbeitung"}</v>
      </c>
      <c r="F35" s="609" t="s">
        <v>159</v>
      </c>
      <c r="G35" s="649" t="str">
        <f>G26</f>
        <v>p.DossierName3</v>
      </c>
      <c r="H35" s="609" t="s">
        <v>198</v>
      </c>
      <c r="I35" s="611" t="s">
        <v>199</v>
      </c>
      <c r="J35" s="609" t="s">
        <v>132</v>
      </c>
      <c r="K35" s="611" t="s">
        <v>133</v>
      </c>
      <c r="L35" s="609" t="s">
        <v>37</v>
      </c>
      <c r="M35" s="611"/>
      <c r="N35" s="609"/>
      <c r="O35" s="611"/>
      <c r="P35" s="609"/>
      <c r="Q35" s="611"/>
      <c r="R35" s="609"/>
      <c r="S35" s="611"/>
      <c r="T35" s="609"/>
      <c r="U35" s="611"/>
      <c r="V35" s="609"/>
      <c r="W35" s="611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171">
        <v>3013</v>
      </c>
      <c r="AJ35" s="156">
        <f t="shared" ref="AJ35" si="114">AI35/($AI35)</f>
        <v>1</v>
      </c>
      <c r="AK35" s="171">
        <v>3031</v>
      </c>
      <c r="AL35" s="156">
        <f t="shared" si="3"/>
        <v>1.005974112180551</v>
      </c>
      <c r="AM35" s="171">
        <v>3007</v>
      </c>
      <c r="AN35" s="156">
        <f t="shared" si="4"/>
        <v>0.99800862927314971</v>
      </c>
      <c r="AO35" s="82"/>
      <c r="AP35" s="156">
        <f t="shared" si="4"/>
        <v>0</v>
      </c>
      <c r="AQ35" s="82">
        <v>3023</v>
      </c>
      <c r="AR35" s="156">
        <f t="shared" si="4"/>
        <v>1.0033189512114171</v>
      </c>
      <c r="AS35" s="82">
        <v>3048</v>
      </c>
      <c r="AT35" s="156">
        <f t="shared" si="4"/>
        <v>1.0116163292399603</v>
      </c>
      <c r="AU35" s="82">
        <v>3019</v>
      </c>
      <c r="AV35" s="156">
        <f t="shared" si="80"/>
        <v>1.0019913707268504</v>
      </c>
      <c r="AW35" s="82">
        <v>3019</v>
      </c>
      <c r="AX35" s="156">
        <f t="shared" si="80"/>
        <v>1.0019913707268504</v>
      </c>
      <c r="AY35" s="2">
        <v>3008</v>
      </c>
      <c r="AZ35" s="156">
        <f t="shared" si="80"/>
        <v>0.99834052439429144</v>
      </c>
      <c r="BA35" s="2">
        <v>9539</v>
      </c>
      <c r="BB35" s="156">
        <f t="shared" si="6"/>
        <v>3.1659475605708596</v>
      </c>
      <c r="BC35" s="2">
        <v>9458</v>
      </c>
      <c r="BD35" s="156">
        <f t="shared" si="6"/>
        <v>3.1390640557583804</v>
      </c>
      <c r="BE35" s="2">
        <v>10373</v>
      </c>
      <c r="BF35" s="156">
        <f t="shared" si="6"/>
        <v>3.4427480916030535</v>
      </c>
      <c r="BG35" s="10">
        <v>10164</v>
      </c>
      <c r="BH35" s="156">
        <f t="shared" si="6"/>
        <v>3.3733820112844342</v>
      </c>
      <c r="BI35" s="10">
        <v>11441</v>
      </c>
      <c r="BJ35" s="156">
        <f t="shared" si="6"/>
        <v>3.7972120809824097</v>
      </c>
      <c r="BK35" s="10">
        <v>11771</v>
      </c>
      <c r="BL35" s="156">
        <f t="shared" si="106"/>
        <v>3.9067374709591771</v>
      </c>
      <c r="BM35" s="10">
        <v>10852</v>
      </c>
      <c r="BN35" s="156">
        <f t="shared" si="7"/>
        <v>3.6017258546299371</v>
      </c>
      <c r="BO35" s="10">
        <v>10975</v>
      </c>
      <c r="BP35" s="156">
        <f t="shared" si="8"/>
        <v>3.6425489545303682</v>
      </c>
      <c r="BQ35" s="10">
        <v>11492</v>
      </c>
      <c r="BR35" s="156">
        <f t="shared" si="9"/>
        <v>3.8141387321606373</v>
      </c>
      <c r="BS35" s="10">
        <v>10906</v>
      </c>
      <c r="BT35" s="156">
        <f t="shared" si="10"/>
        <v>3.6196481911715899</v>
      </c>
      <c r="BU35" s="10">
        <v>10370</v>
      </c>
      <c r="BV35" s="156">
        <f t="shared" si="11"/>
        <v>3.4417524062396283</v>
      </c>
      <c r="BW35" s="10">
        <v>10511</v>
      </c>
      <c r="BX35" s="156">
        <f t="shared" si="12"/>
        <v>3.4885496183206106</v>
      </c>
      <c r="BY35" s="10">
        <v>10217</v>
      </c>
      <c r="BZ35" s="156">
        <f t="shared" si="13"/>
        <v>3.3909724527049452</v>
      </c>
      <c r="CA35" s="10">
        <v>10579</v>
      </c>
      <c r="CB35" s="156">
        <f t="shared" si="14"/>
        <v>3.5111184865582477</v>
      </c>
      <c r="CC35" s="10">
        <v>11224</v>
      </c>
      <c r="CD35" s="156">
        <f t="shared" si="14"/>
        <v>3.7251908396946565</v>
      </c>
      <c r="CE35" s="10">
        <v>10392</v>
      </c>
      <c r="CF35" s="156">
        <f t="shared" si="15"/>
        <v>3.449054098904746</v>
      </c>
      <c r="CG35" s="10">
        <v>9954</v>
      </c>
      <c r="CH35" s="156">
        <f t="shared" si="16"/>
        <v>3.3036840358446731</v>
      </c>
      <c r="CI35" s="10">
        <v>10220</v>
      </c>
      <c r="CJ35" s="156">
        <f t="shared" si="17"/>
        <v>3.3919681380683704</v>
      </c>
      <c r="CK35" s="10">
        <v>15680</v>
      </c>
      <c r="CL35" s="156">
        <f t="shared" si="18"/>
        <v>5.2041154995021577</v>
      </c>
      <c r="CN35" s="156">
        <f t="shared" si="19"/>
        <v>0</v>
      </c>
      <c r="CO35" s="10">
        <v>10229</v>
      </c>
      <c r="CP35" s="156">
        <f t="shared" si="20"/>
        <v>3.394955194158646</v>
      </c>
      <c r="CQ35" s="10">
        <v>9071</v>
      </c>
      <c r="CR35" s="156">
        <f t="shared" si="20"/>
        <v>3.0106206438765351</v>
      </c>
      <c r="CS35" s="10">
        <v>10541</v>
      </c>
      <c r="CU35" s="10">
        <v>12921</v>
      </c>
      <c r="CW35" s="10">
        <v>12460</v>
      </c>
      <c r="CY35" s="10">
        <v>10833</v>
      </c>
      <c r="DA35" s="10">
        <v>10987</v>
      </c>
      <c r="DC35" s="10">
        <v>8426</v>
      </c>
      <c r="DE35" s="10">
        <v>8289</v>
      </c>
      <c r="DF35" s="10" t="s">
        <v>1718</v>
      </c>
    </row>
    <row r="36" spans="1:110" s="10" customFormat="1" ht="15.75" customHeight="1">
      <c r="A36" s="4198">
        <v>37</v>
      </c>
      <c r="B36" s="4199" t="s">
        <v>134</v>
      </c>
      <c r="C36" s="121" t="str">
        <f t="shared" si="103"/>
        <v>{"username":"aventis-gemeinde-ma@diartis.ch","password":"#xFymiADPk7wJG/FWMz"}</v>
      </c>
      <c r="D36" s="82"/>
      <c r="E36" s="83" t="str">
        <f t="shared" si="104"/>
        <v>{"username":"aventis-gemeinde-ma@diartis.ch","password":"#xFymiADPk7wJG/FWMz"}</v>
      </c>
      <c r="F36" s="609" t="s">
        <v>29</v>
      </c>
      <c r="G36" s="617" t="s">
        <v>195</v>
      </c>
      <c r="H36" s="609" t="s">
        <v>31</v>
      </c>
      <c r="I36" s="618" t="s">
        <v>196</v>
      </c>
      <c r="J36" s="609" t="s">
        <v>37</v>
      </c>
      <c r="K36" s="614"/>
      <c r="L36" s="609"/>
      <c r="M36" s="611"/>
      <c r="N36" s="609"/>
      <c r="O36" s="611"/>
      <c r="P36" s="609"/>
      <c r="Q36" s="611"/>
      <c r="R36" s="609"/>
      <c r="S36" s="611"/>
      <c r="T36" s="609"/>
      <c r="U36" s="611"/>
      <c r="V36" s="609"/>
      <c r="W36" s="611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171">
        <v>4543</v>
      </c>
      <c r="AJ36" s="156">
        <f t="shared" ref="AJ36" si="115">AI36/($AI36)</f>
        <v>1</v>
      </c>
      <c r="AK36" s="171">
        <v>5116</v>
      </c>
      <c r="AL36" s="156">
        <f t="shared" si="3"/>
        <v>1.1261281091789566</v>
      </c>
      <c r="AM36" s="171">
        <v>17431</v>
      </c>
      <c r="AN36" s="156">
        <f t="shared" si="4"/>
        <v>3.8368919216376844</v>
      </c>
      <c r="AO36" s="82"/>
      <c r="AP36" s="156">
        <f t="shared" si="4"/>
        <v>0</v>
      </c>
      <c r="AQ36" s="82">
        <v>15851</v>
      </c>
      <c r="AR36" s="156">
        <f t="shared" si="4"/>
        <v>3.4891041162227605</v>
      </c>
      <c r="AS36" s="82">
        <v>15764</v>
      </c>
      <c r="AT36" s="156">
        <f t="shared" si="4"/>
        <v>3.4699537750385208</v>
      </c>
      <c r="AU36" s="82">
        <v>15355</v>
      </c>
      <c r="AV36" s="156">
        <f t="shared" si="80"/>
        <v>3.3799251595861763</v>
      </c>
      <c r="AW36" s="82">
        <v>10440</v>
      </c>
      <c r="AX36" s="156">
        <f t="shared" si="80"/>
        <v>2.2980409421087389</v>
      </c>
      <c r="AY36" s="2">
        <v>9867</v>
      </c>
      <c r="AZ36" s="156">
        <f t="shared" si="80"/>
        <v>2.1719128329297819</v>
      </c>
      <c r="BA36" s="2">
        <v>8096</v>
      </c>
      <c r="BB36" s="156">
        <f t="shared" si="6"/>
        <v>1.7820823244552058</v>
      </c>
      <c r="BC36" s="2">
        <v>8806</v>
      </c>
      <c r="BD36" s="156">
        <f t="shared" si="6"/>
        <v>1.9383667180277351</v>
      </c>
      <c r="BE36" s="2">
        <v>9174</v>
      </c>
      <c r="BF36" s="156">
        <f t="shared" si="6"/>
        <v>2.0193704600484264</v>
      </c>
      <c r="BG36" s="10">
        <v>8871</v>
      </c>
      <c r="BH36" s="156">
        <f t="shared" si="6"/>
        <v>1.952674444199868</v>
      </c>
      <c r="BI36" s="10">
        <v>10031</v>
      </c>
      <c r="BJ36" s="156">
        <f t="shared" si="6"/>
        <v>2.2080123266563945</v>
      </c>
      <c r="BK36" s="10">
        <v>9180</v>
      </c>
      <c r="BL36" s="156">
        <f t="shared" si="106"/>
        <v>2.020691173233546</v>
      </c>
      <c r="BM36" s="10">
        <v>9402</v>
      </c>
      <c r="BN36" s="156">
        <f t="shared" si="7"/>
        <v>2.0695575610829846</v>
      </c>
      <c r="BO36" s="10">
        <v>9113</v>
      </c>
      <c r="BP36" s="156">
        <f t="shared" si="8"/>
        <v>2.00594320933304</v>
      </c>
      <c r="BQ36" s="10">
        <v>9191</v>
      </c>
      <c r="BR36" s="156">
        <f t="shared" si="9"/>
        <v>2.0231124807395995</v>
      </c>
      <c r="BS36" s="10">
        <v>9434</v>
      </c>
      <c r="BT36" s="156">
        <f t="shared" si="10"/>
        <v>2.0766013647369581</v>
      </c>
      <c r="BU36" s="10">
        <v>8988</v>
      </c>
      <c r="BV36" s="156">
        <f t="shared" si="11"/>
        <v>1.9784283513097072</v>
      </c>
      <c r="BW36" s="10">
        <v>9405</v>
      </c>
      <c r="BX36" s="156">
        <f t="shared" si="12"/>
        <v>2.0702179176755449</v>
      </c>
      <c r="BY36" s="10">
        <v>8780</v>
      </c>
      <c r="BZ36" s="156">
        <f t="shared" si="13"/>
        <v>1.9326436275588819</v>
      </c>
      <c r="CA36" s="10">
        <v>8614</v>
      </c>
      <c r="CB36" s="156">
        <f t="shared" si="14"/>
        <v>1.8961038961038961</v>
      </c>
      <c r="CC36" s="10">
        <v>7389</v>
      </c>
      <c r="CD36" s="156">
        <f t="shared" si="14"/>
        <v>1.6264582874752367</v>
      </c>
      <c r="CE36" s="10">
        <v>6284</v>
      </c>
      <c r="CF36" s="156">
        <f t="shared" si="15"/>
        <v>1.3832269425489765</v>
      </c>
      <c r="CG36" s="10">
        <v>6274</v>
      </c>
      <c r="CH36" s="156">
        <f t="shared" si="16"/>
        <v>1.3810257539071098</v>
      </c>
      <c r="CI36" s="10">
        <v>14187</v>
      </c>
      <c r="CJ36" s="156">
        <f t="shared" si="17"/>
        <v>3.1228263262161566</v>
      </c>
      <c r="CK36" s="10">
        <v>7571</v>
      </c>
      <c r="CL36" s="156">
        <f t="shared" si="18"/>
        <v>1.6665199207572088</v>
      </c>
      <c r="CN36" s="156">
        <f t="shared" si="19"/>
        <v>0</v>
      </c>
      <c r="CO36" s="10">
        <v>7687</v>
      </c>
      <c r="CP36" s="156">
        <f t="shared" si="20"/>
        <v>1.6920537090028616</v>
      </c>
      <c r="CQ36" s="10">
        <v>9975</v>
      </c>
      <c r="CR36" s="156">
        <f t="shared" si="20"/>
        <v>2.1956856702619416</v>
      </c>
      <c r="CS36" s="10">
        <v>7854</v>
      </c>
      <c r="CU36" s="10">
        <v>6858</v>
      </c>
      <c r="CW36" s="10">
        <v>7430</v>
      </c>
      <c r="CY36" s="10">
        <v>8801</v>
      </c>
      <c r="DA36" s="10">
        <v>7466</v>
      </c>
      <c r="DC36" s="10">
        <v>11648</v>
      </c>
      <c r="DE36" s="10">
        <v>12087</v>
      </c>
      <c r="DF36" s="10" t="s">
        <v>1718</v>
      </c>
    </row>
    <row r="37" spans="1:110" s="10" customFormat="1" ht="15.75" customHeight="1">
      <c r="A37" s="4198">
        <v>39</v>
      </c>
      <c r="B37" s="4200" t="s">
        <v>197</v>
      </c>
      <c r="C37" s="121" t="str">
        <f t="shared" si="103"/>
        <v>{"dossier":p.DossierName3,"buttonName":"Bewilligen","checkStatus":"Bewilligt"}</v>
      </c>
      <c r="D37" s="82"/>
      <c r="E37" s="83" t="str">
        <f t="shared" si="104"/>
        <v>{"dossier":p.DossierName3,"buttonName":"Bewilligen","checkStatus":"Bewilligt"}</v>
      </c>
      <c r="F37" s="609" t="s">
        <v>159</v>
      </c>
      <c r="G37" s="649" t="str">
        <f>G35</f>
        <v>p.DossierName3</v>
      </c>
      <c r="H37" s="609" t="s">
        <v>198</v>
      </c>
      <c r="I37" s="611" t="s">
        <v>136</v>
      </c>
      <c r="J37" s="609" t="s">
        <v>132</v>
      </c>
      <c r="K37" s="609" t="s">
        <v>137</v>
      </c>
      <c r="L37" s="609" t="s">
        <v>37</v>
      </c>
      <c r="M37" s="611"/>
      <c r="N37" s="609"/>
      <c r="O37" s="611"/>
      <c r="P37" s="609"/>
      <c r="Q37" s="611"/>
      <c r="R37" s="609"/>
      <c r="S37" s="611"/>
      <c r="T37" s="609"/>
      <c r="U37" s="611"/>
      <c r="V37" s="609"/>
      <c r="W37" s="611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171">
        <v>3009</v>
      </c>
      <c r="AJ37" s="156">
        <f t="shared" ref="AJ37" si="116">AI37/($AI37)</f>
        <v>1</v>
      </c>
      <c r="AK37" s="171">
        <v>3018</v>
      </c>
      <c r="AL37" s="156">
        <f t="shared" si="3"/>
        <v>1.0029910269192424</v>
      </c>
      <c r="AM37" s="171">
        <v>3021</v>
      </c>
      <c r="AN37" s="156">
        <f t="shared" si="4"/>
        <v>1.003988035892323</v>
      </c>
      <c r="AO37" s="82"/>
      <c r="AP37" s="156">
        <f t="shared" si="4"/>
        <v>0</v>
      </c>
      <c r="AQ37" s="82">
        <v>3015</v>
      </c>
      <c r="AR37" s="156">
        <f t="shared" si="4"/>
        <v>1.0019940179461615</v>
      </c>
      <c r="AS37" s="82">
        <v>3005</v>
      </c>
      <c r="AT37" s="156">
        <f t="shared" si="4"/>
        <v>0.998670654702559</v>
      </c>
      <c r="AU37" s="82">
        <v>3024</v>
      </c>
      <c r="AV37" s="156">
        <f t="shared" si="80"/>
        <v>1.0049850448654039</v>
      </c>
      <c r="AW37" s="82">
        <v>3044</v>
      </c>
      <c r="AX37" s="156">
        <f t="shared" si="80"/>
        <v>1.0116317713526088</v>
      </c>
      <c r="AY37" s="2">
        <v>3026</v>
      </c>
      <c r="AZ37" s="156">
        <f t="shared" si="80"/>
        <v>1.0056497175141244</v>
      </c>
      <c r="BA37" s="2">
        <v>9353</v>
      </c>
      <c r="BB37" s="156">
        <f t="shared" si="6"/>
        <v>3.1083416417414425</v>
      </c>
      <c r="BC37" s="2">
        <v>9212</v>
      </c>
      <c r="BD37" s="156">
        <f t="shared" si="6"/>
        <v>3.0614822200066469</v>
      </c>
      <c r="BE37" s="2">
        <v>9827</v>
      </c>
      <c r="BF37" s="156">
        <f t="shared" si="6"/>
        <v>3.2658690594882023</v>
      </c>
      <c r="BG37" s="10">
        <v>11261</v>
      </c>
      <c r="BH37" s="156">
        <f t="shared" si="6"/>
        <v>3.7424393486208043</v>
      </c>
      <c r="BI37" s="10">
        <v>9880</v>
      </c>
      <c r="BJ37" s="156">
        <f t="shared" si="6"/>
        <v>3.2834828846792954</v>
      </c>
      <c r="BK37" s="10">
        <v>10869</v>
      </c>
      <c r="BL37" s="156">
        <f t="shared" si="106"/>
        <v>3.6121635094715852</v>
      </c>
      <c r="BM37" s="10">
        <v>9837</v>
      </c>
      <c r="BN37" s="156">
        <f t="shared" si="7"/>
        <v>3.2691924227318045</v>
      </c>
      <c r="BO37" s="10">
        <v>9991</v>
      </c>
      <c r="BP37" s="156">
        <f t="shared" si="8"/>
        <v>3.3203722166832836</v>
      </c>
      <c r="BQ37" s="10">
        <v>10660</v>
      </c>
      <c r="BR37" s="156">
        <f t="shared" si="9"/>
        <v>3.5427052176802927</v>
      </c>
      <c r="BS37" s="10">
        <v>10608</v>
      </c>
      <c r="BT37" s="156">
        <f t="shared" si="10"/>
        <v>3.5254237288135593</v>
      </c>
      <c r="BU37" s="10">
        <v>10126</v>
      </c>
      <c r="BV37" s="156">
        <f t="shared" si="11"/>
        <v>3.3652376204719174</v>
      </c>
      <c r="BW37" s="10">
        <v>10822</v>
      </c>
      <c r="BX37" s="156">
        <f t="shared" si="12"/>
        <v>3.5965437022266533</v>
      </c>
      <c r="BY37" s="10">
        <v>10160</v>
      </c>
      <c r="BZ37" s="156">
        <f t="shared" si="13"/>
        <v>3.3765370555001661</v>
      </c>
      <c r="CA37" s="10">
        <v>10534</v>
      </c>
      <c r="CB37" s="156">
        <f t="shared" si="14"/>
        <v>3.5008308408109006</v>
      </c>
      <c r="CC37" s="10">
        <v>10558</v>
      </c>
      <c r="CD37" s="156">
        <f t="shared" si="14"/>
        <v>3.5088069125955466</v>
      </c>
      <c r="CE37" s="10">
        <v>9854</v>
      </c>
      <c r="CF37" s="156">
        <f t="shared" si="15"/>
        <v>3.2748421402459287</v>
      </c>
      <c r="CG37" s="10">
        <v>9862</v>
      </c>
      <c r="CH37" s="156">
        <f t="shared" si="16"/>
        <v>3.2775008308408111</v>
      </c>
      <c r="CI37" s="10">
        <v>9001</v>
      </c>
      <c r="CJ37" s="156">
        <f t="shared" si="17"/>
        <v>2.9913592555666333</v>
      </c>
      <c r="CK37" s="10">
        <v>9286</v>
      </c>
      <c r="CL37" s="156">
        <f t="shared" si="18"/>
        <v>3.0860751080093056</v>
      </c>
      <c r="CN37" s="156">
        <f t="shared" si="19"/>
        <v>0</v>
      </c>
      <c r="CO37" s="10">
        <v>10010</v>
      </c>
      <c r="CP37" s="156">
        <f t="shared" si="20"/>
        <v>3.3266866068461285</v>
      </c>
      <c r="CQ37" s="10">
        <v>9548</v>
      </c>
      <c r="CR37" s="156">
        <f t="shared" si="20"/>
        <v>3.1731472249916917</v>
      </c>
      <c r="CS37" s="10">
        <v>12924</v>
      </c>
      <c r="CU37" s="10">
        <v>12463</v>
      </c>
      <c r="CW37" s="10">
        <v>13527</v>
      </c>
      <c r="CY37" s="10">
        <v>12785</v>
      </c>
      <c r="DA37" s="10">
        <v>12448</v>
      </c>
      <c r="DC37" s="10">
        <v>9005</v>
      </c>
      <c r="DE37" s="10">
        <v>9771</v>
      </c>
      <c r="DF37" s="10" t="s">
        <v>1718</v>
      </c>
    </row>
    <row r="38" spans="1:110" s="10" customFormat="1" ht="15.75" customHeight="1" thickBot="1">
      <c r="A38" s="4198">
        <v>40</v>
      </c>
      <c r="B38" s="4199" t="s">
        <v>134</v>
      </c>
      <c r="C38" s="121" t="str">
        <f t="shared" si="103"/>
        <v>{"username":"Bern.Sachbearbeiterin@diartis.ch","password":"XXxa22?pdTA66-S@"}</v>
      </c>
      <c r="D38" s="82"/>
      <c r="E38" s="83" t="str">
        <f t="shared" si="104"/>
        <v>{"username":"Bern.Sachbearbeiterin@diartis.ch","password":"XXxa22?pdTA66-S@"}</v>
      </c>
      <c r="F38" s="609" t="s">
        <v>29</v>
      </c>
      <c r="G38" s="617" t="s">
        <v>30</v>
      </c>
      <c r="H38" s="609" t="s">
        <v>31</v>
      </c>
      <c r="I38" s="618" t="s">
        <v>32</v>
      </c>
      <c r="J38" s="609" t="s">
        <v>37</v>
      </c>
      <c r="K38" s="614"/>
      <c r="L38" s="609"/>
      <c r="M38" s="611"/>
      <c r="N38" s="609"/>
      <c r="O38" s="611"/>
      <c r="P38" s="609"/>
      <c r="Q38" s="611"/>
      <c r="R38" s="609"/>
      <c r="S38" s="611"/>
      <c r="T38" s="609"/>
      <c r="U38" s="611"/>
      <c r="V38" s="609"/>
      <c r="W38" s="611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171">
        <v>9119</v>
      </c>
      <c r="AJ38" s="156">
        <f t="shared" ref="AJ38" si="117">AI38/($AI38)</f>
        <v>1</v>
      </c>
      <c r="AK38" s="171">
        <v>9130</v>
      </c>
      <c r="AL38" s="156">
        <f t="shared" si="3"/>
        <v>1.0012062726176116</v>
      </c>
      <c r="AM38" s="171">
        <v>16350</v>
      </c>
      <c r="AN38" s="156">
        <f t="shared" si="4"/>
        <v>1.7929597543590305</v>
      </c>
      <c r="AO38" s="82"/>
      <c r="AP38" s="156">
        <f t="shared" si="4"/>
        <v>0</v>
      </c>
      <c r="AQ38" s="82">
        <v>15594</v>
      </c>
      <c r="AR38" s="156">
        <f t="shared" si="4"/>
        <v>1.7100559271849984</v>
      </c>
      <c r="AS38" s="82">
        <v>15446</v>
      </c>
      <c r="AT38" s="156">
        <f t="shared" si="4"/>
        <v>1.6938260774207698</v>
      </c>
      <c r="AU38" s="82">
        <v>15099</v>
      </c>
      <c r="AV38" s="156">
        <f t="shared" si="80"/>
        <v>1.6557736593924772</v>
      </c>
      <c r="AW38" s="82">
        <v>8941</v>
      </c>
      <c r="AX38" s="156">
        <f t="shared" si="80"/>
        <v>0.98048031582410355</v>
      </c>
      <c r="AY38" s="2">
        <v>8480</v>
      </c>
      <c r="AZ38" s="156">
        <f t="shared" si="80"/>
        <v>0.92992652703147272</v>
      </c>
      <c r="BA38" s="2">
        <v>8875</v>
      </c>
      <c r="BB38" s="156">
        <f t="shared" si="6"/>
        <v>0.97324268011843407</v>
      </c>
      <c r="BC38" s="2">
        <v>8623</v>
      </c>
      <c r="BD38" s="156">
        <f t="shared" si="6"/>
        <v>0.94560807106042333</v>
      </c>
      <c r="BE38" s="2">
        <v>8991</v>
      </c>
      <c r="BF38" s="156">
        <f t="shared" si="6"/>
        <v>0.98596337317688343</v>
      </c>
      <c r="BG38" s="10">
        <v>9671</v>
      </c>
      <c r="BH38" s="156">
        <f t="shared" si="6"/>
        <v>1.0605329531746903</v>
      </c>
      <c r="BI38" s="10">
        <v>8905</v>
      </c>
      <c r="BJ38" s="156">
        <f t="shared" si="6"/>
        <v>0.97653251453010204</v>
      </c>
      <c r="BK38" s="10">
        <v>10170</v>
      </c>
      <c r="BL38" s="156">
        <f t="shared" si="106"/>
        <v>1.1152538655554336</v>
      </c>
      <c r="BM38" s="10">
        <v>9476</v>
      </c>
      <c r="BN38" s="156">
        <f t="shared" si="7"/>
        <v>1.0391490294988486</v>
      </c>
      <c r="BO38" s="10">
        <v>9051</v>
      </c>
      <c r="BP38" s="156">
        <f t="shared" si="8"/>
        <v>0.99254304200021937</v>
      </c>
      <c r="BQ38" s="10">
        <v>9304</v>
      </c>
      <c r="BR38" s="156">
        <f t="shared" si="9"/>
        <v>1.0202873122052856</v>
      </c>
      <c r="BS38" s="10">
        <v>8899</v>
      </c>
      <c r="BT38" s="156">
        <f t="shared" si="10"/>
        <v>0.97587454764776838</v>
      </c>
      <c r="BU38" s="10">
        <v>9132</v>
      </c>
      <c r="BV38" s="156">
        <f t="shared" si="11"/>
        <v>1.0014255949117228</v>
      </c>
      <c r="BW38" s="10">
        <v>9422</v>
      </c>
      <c r="BX38" s="156">
        <f t="shared" si="12"/>
        <v>1.0332273275578463</v>
      </c>
      <c r="BY38" s="10">
        <v>8231</v>
      </c>
      <c r="BZ38" s="156">
        <f t="shared" si="13"/>
        <v>0.90262090141462881</v>
      </c>
      <c r="CA38" s="10">
        <v>9409</v>
      </c>
      <c r="CB38" s="156">
        <f t="shared" si="14"/>
        <v>1.0318017326461235</v>
      </c>
      <c r="CC38" s="10">
        <v>6055</v>
      </c>
      <c r="CD38" s="156">
        <f t="shared" si="14"/>
        <v>0.66399824542164709</v>
      </c>
      <c r="CE38" s="10">
        <v>5578</v>
      </c>
      <c r="CF38" s="156">
        <f t="shared" si="15"/>
        <v>0.61168987827612675</v>
      </c>
      <c r="CG38" s="10">
        <v>6220</v>
      </c>
      <c r="CH38" s="156">
        <f t="shared" si="16"/>
        <v>0.68209233468582087</v>
      </c>
      <c r="CI38" s="10">
        <v>7772</v>
      </c>
      <c r="CJ38" s="156">
        <f t="shared" si="17"/>
        <v>0.85228643491610923</v>
      </c>
      <c r="CK38" s="10">
        <v>7487</v>
      </c>
      <c r="CL38" s="156">
        <f t="shared" si="18"/>
        <v>0.82103300800526369</v>
      </c>
      <c r="CN38" s="156">
        <f t="shared" si="19"/>
        <v>0</v>
      </c>
      <c r="CO38" s="10">
        <v>8937</v>
      </c>
      <c r="CP38" s="156">
        <f t="shared" si="20"/>
        <v>0.98004167123588115</v>
      </c>
      <c r="CQ38" s="10">
        <v>9392</v>
      </c>
      <c r="CR38" s="156">
        <f t="shared" si="20"/>
        <v>1.0299374931461782</v>
      </c>
      <c r="CS38" s="10">
        <v>8020</v>
      </c>
      <c r="CU38" s="10">
        <v>7198</v>
      </c>
      <c r="CW38" s="10">
        <v>7244</v>
      </c>
      <c r="CY38" s="10">
        <v>7404</v>
      </c>
      <c r="DA38" s="10">
        <v>7073</v>
      </c>
      <c r="DC38" s="10">
        <v>11799</v>
      </c>
      <c r="DE38" s="10">
        <v>11912</v>
      </c>
      <c r="DF38" s="10" t="s">
        <v>1718</v>
      </c>
    </row>
    <row r="39" spans="1:110" s="10" customFormat="1" ht="15.75" customHeight="1" thickBot="1">
      <c r="A39" s="4198">
        <v>42</v>
      </c>
      <c r="B39" s="4201" t="s">
        <v>139</v>
      </c>
      <c r="C39" s="121" t="str">
        <f>E39</f>
        <v>{"searchDossierOrKlient":p.DossierName3,"resultType":"Dossiers"}</v>
      </c>
      <c r="D39" s="56"/>
      <c r="E39" s="109" t="str">
        <f>F39&amp;G39&amp;H39&amp;I39&amp;J39&amp;K39&amp;L39&amp;M39&amp;N39&amp;O39&amp;P39&amp;Q39&amp;R39&amp;S39&amp;T39&amp;U39&amp;V39&amp;W39&amp;X39</f>
        <v>{"searchDossierOrKlient":p.DossierName3,"resultType":"Dossiers"}</v>
      </c>
      <c r="F39" s="609" t="s">
        <v>140</v>
      </c>
      <c r="G39" s="614" t="str">
        <f>G37</f>
        <v>p.DossierName3</v>
      </c>
      <c r="H39" s="609" t="s">
        <v>141</v>
      </c>
      <c r="I39" s="611" t="s">
        <v>142</v>
      </c>
      <c r="J39" s="609" t="s">
        <v>37</v>
      </c>
      <c r="K39" s="611"/>
      <c r="L39" s="609"/>
      <c r="M39" s="611"/>
      <c r="N39" s="609"/>
      <c r="O39" s="611"/>
      <c r="P39" s="609"/>
      <c r="Q39" s="611"/>
      <c r="R39" s="609"/>
      <c r="S39" s="611"/>
      <c r="T39" s="609"/>
      <c r="U39" s="611"/>
      <c r="V39" s="609"/>
      <c r="W39" s="611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157">
        <v>5012</v>
      </c>
      <c r="AJ39" s="156">
        <f t="shared" ref="AJ39" si="118">AI39/($AI39)</f>
        <v>1</v>
      </c>
      <c r="AK39" s="157">
        <v>5017</v>
      </c>
      <c r="AL39" s="156">
        <f t="shared" si="3"/>
        <v>1.0009976057462091</v>
      </c>
      <c r="AM39" s="157">
        <v>5010</v>
      </c>
      <c r="AN39" s="156">
        <f t="shared" si="4"/>
        <v>0.99960095770151636</v>
      </c>
      <c r="AO39" s="56"/>
      <c r="AP39" s="156">
        <f t="shared" si="4"/>
        <v>0</v>
      </c>
      <c r="AQ39" s="56">
        <v>5013</v>
      </c>
      <c r="AR39" s="156">
        <f t="shared" si="4"/>
        <v>1.0001995211492418</v>
      </c>
      <c r="AS39" s="56">
        <v>5008</v>
      </c>
      <c r="AT39" s="156">
        <f t="shared" si="4"/>
        <v>0.99920191540303271</v>
      </c>
      <c r="AU39" s="56">
        <v>5015</v>
      </c>
      <c r="AV39" s="156">
        <f t="shared" si="80"/>
        <v>1.0005985634477255</v>
      </c>
      <c r="AW39" s="56">
        <v>5014</v>
      </c>
      <c r="AX39" s="156">
        <f t="shared" si="80"/>
        <v>1.0003990422984836</v>
      </c>
      <c r="AY39" s="2">
        <v>5017</v>
      </c>
      <c r="AZ39" s="156">
        <f t="shared" si="80"/>
        <v>1.0009976057462091</v>
      </c>
      <c r="BA39" s="2">
        <v>9418</v>
      </c>
      <c r="BB39" s="156">
        <f t="shared" si="6"/>
        <v>1.8790901835594573</v>
      </c>
      <c r="BC39" s="2">
        <v>10190</v>
      </c>
      <c r="BD39" s="156">
        <f t="shared" si="6"/>
        <v>2.0331205107741419</v>
      </c>
      <c r="BE39" s="2">
        <v>9516</v>
      </c>
      <c r="BF39" s="156">
        <f t="shared" si="6"/>
        <v>1.8986432561851556</v>
      </c>
      <c r="BG39" s="10">
        <v>11953</v>
      </c>
      <c r="BH39" s="156">
        <f t="shared" si="6"/>
        <v>2.3848762968874699</v>
      </c>
      <c r="BI39" s="10">
        <v>11049</v>
      </c>
      <c r="BJ39" s="156">
        <f t="shared" si="6"/>
        <v>2.2045091779728652</v>
      </c>
      <c r="BK39" s="10">
        <v>10755</v>
      </c>
      <c r="BL39" s="156">
        <f t="shared" si="106"/>
        <v>2.1458499600957701</v>
      </c>
      <c r="BM39" s="10">
        <v>10005</v>
      </c>
      <c r="BN39" s="156">
        <f t="shared" si="7"/>
        <v>1.9962090981644054</v>
      </c>
      <c r="BO39" s="10">
        <v>11109</v>
      </c>
      <c r="BP39" s="156">
        <f t="shared" si="8"/>
        <v>2.2164804469273744</v>
      </c>
      <c r="BQ39" s="10">
        <v>10706</v>
      </c>
      <c r="BR39" s="156">
        <f t="shared" si="9"/>
        <v>2.1360734237829209</v>
      </c>
      <c r="BS39" s="10">
        <v>10267</v>
      </c>
      <c r="BT39" s="156">
        <f t="shared" si="10"/>
        <v>2.0484836392657622</v>
      </c>
      <c r="BU39" s="10">
        <v>11132</v>
      </c>
      <c r="BV39" s="156">
        <f t="shared" si="11"/>
        <v>2.2210694333599363</v>
      </c>
      <c r="BW39" s="10">
        <v>10969</v>
      </c>
      <c r="BX39" s="156">
        <f t="shared" si="12"/>
        <v>2.1885474860335195</v>
      </c>
      <c r="BY39" s="10">
        <v>9911</v>
      </c>
      <c r="BZ39" s="156">
        <f t="shared" si="13"/>
        <v>1.9774541101356744</v>
      </c>
      <c r="CA39" s="10">
        <v>9943</v>
      </c>
      <c r="CB39" s="156">
        <f t="shared" si="14"/>
        <v>1.9838387869114127</v>
      </c>
      <c r="CC39" s="10">
        <v>10246</v>
      </c>
      <c r="CD39" s="156">
        <f t="shared" si="14"/>
        <v>2.0442936951316839</v>
      </c>
      <c r="CE39" s="10">
        <v>10751</v>
      </c>
      <c r="CF39" s="156">
        <f t="shared" si="15"/>
        <v>2.1450518754988028</v>
      </c>
      <c r="CG39" s="10">
        <v>10728</v>
      </c>
      <c r="CH39" s="156">
        <f t="shared" si="16"/>
        <v>2.1404628890662409</v>
      </c>
      <c r="CI39" s="10">
        <v>10535</v>
      </c>
      <c r="CJ39" s="156">
        <f t="shared" si="17"/>
        <v>2.1019553072625698</v>
      </c>
      <c r="CK39" s="10">
        <v>10342</v>
      </c>
      <c r="CL39" s="156">
        <f t="shared" si="18"/>
        <v>2.0634477254588988</v>
      </c>
      <c r="CN39" s="156">
        <f t="shared" si="19"/>
        <v>0</v>
      </c>
      <c r="CO39" s="10">
        <v>16644</v>
      </c>
      <c r="CP39" s="156">
        <f t="shared" si="20"/>
        <v>3.3208300079808462</v>
      </c>
      <c r="CQ39" s="10">
        <v>10799</v>
      </c>
      <c r="CR39" s="156">
        <f t="shared" si="20"/>
        <v>2.1546288906624103</v>
      </c>
      <c r="CS39" s="10">
        <v>12359</v>
      </c>
      <c r="CU39" s="2918">
        <v>0</v>
      </c>
      <c r="CV39" s="2919" t="s">
        <v>1473</v>
      </c>
      <c r="CW39" s="10">
        <v>13777</v>
      </c>
      <c r="CY39" s="10">
        <v>13413</v>
      </c>
      <c r="DA39" s="10">
        <v>13965</v>
      </c>
      <c r="DC39" s="10">
        <v>8720</v>
      </c>
      <c r="DE39" s="10">
        <v>10576</v>
      </c>
      <c r="DF39" s="10" t="s">
        <v>1718</v>
      </c>
    </row>
    <row r="40" spans="1:110" s="10" customFormat="1" ht="15.75" customHeight="1" thickBot="1">
      <c r="A40" s="4198">
        <v>43</v>
      </c>
      <c r="B40" s="3685" t="s">
        <v>200</v>
      </c>
      <c r="C40" s="121" t="str">
        <f ca="1">E40</f>
        <v xml:space="preserve">{"verwendungPeriode":"November 2025,Dezember 2025,Januar 2026,Februar 2026,März 2026,April 2026,Mai 2026","status":"Zu bezahlen"}																				
</v>
      </c>
      <c r="D40" s="82"/>
      <c r="E40" s="109" t="str">
        <f ca="1">F40&amp;G40&amp;H40&amp;I40&amp;J40&amp;K40&amp;L40&amp;M40&amp;N40&amp;O40&amp;P40&amp;Q40&amp;R40&amp;S40&amp;T40&amp;U40&amp;V40&amp;W40&amp;X40</f>
        <v xml:space="preserve">{"verwendungPeriode":"November 2025,Dezember 2025,Januar 2026,Februar 2026,März 2026,April 2026,Mai 2026","status":"Zu bezahlen"}																				
</v>
      </c>
      <c r="F40" s="609" t="s">
        <v>201</v>
      </c>
      <c r="G40" s="650" t="str">
        <f ca="1">G73&amp;","&amp;G74&amp;","&amp;G75&amp;","&amp;G76&amp;","&amp;G77&amp;","&amp;G78&amp;","&amp;G79</f>
        <v>November 2025,Dezember 2025,Januar 2026,Februar 2026,März 2026,April 2026,Mai 2026</v>
      </c>
      <c r="H40" s="609"/>
      <c r="I40" s="613"/>
      <c r="J40" s="609" t="s">
        <v>202</v>
      </c>
      <c r="K40" s="614" t="s">
        <v>203</v>
      </c>
      <c r="L40" s="146" t="s">
        <v>204</v>
      </c>
      <c r="M40" s="611"/>
      <c r="N40" s="609"/>
      <c r="O40" s="609"/>
      <c r="P40" s="611"/>
      <c r="Q40" s="611"/>
      <c r="R40" s="611"/>
      <c r="S40" s="611"/>
      <c r="T40" s="611"/>
      <c r="U40" s="611"/>
      <c r="V40" s="611"/>
      <c r="W40" s="611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171">
        <v>10638</v>
      </c>
      <c r="AJ40" s="156">
        <f t="shared" ref="AJ40:AJ41" si="119">AI40/($AI40)</f>
        <v>1</v>
      </c>
      <c r="AK40" s="171">
        <v>10860</v>
      </c>
      <c r="AL40" s="156">
        <f t="shared" si="3"/>
        <v>1.0208685843203609</v>
      </c>
      <c r="AM40" s="171">
        <v>11200</v>
      </c>
      <c r="AN40" s="156">
        <f t="shared" si="4"/>
        <v>1.0528294792254183</v>
      </c>
      <c r="AO40" s="82"/>
      <c r="AP40" s="156">
        <f t="shared" si="4"/>
        <v>0</v>
      </c>
      <c r="AQ40" s="82">
        <v>10892</v>
      </c>
      <c r="AR40" s="156">
        <f t="shared" si="4"/>
        <v>1.0238766685467193</v>
      </c>
      <c r="AS40" s="82">
        <v>11075</v>
      </c>
      <c r="AT40" s="156">
        <f t="shared" si="4"/>
        <v>1.041079150216206</v>
      </c>
      <c r="AU40" s="82">
        <v>10687</v>
      </c>
      <c r="AV40" s="156">
        <f t="shared" si="80"/>
        <v>1.0046061289716113</v>
      </c>
      <c r="AW40" s="82">
        <v>2849</v>
      </c>
      <c r="AX40" s="156">
        <f t="shared" si="80"/>
        <v>0.26781349877796579</v>
      </c>
      <c r="AY40" s="2">
        <v>2430</v>
      </c>
      <c r="AZ40" s="156">
        <f t="shared" si="80"/>
        <v>0.22842639593908629</v>
      </c>
      <c r="BA40" s="2">
        <v>5731</v>
      </c>
      <c r="BB40" s="156">
        <f t="shared" si="6"/>
        <v>0.53872908441436362</v>
      </c>
      <c r="BC40" s="2">
        <v>5816</v>
      </c>
      <c r="BD40" s="156">
        <f t="shared" si="6"/>
        <v>0.54671930814062797</v>
      </c>
      <c r="BE40" s="2">
        <v>6236</v>
      </c>
      <c r="BF40" s="156">
        <f t="shared" si="6"/>
        <v>0.58620041361158115</v>
      </c>
      <c r="BG40" s="10">
        <v>6078</v>
      </c>
      <c r="BH40" s="156">
        <f t="shared" si="6"/>
        <v>0.57134799774393685</v>
      </c>
      <c r="BI40" s="10">
        <v>6159</v>
      </c>
      <c r="BJ40" s="156">
        <f t="shared" si="6"/>
        <v>0.57896221094190636</v>
      </c>
      <c r="BK40" s="10">
        <v>6255</v>
      </c>
      <c r="BL40" s="156">
        <f t="shared" si="106"/>
        <v>0.58798646362098139</v>
      </c>
      <c r="BM40" s="10">
        <v>6124</v>
      </c>
      <c r="BN40" s="156">
        <f t="shared" si="7"/>
        <v>0.57567211881932689</v>
      </c>
      <c r="BO40" s="10">
        <v>7106</v>
      </c>
      <c r="BP40" s="156">
        <f t="shared" si="8"/>
        <v>0.66798270351569844</v>
      </c>
      <c r="BQ40" s="10">
        <v>6208</v>
      </c>
      <c r="BR40" s="156">
        <f t="shared" si="9"/>
        <v>0.58356833991351753</v>
      </c>
      <c r="BS40" s="10">
        <v>6172</v>
      </c>
      <c r="BT40" s="156">
        <f t="shared" si="10"/>
        <v>0.58018424515886446</v>
      </c>
      <c r="BU40" s="10">
        <v>6001</v>
      </c>
      <c r="BV40" s="156">
        <f t="shared" si="11"/>
        <v>0.56410979507426207</v>
      </c>
      <c r="BW40" s="10">
        <v>5983</v>
      </c>
      <c r="BX40" s="156">
        <f t="shared" si="12"/>
        <v>0.56241774769693553</v>
      </c>
      <c r="BY40" s="10">
        <v>6020</v>
      </c>
      <c r="BZ40" s="156">
        <f t="shared" si="13"/>
        <v>0.56589584508366231</v>
      </c>
      <c r="CA40" s="10">
        <v>5322</v>
      </c>
      <c r="CB40" s="156">
        <f t="shared" si="14"/>
        <v>0.50028200789622113</v>
      </c>
      <c r="CC40" s="10">
        <v>2738</v>
      </c>
      <c r="CD40" s="156">
        <f t="shared" si="14"/>
        <v>0.25737920661778529</v>
      </c>
      <c r="CE40" s="10">
        <v>2791</v>
      </c>
      <c r="CF40" s="156">
        <f t="shared" si="15"/>
        <v>0.2623613461176913</v>
      </c>
      <c r="CG40" s="10">
        <v>3344</v>
      </c>
      <c r="CH40" s="156">
        <f t="shared" si="16"/>
        <v>0.31434480165444634</v>
      </c>
      <c r="CI40" s="10">
        <v>5506</v>
      </c>
      <c r="CJ40" s="156">
        <f t="shared" si="17"/>
        <v>0.51757849219778151</v>
      </c>
      <c r="CK40" s="10">
        <v>5042</v>
      </c>
      <c r="CL40" s="156">
        <f t="shared" si="18"/>
        <v>0.47396127091558565</v>
      </c>
      <c r="CN40" s="156">
        <f t="shared" si="19"/>
        <v>0</v>
      </c>
      <c r="CO40" s="10">
        <v>5064</v>
      </c>
      <c r="CP40" s="156">
        <f t="shared" si="20"/>
        <v>0.47602932882120702</v>
      </c>
      <c r="CQ40" s="10">
        <v>6954</v>
      </c>
      <c r="CR40" s="156">
        <f t="shared" si="20"/>
        <v>0.65369430344049628</v>
      </c>
      <c r="CS40" s="10">
        <v>4979</v>
      </c>
      <c r="CU40" s="10">
        <v>200</v>
      </c>
      <c r="CW40" s="10">
        <v>4654</v>
      </c>
      <c r="CY40" s="10">
        <v>5074</v>
      </c>
      <c r="DA40" s="10">
        <v>4526</v>
      </c>
      <c r="DC40" s="10">
        <v>9912</v>
      </c>
      <c r="DE40" s="10">
        <v>9888</v>
      </c>
      <c r="DF40" s="10" t="s">
        <v>1718</v>
      </c>
    </row>
    <row r="41" spans="1:110" s="53" customFormat="1" ht="15.75" customHeight="1" thickBot="1">
      <c r="A41" s="4198"/>
      <c r="B41" s="4202" t="s">
        <v>22</v>
      </c>
      <c r="C41" s="55" t="s">
        <v>215</v>
      </c>
      <c r="D41" s="90"/>
      <c r="E41" s="124"/>
      <c r="F41" s="624"/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1"/>
      <c r="R41" s="611"/>
      <c r="S41" s="611"/>
      <c r="T41" s="611"/>
      <c r="U41" s="611"/>
      <c r="V41" s="611"/>
      <c r="W41" s="611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162">
        <v>4779</v>
      </c>
      <c r="AJ41" s="156">
        <f t="shared" si="119"/>
        <v>1</v>
      </c>
      <c r="AK41" s="162">
        <v>4761</v>
      </c>
      <c r="AL41" s="156">
        <f t="shared" ref="AL41" si="120">AK41/($AI41)</f>
        <v>0.99623352165725043</v>
      </c>
      <c r="AM41" s="90"/>
      <c r="AN41" s="156">
        <f t="shared" ref="AN41" si="121">AM41/($AI41)</f>
        <v>0</v>
      </c>
      <c r="AO41" s="90"/>
      <c r="AP41" s="156">
        <f t="shared" ref="AP41" si="122">AO41/($AI41)</f>
        <v>0</v>
      </c>
      <c r="AQ41" s="90"/>
      <c r="AR41" s="156">
        <f t="shared" ref="AR41" si="123">AQ41/($AI41)</f>
        <v>0</v>
      </c>
      <c r="AS41" s="90"/>
      <c r="AT41" s="156">
        <f t="shared" ref="AT41" si="124">AS41/($AI41)</f>
        <v>0</v>
      </c>
      <c r="AU41" s="90"/>
      <c r="AV41" s="156">
        <f t="shared" ref="AV41" si="125">AU41/($AI41)</f>
        <v>0</v>
      </c>
      <c r="AW41" s="90"/>
      <c r="AX41" s="156">
        <f t="shared" ref="AX41" si="126">AW41/($AI41)</f>
        <v>0</v>
      </c>
      <c r="AZ41" s="156">
        <f t="shared" ref="AZ41" si="127">AY41/($AI41)</f>
        <v>0</v>
      </c>
      <c r="BB41" s="156">
        <f t="shared" ref="BB41:BJ41" si="128">BA41/($AI41)</f>
        <v>0</v>
      </c>
      <c r="BD41" s="156">
        <f t="shared" si="128"/>
        <v>0</v>
      </c>
      <c r="BF41" s="156">
        <f t="shared" si="128"/>
        <v>0</v>
      </c>
      <c r="BH41" s="156">
        <f t="shared" si="128"/>
        <v>0</v>
      </c>
      <c r="BJ41" s="156">
        <f t="shared" si="128"/>
        <v>0</v>
      </c>
      <c r="BL41" s="156">
        <f t="shared" ref="BL41" si="129">BK41/($AI41)</f>
        <v>0</v>
      </c>
      <c r="BN41" s="156">
        <f t="shared" ref="BN41" si="130">BM41/($AI41)</f>
        <v>0</v>
      </c>
      <c r="BP41" s="156">
        <f t="shared" ref="BP41" si="131">BO41/($AI41)</f>
        <v>0</v>
      </c>
      <c r="BR41" s="156">
        <f t="shared" ref="BR41" si="132">BQ41/($AI41)</f>
        <v>0</v>
      </c>
      <c r="BT41" s="156">
        <f t="shared" ref="BT41" si="133">BS41/($AI41)</f>
        <v>0</v>
      </c>
      <c r="BV41" s="156">
        <f t="shared" ref="BV41" si="134">BU41/($AI41)</f>
        <v>0</v>
      </c>
      <c r="BX41" s="156">
        <f t="shared" ref="BX41" si="135">BW41/($AI41)</f>
        <v>0</v>
      </c>
      <c r="BZ41" s="156">
        <f t="shared" ref="BZ41" si="136">BY41/($AI41)</f>
        <v>0</v>
      </c>
      <c r="CB41" s="156">
        <f t="shared" ref="CB41" si="137">CA41/($AI41)</f>
        <v>0</v>
      </c>
      <c r="CD41" s="156">
        <f t="shared" ref="CD41" si="138">CC41/($AI41)</f>
        <v>0</v>
      </c>
      <c r="CF41" s="156">
        <f t="shared" ref="CF41" si="139">CE41/($AI41)</f>
        <v>0</v>
      </c>
      <c r="CH41" s="156">
        <f t="shared" ref="CH41" si="140">CG41/($AI41)</f>
        <v>0</v>
      </c>
      <c r="CJ41" s="156">
        <f t="shared" ref="CJ41" si="141">CI41/($AI41)</f>
        <v>0</v>
      </c>
      <c r="CL41" s="156">
        <f t="shared" ref="CL41" si="142">CK41/($AI41)</f>
        <v>0</v>
      </c>
      <c r="CN41" s="156">
        <f t="shared" ref="CN41" si="143">CM41/($AI41)</f>
        <v>0</v>
      </c>
      <c r="CP41" s="156">
        <f t="shared" ref="CP41" si="144">CO41/($AI41)</f>
        <v>0</v>
      </c>
      <c r="CR41" s="156">
        <f t="shared" ref="CR41" si="145">CQ41/($AI41)</f>
        <v>0</v>
      </c>
    </row>
    <row r="42" spans="1:110" s="10" customFormat="1" ht="15.75" customHeight="1" thickBot="1">
      <c r="A42" s="4198"/>
      <c r="B42" s="3685" t="s">
        <v>205</v>
      </c>
      <c r="C42" s="38" t="str">
        <f ca="1">E42</f>
        <v>{"haftungsType":"Einseitige Solidarhaftung erfassen","haftungDurch":`${p.FamilyName3}, ${p.ManFirstName3}`,"haftungVon":"01.11.2025","haftungBis":"31.12.2025","haftungFuer":`${p.FamilyName3}, ${p.WomanFirstName3}`,"person1":"","person2":""}</v>
      </c>
      <c r="D42" s="76"/>
      <c r="E42" s="77" t="str">
        <f t="shared" ca="1" si="104"/>
        <v>{"haftungsType":"Einseitige Solidarhaftung erfassen","haftungDurch":`${p.FamilyName3}, ${p.ManFirstName3}`,"haftungVon":"01.11.2025","haftungBis":"31.12.2025","haftungFuer":`${p.FamilyName3}, ${p.WomanFirstName3}`,"person1":"","person2":""}</v>
      </c>
      <c r="F42" s="611" t="s">
        <v>206</v>
      </c>
      <c r="G42" s="611" t="s">
        <v>207</v>
      </c>
      <c r="H42" s="611" t="s">
        <v>208</v>
      </c>
      <c r="I42" s="611" t="str">
        <f>I23</f>
        <v>${p.FamilyName3}, ${p.ManFirstName3}</v>
      </c>
      <c r="J42" s="611" t="s">
        <v>209</v>
      </c>
      <c r="K42" s="615" t="str">
        <f ca="1">"01."&amp;TEXT(TODAY(),"MM")&amp;"."&amp;TEXT(TODAY(),"YYYY")</f>
        <v>01.11.2025</v>
      </c>
      <c r="L42" s="611" t="s">
        <v>210</v>
      </c>
      <c r="M42" s="615" t="str">
        <f ca="1">"31.12."&amp;TEXT(TODAY(),"YYYY")</f>
        <v>31.12.2025</v>
      </c>
      <c r="N42" s="611" t="s">
        <v>211</v>
      </c>
      <c r="O42" s="611" t="str">
        <f>"${"&amp;$G$4&amp;"}, ${"&amp;$H$62&amp;"}"</f>
        <v>${p.FamilyName3}, ${p.WomanFirstName3}</v>
      </c>
      <c r="P42" s="611" t="s">
        <v>212</v>
      </c>
      <c r="Q42" s="614"/>
      <c r="R42" s="611" t="s">
        <v>213</v>
      </c>
      <c r="S42" s="611"/>
      <c r="T42" s="611" t="s">
        <v>37</v>
      </c>
      <c r="U42" s="611"/>
      <c r="V42" s="611"/>
      <c r="W42" s="611"/>
      <c r="X42" s="76"/>
      <c r="Y42" s="76"/>
      <c r="Z42" s="76"/>
      <c r="AA42" s="76"/>
      <c r="AB42" s="76"/>
      <c r="AC42" s="128"/>
      <c r="AD42" s="76"/>
      <c r="AE42" s="76"/>
      <c r="AF42" s="76"/>
      <c r="AG42" s="76"/>
      <c r="AH42" s="76"/>
      <c r="AI42" s="170">
        <v>6846</v>
      </c>
      <c r="AJ42" s="156">
        <f t="shared" ref="AJ42" si="146">AI42/($AI42)</f>
        <v>1</v>
      </c>
      <c r="AK42" s="170">
        <v>7559</v>
      </c>
      <c r="AL42" s="156">
        <f t="shared" si="3"/>
        <v>1.1041484078293895</v>
      </c>
      <c r="AM42" s="76"/>
      <c r="AN42" s="156">
        <f t="shared" si="4"/>
        <v>0</v>
      </c>
      <c r="AO42" s="76"/>
      <c r="AP42" s="156">
        <f t="shared" si="4"/>
        <v>0</v>
      </c>
      <c r="AQ42" s="76"/>
      <c r="AR42" s="156">
        <f t="shared" si="4"/>
        <v>0</v>
      </c>
      <c r="AS42" s="76"/>
      <c r="AT42" s="156">
        <f t="shared" si="4"/>
        <v>0</v>
      </c>
      <c r="AU42" s="76"/>
      <c r="AV42" s="156">
        <f t="shared" si="80"/>
        <v>0</v>
      </c>
      <c r="AW42" s="76"/>
      <c r="AX42" s="156">
        <f t="shared" si="80"/>
        <v>0</v>
      </c>
      <c r="AZ42" s="156">
        <f t="shared" si="80"/>
        <v>0</v>
      </c>
      <c r="BB42" s="156">
        <f t="shared" si="6"/>
        <v>0</v>
      </c>
      <c r="BD42" s="156">
        <f t="shared" si="6"/>
        <v>0</v>
      </c>
      <c r="BF42" s="156">
        <f t="shared" si="6"/>
        <v>0</v>
      </c>
      <c r="BH42" s="156">
        <f t="shared" si="6"/>
        <v>0</v>
      </c>
      <c r="BJ42" s="156">
        <f t="shared" si="6"/>
        <v>0</v>
      </c>
      <c r="BL42" s="156">
        <f t="shared" si="106"/>
        <v>0</v>
      </c>
      <c r="BN42" s="156">
        <f t="shared" si="7"/>
        <v>0</v>
      </c>
      <c r="BP42" s="156">
        <f t="shared" si="8"/>
        <v>0</v>
      </c>
      <c r="BR42" s="156">
        <f t="shared" si="9"/>
        <v>0</v>
      </c>
      <c r="BT42" s="156">
        <f t="shared" si="10"/>
        <v>0</v>
      </c>
      <c r="BV42" s="156">
        <f t="shared" si="11"/>
        <v>0</v>
      </c>
      <c r="BX42" s="156">
        <f t="shared" si="12"/>
        <v>0</v>
      </c>
      <c r="BZ42" s="156">
        <f t="shared" si="13"/>
        <v>0</v>
      </c>
      <c r="CB42" s="156">
        <f t="shared" si="14"/>
        <v>0</v>
      </c>
      <c r="CD42" s="156">
        <f t="shared" si="14"/>
        <v>0</v>
      </c>
      <c r="CF42" s="156">
        <f t="shared" si="15"/>
        <v>0</v>
      </c>
      <c r="CH42" s="156">
        <f t="shared" si="16"/>
        <v>0</v>
      </c>
      <c r="CJ42" s="156">
        <f t="shared" si="17"/>
        <v>0</v>
      </c>
      <c r="CL42" s="156">
        <f t="shared" si="18"/>
        <v>0</v>
      </c>
      <c r="CN42" s="156">
        <f t="shared" si="19"/>
        <v>0</v>
      </c>
      <c r="CP42" s="156">
        <f t="shared" si="20"/>
        <v>0</v>
      </c>
      <c r="CR42" s="156">
        <f t="shared" si="20"/>
        <v>0</v>
      </c>
    </row>
    <row r="43" spans="1:110" s="10" customFormat="1" ht="15.75" customHeight="1" thickBot="1">
      <c r="A43" s="4198"/>
      <c r="B43" s="3685" t="s">
        <v>205</v>
      </c>
      <c r="C43" s="38" t="str">
        <f ca="1">E43</f>
        <v>{"haftungsType":"Einzelhaftung erfassen","haftungDurch":`${p.FamilyName3}, ${p.ManFirstName3}`,"haftungVon":"01.11.2025","haftungBis":"31.12.2025","haftungFuer":`${p.FamilyName3}, ${p.GirlFirstName3}`,"person1":"","person2":""}</v>
      </c>
      <c r="D43" s="76"/>
      <c r="E43" s="77" t="str">
        <f t="shared" ca="1" si="104"/>
        <v>{"haftungsType":"Einzelhaftung erfassen","haftungDurch":`${p.FamilyName3}, ${p.ManFirstName3}`,"haftungVon":"01.11.2025","haftungBis":"31.12.2025","haftungFuer":`${p.FamilyName3}, ${p.GirlFirstName3}`,"person1":"","person2":""}</v>
      </c>
      <c r="F43" s="611" t="s">
        <v>206</v>
      </c>
      <c r="G43" s="611" t="s">
        <v>214</v>
      </c>
      <c r="H43" s="611" t="s">
        <v>208</v>
      </c>
      <c r="I43" s="611" t="str">
        <f>I23</f>
        <v>${p.FamilyName3}, ${p.ManFirstName3}</v>
      </c>
      <c r="J43" s="611" t="s">
        <v>209</v>
      </c>
      <c r="K43" s="615" t="str">
        <f ca="1">"01."&amp;TEXT(TODAY(),"MM")&amp;"."&amp;TEXT(TODAY(),"YYYY")</f>
        <v>01.11.2025</v>
      </c>
      <c r="L43" s="611" t="s">
        <v>210</v>
      </c>
      <c r="M43" s="615" t="str">
        <f ca="1">"31.12."&amp;TEXT(TODAY(),"YYYY")</f>
        <v>31.12.2025</v>
      </c>
      <c r="N43" s="611" t="s">
        <v>211</v>
      </c>
      <c r="O43" s="611" t="str">
        <f>"${"&amp;$G$4&amp;"}, ${"&amp;$H$63&amp;"}"</f>
        <v>${p.FamilyName3}, ${p.GirlFirstName3}</v>
      </c>
      <c r="P43" s="611" t="s">
        <v>212</v>
      </c>
      <c r="Q43" s="614"/>
      <c r="R43" s="611" t="s">
        <v>213</v>
      </c>
      <c r="S43" s="611"/>
      <c r="T43" s="611" t="s">
        <v>37</v>
      </c>
      <c r="U43" s="611"/>
      <c r="V43" s="611"/>
      <c r="W43" s="611"/>
      <c r="X43" s="76"/>
      <c r="Y43" s="76"/>
      <c r="Z43" s="184"/>
      <c r="AA43" s="76"/>
      <c r="AB43" s="76"/>
      <c r="AC43" s="128"/>
      <c r="AD43" s="76"/>
      <c r="AE43" s="128"/>
      <c r="AF43" s="128"/>
      <c r="AG43" s="76"/>
      <c r="AH43" s="76"/>
      <c r="AI43" s="170">
        <v>5602</v>
      </c>
      <c r="AJ43" s="156">
        <f t="shared" ref="AJ43" si="147">AI43/($AI43)</f>
        <v>1</v>
      </c>
      <c r="AK43" s="170">
        <v>5693</v>
      </c>
      <c r="AL43" s="156">
        <f t="shared" si="3"/>
        <v>1.0162441985005355</v>
      </c>
      <c r="AM43" s="76"/>
      <c r="AN43" s="156">
        <f t="shared" si="4"/>
        <v>0</v>
      </c>
      <c r="AO43" s="76"/>
      <c r="AP43" s="156">
        <f t="shared" si="4"/>
        <v>0</v>
      </c>
      <c r="AQ43" s="76"/>
      <c r="AR43" s="156">
        <f t="shared" si="4"/>
        <v>0</v>
      </c>
      <c r="AS43" s="76"/>
      <c r="AT43" s="156">
        <f t="shared" si="4"/>
        <v>0</v>
      </c>
      <c r="AU43" s="76"/>
      <c r="AV43" s="156">
        <f t="shared" si="80"/>
        <v>0</v>
      </c>
      <c r="AW43" s="76"/>
      <c r="AX43" s="156">
        <f t="shared" si="80"/>
        <v>0</v>
      </c>
      <c r="AZ43" s="156">
        <f t="shared" si="80"/>
        <v>0</v>
      </c>
      <c r="BB43" s="156">
        <f t="shared" si="6"/>
        <v>0</v>
      </c>
      <c r="BD43" s="156">
        <f t="shared" si="6"/>
        <v>0</v>
      </c>
      <c r="BF43" s="156">
        <f t="shared" si="6"/>
        <v>0</v>
      </c>
      <c r="BH43" s="156">
        <f t="shared" si="6"/>
        <v>0</v>
      </c>
      <c r="BJ43" s="156">
        <f t="shared" si="6"/>
        <v>0</v>
      </c>
      <c r="BL43" s="156">
        <f t="shared" si="106"/>
        <v>0</v>
      </c>
      <c r="BN43" s="156">
        <f t="shared" si="7"/>
        <v>0</v>
      </c>
      <c r="BP43" s="156">
        <f t="shared" si="8"/>
        <v>0</v>
      </c>
      <c r="BR43" s="156">
        <f t="shared" si="9"/>
        <v>0</v>
      </c>
      <c r="BT43" s="156">
        <f t="shared" si="10"/>
        <v>0</v>
      </c>
      <c r="BV43" s="156">
        <f t="shared" si="11"/>
        <v>0</v>
      </c>
      <c r="BX43" s="156">
        <f t="shared" si="12"/>
        <v>0</v>
      </c>
      <c r="BZ43" s="156">
        <f t="shared" si="13"/>
        <v>0</v>
      </c>
      <c r="CB43" s="156">
        <f t="shared" si="14"/>
        <v>0</v>
      </c>
      <c r="CD43" s="156">
        <f t="shared" si="14"/>
        <v>0</v>
      </c>
      <c r="CF43" s="156">
        <f t="shared" si="15"/>
        <v>0</v>
      </c>
      <c r="CH43" s="156">
        <f t="shared" si="16"/>
        <v>0</v>
      </c>
      <c r="CJ43" s="156">
        <f t="shared" si="17"/>
        <v>0</v>
      </c>
      <c r="CL43" s="156">
        <f t="shared" si="18"/>
        <v>0</v>
      </c>
      <c r="CN43" s="156">
        <f t="shared" si="19"/>
        <v>0</v>
      </c>
      <c r="CP43" s="156">
        <f t="shared" si="20"/>
        <v>0</v>
      </c>
      <c r="CR43" s="156">
        <f t="shared" si="20"/>
        <v>0</v>
      </c>
    </row>
    <row r="44" spans="1:110" s="53" customFormat="1" ht="15.75" customHeight="1" thickBot="1">
      <c r="A44" s="49"/>
      <c r="B44" s="54" t="s">
        <v>22</v>
      </c>
      <c r="C44" s="55" t="s">
        <v>215</v>
      </c>
      <c r="D44" s="90"/>
      <c r="E44" s="124"/>
      <c r="F44" s="624"/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1"/>
      <c r="R44" s="611"/>
      <c r="S44" s="611"/>
      <c r="T44" s="611"/>
      <c r="U44" s="611"/>
      <c r="V44" s="611"/>
      <c r="W44" s="611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162">
        <v>4779</v>
      </c>
      <c r="AJ44" s="156">
        <f t="shared" ref="AJ44" si="148">AI44/($AI44)</f>
        <v>1</v>
      </c>
      <c r="AK44" s="162">
        <v>4761</v>
      </c>
      <c r="AL44" s="156">
        <f t="shared" si="3"/>
        <v>0.99623352165725043</v>
      </c>
      <c r="AM44" s="90"/>
      <c r="AN44" s="156">
        <f t="shared" si="4"/>
        <v>0</v>
      </c>
      <c r="AO44" s="90"/>
      <c r="AP44" s="156">
        <f t="shared" si="4"/>
        <v>0</v>
      </c>
      <c r="AQ44" s="90"/>
      <c r="AR44" s="156">
        <f t="shared" si="4"/>
        <v>0</v>
      </c>
      <c r="AS44" s="90"/>
      <c r="AT44" s="156">
        <f t="shared" si="4"/>
        <v>0</v>
      </c>
      <c r="AU44" s="90"/>
      <c r="AV44" s="156">
        <f t="shared" si="80"/>
        <v>0</v>
      </c>
      <c r="AW44" s="90"/>
      <c r="AX44" s="156">
        <f t="shared" si="80"/>
        <v>0</v>
      </c>
      <c r="AZ44" s="156">
        <f t="shared" si="80"/>
        <v>0</v>
      </c>
      <c r="BB44" s="156">
        <f t="shared" si="6"/>
        <v>0</v>
      </c>
      <c r="BD44" s="156">
        <f t="shared" si="6"/>
        <v>0</v>
      </c>
      <c r="BF44" s="156">
        <f t="shared" si="6"/>
        <v>0</v>
      </c>
      <c r="BH44" s="156">
        <f t="shared" si="6"/>
        <v>0</v>
      </c>
      <c r="BJ44" s="156">
        <f t="shared" si="6"/>
        <v>0</v>
      </c>
      <c r="BL44" s="156">
        <f t="shared" si="106"/>
        <v>0</v>
      </c>
      <c r="BN44" s="156">
        <f t="shared" si="7"/>
        <v>0</v>
      </c>
      <c r="BP44" s="156">
        <f t="shared" si="8"/>
        <v>0</v>
      </c>
      <c r="BR44" s="156">
        <f t="shared" si="9"/>
        <v>0</v>
      </c>
      <c r="BT44" s="156">
        <f t="shared" si="10"/>
        <v>0</v>
      </c>
      <c r="BV44" s="156">
        <f t="shared" si="11"/>
        <v>0</v>
      </c>
      <c r="BX44" s="156">
        <f t="shared" si="12"/>
        <v>0</v>
      </c>
      <c r="BZ44" s="156">
        <f t="shared" si="13"/>
        <v>0</v>
      </c>
      <c r="CB44" s="156">
        <f t="shared" si="14"/>
        <v>0</v>
      </c>
      <c r="CD44" s="156">
        <f t="shared" si="14"/>
        <v>0</v>
      </c>
      <c r="CF44" s="156">
        <f t="shared" si="15"/>
        <v>0</v>
      </c>
      <c r="CH44" s="156">
        <f t="shared" si="16"/>
        <v>0</v>
      </c>
      <c r="CJ44" s="156">
        <f t="shared" si="17"/>
        <v>0</v>
      </c>
      <c r="CL44" s="156">
        <f t="shared" si="18"/>
        <v>0</v>
      </c>
      <c r="CN44" s="156">
        <f t="shared" si="19"/>
        <v>0</v>
      </c>
      <c r="CP44" s="156">
        <f t="shared" si="20"/>
        <v>0</v>
      </c>
      <c r="CR44" s="156">
        <f t="shared" si="20"/>
        <v>0</v>
      </c>
    </row>
    <row r="45" spans="1:110" s="10" customFormat="1" ht="15.75" customHeight="1" thickBot="1">
      <c r="A45" s="21"/>
      <c r="B45" s="24" t="s">
        <v>216</v>
      </c>
      <c r="C45" s="38"/>
      <c r="D45" s="76"/>
      <c r="E45" s="77"/>
      <c r="F45" s="609"/>
      <c r="G45" s="611"/>
      <c r="H45" s="609"/>
      <c r="I45" s="611"/>
      <c r="J45" s="609"/>
      <c r="K45" s="611"/>
      <c r="L45" s="609"/>
      <c r="M45" s="613"/>
      <c r="N45" s="609"/>
      <c r="O45" s="609"/>
      <c r="P45" s="609"/>
      <c r="Q45" s="614"/>
      <c r="R45" s="609"/>
      <c r="S45" s="611"/>
      <c r="T45" s="611"/>
      <c r="U45" s="611"/>
      <c r="V45" s="609"/>
      <c r="W45" s="611"/>
      <c r="X45" s="76"/>
      <c r="Y45" s="76"/>
      <c r="Z45" s="184"/>
      <c r="AA45" s="76"/>
      <c r="AB45" s="76"/>
      <c r="AC45" s="128"/>
      <c r="AD45" s="76"/>
      <c r="AE45" s="128"/>
      <c r="AF45" s="128"/>
      <c r="AG45" s="76"/>
      <c r="AH45" s="76"/>
      <c r="AI45" s="170">
        <v>2013</v>
      </c>
      <c r="AJ45" s="156">
        <f t="shared" ref="AJ45" si="149">AI45/($AI45)</f>
        <v>1</v>
      </c>
      <c r="AK45" s="170">
        <v>2013</v>
      </c>
      <c r="AL45" s="156">
        <f t="shared" si="3"/>
        <v>1</v>
      </c>
      <c r="AM45" s="76"/>
      <c r="AN45" s="156">
        <f t="shared" si="4"/>
        <v>0</v>
      </c>
      <c r="AO45" s="76"/>
      <c r="AP45" s="156">
        <f t="shared" si="4"/>
        <v>0</v>
      </c>
      <c r="AQ45" s="76"/>
      <c r="AR45" s="156">
        <f t="shared" si="4"/>
        <v>0</v>
      </c>
      <c r="AS45" s="76"/>
      <c r="AT45" s="156">
        <f t="shared" si="4"/>
        <v>0</v>
      </c>
      <c r="AU45" s="76"/>
      <c r="AV45" s="156">
        <f t="shared" si="80"/>
        <v>0</v>
      </c>
      <c r="AW45" s="76"/>
      <c r="AX45" s="156">
        <f t="shared" si="80"/>
        <v>0</v>
      </c>
      <c r="AZ45" s="156">
        <f t="shared" si="80"/>
        <v>0</v>
      </c>
      <c r="BB45" s="156">
        <f t="shared" si="6"/>
        <v>0</v>
      </c>
      <c r="BD45" s="156">
        <f t="shared" si="6"/>
        <v>0</v>
      </c>
      <c r="BF45" s="156">
        <f t="shared" si="6"/>
        <v>0</v>
      </c>
      <c r="BH45" s="156">
        <f t="shared" si="6"/>
        <v>0</v>
      </c>
      <c r="BJ45" s="156">
        <f t="shared" si="6"/>
        <v>0</v>
      </c>
      <c r="BL45" s="156">
        <f t="shared" si="106"/>
        <v>0</v>
      </c>
      <c r="BN45" s="156">
        <f t="shared" si="7"/>
        <v>0</v>
      </c>
      <c r="BP45" s="156">
        <f t="shared" si="8"/>
        <v>0</v>
      </c>
      <c r="BR45" s="156">
        <f t="shared" si="9"/>
        <v>0</v>
      </c>
      <c r="BT45" s="156">
        <f t="shared" si="10"/>
        <v>0</v>
      </c>
      <c r="BV45" s="156">
        <f t="shared" si="11"/>
        <v>0</v>
      </c>
      <c r="BX45" s="156">
        <f t="shared" si="12"/>
        <v>0</v>
      </c>
      <c r="BZ45" s="156">
        <f t="shared" si="13"/>
        <v>0</v>
      </c>
      <c r="CB45" s="156">
        <f t="shared" si="14"/>
        <v>0</v>
      </c>
      <c r="CD45" s="156">
        <f t="shared" si="14"/>
        <v>0</v>
      </c>
      <c r="CF45" s="156">
        <f t="shared" si="15"/>
        <v>0</v>
      </c>
      <c r="CH45" s="156">
        <f t="shared" si="16"/>
        <v>0</v>
      </c>
      <c r="CJ45" s="156">
        <f t="shared" si="17"/>
        <v>0</v>
      </c>
      <c r="CL45" s="156">
        <f t="shared" si="18"/>
        <v>0</v>
      </c>
      <c r="CN45" s="156">
        <f t="shared" si="19"/>
        <v>0</v>
      </c>
      <c r="CP45" s="156">
        <f t="shared" si="20"/>
        <v>0</v>
      </c>
      <c r="CR45" s="156">
        <f t="shared" si="20"/>
        <v>0</v>
      </c>
    </row>
    <row r="46" spans="1:110" s="53" customFormat="1" ht="23.25" customHeight="1" thickBot="1">
      <c r="A46" s="49"/>
      <c r="B46" s="54" t="s">
        <v>22</v>
      </c>
      <c r="C46" s="55" t="s">
        <v>215</v>
      </c>
      <c r="D46" s="90"/>
      <c r="E46" s="124"/>
      <c r="F46" s="624"/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1"/>
      <c r="R46" s="611"/>
      <c r="S46" s="611"/>
      <c r="T46" s="611"/>
      <c r="U46" s="611"/>
      <c r="V46" s="611"/>
      <c r="W46" s="611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162">
        <v>10581</v>
      </c>
      <c r="AJ46" s="156">
        <f t="shared" ref="AJ46" si="150">AI46/($AI46)</f>
        <v>1</v>
      </c>
      <c r="AK46" s="162">
        <v>10924</v>
      </c>
      <c r="AL46" s="156">
        <f t="shared" si="3"/>
        <v>1.0324165957848974</v>
      </c>
      <c r="AM46" s="162">
        <v>9040</v>
      </c>
      <c r="AN46" s="156">
        <f t="shared" si="4"/>
        <v>0.85436159153199132</v>
      </c>
      <c r="AO46" s="90"/>
      <c r="AP46" s="156">
        <f t="shared" si="4"/>
        <v>0</v>
      </c>
      <c r="AQ46" s="90">
        <v>7964</v>
      </c>
      <c r="AR46" s="156">
        <f t="shared" si="4"/>
        <v>0.75266987997353751</v>
      </c>
      <c r="AS46" s="90">
        <v>7538</v>
      </c>
      <c r="AT46" s="156">
        <f t="shared" si="4"/>
        <v>0.71240903506284847</v>
      </c>
      <c r="AU46" s="90">
        <v>7453</v>
      </c>
      <c r="AV46" s="156">
        <f t="shared" si="80"/>
        <v>0.70437576788583312</v>
      </c>
      <c r="AW46" s="90">
        <v>7948</v>
      </c>
      <c r="AX46" s="156">
        <f t="shared" si="80"/>
        <v>0.75115773556374632</v>
      </c>
      <c r="AY46" s="2">
        <v>0</v>
      </c>
      <c r="AZ46" s="156">
        <f t="shared" si="80"/>
        <v>0</v>
      </c>
      <c r="BB46" s="156">
        <f t="shared" si="6"/>
        <v>0</v>
      </c>
      <c r="BD46" s="156">
        <f t="shared" si="6"/>
        <v>0</v>
      </c>
      <c r="BF46" s="156">
        <f t="shared" si="6"/>
        <v>0</v>
      </c>
      <c r="BH46" s="156">
        <f t="shared" si="6"/>
        <v>0</v>
      </c>
      <c r="BJ46" s="156">
        <f t="shared" si="6"/>
        <v>0</v>
      </c>
      <c r="BL46" s="156">
        <f t="shared" si="106"/>
        <v>0</v>
      </c>
      <c r="BN46" s="156">
        <f t="shared" si="7"/>
        <v>0</v>
      </c>
      <c r="BP46" s="156">
        <f t="shared" si="8"/>
        <v>0</v>
      </c>
      <c r="BR46" s="156">
        <f t="shared" si="9"/>
        <v>0</v>
      </c>
      <c r="BT46" s="156">
        <f t="shared" si="10"/>
        <v>0</v>
      </c>
      <c r="BV46" s="156">
        <f t="shared" si="11"/>
        <v>0</v>
      </c>
      <c r="BX46" s="156">
        <f t="shared" si="12"/>
        <v>0</v>
      </c>
      <c r="BZ46" s="156">
        <f t="shared" si="13"/>
        <v>0</v>
      </c>
      <c r="CB46" s="156">
        <f t="shared" si="14"/>
        <v>0</v>
      </c>
      <c r="CD46" s="156">
        <f t="shared" si="14"/>
        <v>0</v>
      </c>
      <c r="CF46" s="156">
        <f t="shared" si="15"/>
        <v>0</v>
      </c>
      <c r="CH46" s="156">
        <f t="shared" si="16"/>
        <v>0</v>
      </c>
      <c r="CJ46" s="156">
        <f t="shared" si="17"/>
        <v>0</v>
      </c>
      <c r="CL46" s="156">
        <f t="shared" si="18"/>
        <v>0</v>
      </c>
      <c r="CN46" s="156">
        <f t="shared" si="19"/>
        <v>0</v>
      </c>
      <c r="CP46" s="156">
        <f t="shared" si="20"/>
        <v>0</v>
      </c>
      <c r="CR46" s="156">
        <f t="shared" si="20"/>
        <v>0</v>
      </c>
    </row>
    <row r="47" spans="1:110" s="10" customFormat="1" ht="15.75" customHeight="1" thickBot="1">
      <c r="A47" s="21"/>
      <c r="B47" s="54" t="s">
        <v>139</v>
      </c>
      <c r="C47" s="89" t="str">
        <f>E47</f>
        <v>{"searchDossierOrKlient":p.DossierName3,"resultType":"Dossiers"}</v>
      </c>
      <c r="D47" s="90"/>
      <c r="E47" s="91" t="str">
        <f>F47&amp;G47&amp;H47&amp;I47&amp;J47&amp;K47&amp;L47&amp;M47&amp;N47&amp;O47&amp;P47&amp;Q47&amp;R47&amp;S47&amp;T47&amp;U47&amp;V47&amp;W47&amp;X47</f>
        <v>{"searchDossierOrKlient":p.DossierName3,"resultType":"Dossiers"}</v>
      </c>
      <c r="F47" s="609" t="s">
        <v>140</v>
      </c>
      <c r="G47" s="649" t="s">
        <v>321</v>
      </c>
      <c r="H47" s="609" t="s">
        <v>141</v>
      </c>
      <c r="I47" s="611" t="s">
        <v>142</v>
      </c>
      <c r="J47" s="609" t="s">
        <v>37</v>
      </c>
      <c r="K47" s="611"/>
      <c r="L47" s="609"/>
      <c r="M47" s="611"/>
      <c r="N47" s="609"/>
      <c r="O47" s="611"/>
      <c r="P47" s="609"/>
      <c r="Q47" s="611"/>
      <c r="R47" s="609"/>
      <c r="S47" s="611"/>
      <c r="T47" s="609"/>
      <c r="U47" s="611"/>
      <c r="V47" s="609"/>
      <c r="W47" s="611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162">
        <v>17030</v>
      </c>
      <c r="AJ47" s="156">
        <f t="shared" ref="AJ47" si="151">AI47/($AI47)</f>
        <v>1</v>
      </c>
      <c r="AK47" s="162">
        <v>17348</v>
      </c>
      <c r="AL47" s="156">
        <f t="shared" si="3"/>
        <v>1.0186729301233117</v>
      </c>
      <c r="AM47" s="162">
        <v>2010</v>
      </c>
      <c r="AN47" s="156">
        <f t="shared" si="4"/>
        <v>0.11802701115678214</v>
      </c>
      <c r="AO47" s="90"/>
      <c r="AP47" s="156">
        <f t="shared" si="4"/>
        <v>0</v>
      </c>
      <c r="AQ47" s="90">
        <v>2017</v>
      </c>
      <c r="AR47" s="156">
        <f t="shared" si="4"/>
        <v>0.11843805049911921</v>
      </c>
      <c r="AS47" s="90">
        <v>2018</v>
      </c>
      <c r="AT47" s="156">
        <f t="shared" si="4"/>
        <v>0.11849677040516735</v>
      </c>
      <c r="AU47" s="90">
        <v>2007</v>
      </c>
      <c r="AV47" s="156">
        <f t="shared" si="80"/>
        <v>0.1178508514386377</v>
      </c>
      <c r="AW47" s="90">
        <v>2014</v>
      </c>
      <c r="AX47" s="156">
        <f t="shared" si="80"/>
        <v>0.11826189078097475</v>
      </c>
      <c r="AY47" s="2">
        <v>283</v>
      </c>
      <c r="AZ47" s="156">
        <f t="shared" si="80"/>
        <v>1.6617733411626541E-2</v>
      </c>
      <c r="BA47" s="2">
        <v>4787</v>
      </c>
      <c r="BB47" s="156">
        <f t="shared" si="6"/>
        <v>0.2810921902524956</v>
      </c>
      <c r="BC47" s="2">
        <v>5128</v>
      </c>
      <c r="BD47" s="156">
        <f t="shared" si="6"/>
        <v>0.30111567821491486</v>
      </c>
      <c r="BE47" s="2">
        <v>4933</v>
      </c>
      <c r="BF47" s="156">
        <f t="shared" si="6"/>
        <v>0.28966529653552553</v>
      </c>
      <c r="BG47" s="10">
        <v>6390</v>
      </c>
      <c r="BH47" s="156">
        <f t="shared" si="6"/>
        <v>0.37522019964768055</v>
      </c>
      <c r="BI47" s="10">
        <v>5990</v>
      </c>
      <c r="BJ47" s="156">
        <f t="shared" si="6"/>
        <v>0.35173223722842045</v>
      </c>
      <c r="BK47" s="10">
        <v>5727</v>
      </c>
      <c r="BL47" s="156">
        <f t="shared" si="106"/>
        <v>0.3362889019377569</v>
      </c>
      <c r="BM47" s="10">
        <v>6179</v>
      </c>
      <c r="BN47" s="156">
        <f t="shared" si="7"/>
        <v>0.36283029947152085</v>
      </c>
      <c r="BO47" s="10">
        <v>6000</v>
      </c>
      <c r="BP47" s="156">
        <f t="shared" si="8"/>
        <v>0.35231943628890194</v>
      </c>
      <c r="BQ47" s="10">
        <v>6266</v>
      </c>
      <c r="BR47" s="156">
        <f t="shared" si="9"/>
        <v>0.36793893129770994</v>
      </c>
      <c r="BS47" s="10">
        <v>6145</v>
      </c>
      <c r="BT47" s="156">
        <f t="shared" si="10"/>
        <v>0.36083382266588371</v>
      </c>
      <c r="BU47" s="10">
        <v>5958</v>
      </c>
      <c r="BV47" s="156">
        <f t="shared" si="11"/>
        <v>0.34985320023487965</v>
      </c>
      <c r="BW47" s="10">
        <v>4973</v>
      </c>
      <c r="BX47" s="156">
        <f t="shared" si="12"/>
        <v>0.29201409277745155</v>
      </c>
      <c r="BY47" s="10">
        <v>5574</v>
      </c>
      <c r="BZ47" s="156">
        <f t="shared" si="13"/>
        <v>0.32730475631238992</v>
      </c>
      <c r="CA47" s="10">
        <v>6188</v>
      </c>
      <c r="CB47" s="156">
        <f t="shared" si="14"/>
        <v>0.36335877862595417</v>
      </c>
      <c r="CC47" s="10">
        <v>5255</v>
      </c>
      <c r="CD47" s="156">
        <f t="shared" si="14"/>
        <v>0.30857310628302997</v>
      </c>
      <c r="CE47" s="10">
        <v>6158</v>
      </c>
      <c r="CF47" s="156">
        <f t="shared" si="15"/>
        <v>0.3615971814445097</v>
      </c>
      <c r="CG47" s="10">
        <v>6186</v>
      </c>
      <c r="CH47" s="156">
        <f t="shared" si="16"/>
        <v>0.36324133881385789</v>
      </c>
      <c r="CI47" s="10">
        <v>5881</v>
      </c>
      <c r="CJ47" s="156">
        <f t="shared" si="17"/>
        <v>0.34533176746917205</v>
      </c>
      <c r="CK47" s="10">
        <v>5863</v>
      </c>
      <c r="CL47" s="156">
        <f t="shared" si="18"/>
        <v>0.34427480916030534</v>
      </c>
      <c r="CN47" s="156">
        <f t="shared" si="19"/>
        <v>0</v>
      </c>
      <c r="CO47" s="10">
        <v>5787</v>
      </c>
      <c r="CP47" s="156">
        <f t="shared" si="20"/>
        <v>0.3398120963006459</v>
      </c>
      <c r="CQ47" s="2045">
        <v>0</v>
      </c>
      <c r="CR47" s="156">
        <f t="shared" si="20"/>
        <v>0</v>
      </c>
      <c r="CS47" s="10">
        <v>6368</v>
      </c>
      <c r="CW47" s="10">
        <v>6046</v>
      </c>
      <c r="CY47" s="10">
        <v>5181</v>
      </c>
      <c r="DA47" s="10">
        <v>6419</v>
      </c>
    </row>
    <row r="48" spans="1:110" s="10" customFormat="1" ht="15.75" customHeight="1" thickBot="1">
      <c r="A48" s="49"/>
      <c r="B48" s="129" t="s">
        <v>217</v>
      </c>
      <c r="C48" s="89" t="str">
        <f>E48</f>
        <v>{"dossierInstitution":p.DossierName3,"freigegebeneZahlungen":"6"}</v>
      </c>
      <c r="D48" s="90"/>
      <c r="E48" s="91" t="str">
        <f>F48&amp;G48&amp;H48&amp;I48&amp;J48&amp;K48&amp;L48&amp;M48&amp;N48&amp;O48&amp;P48&amp;Q48&amp;R48&amp;S48&amp;T48&amp;U48&amp;V48&amp;W48&amp;X48</f>
        <v>{"dossierInstitution":p.DossierName3,"freigegebeneZahlungen":"6"}</v>
      </c>
      <c r="F48" s="619" t="s">
        <v>128</v>
      </c>
      <c r="G48" s="649" t="str">
        <f>G47</f>
        <v>p.DossierName3</v>
      </c>
      <c r="H48" s="609" t="s">
        <v>218</v>
      </c>
      <c r="I48" s="609">
        <v>6</v>
      </c>
      <c r="J48" s="609" t="s">
        <v>37</v>
      </c>
      <c r="K48" s="611"/>
      <c r="L48" s="609"/>
      <c r="M48" s="611"/>
      <c r="N48" s="609"/>
      <c r="O48" s="611"/>
      <c r="P48" s="609"/>
      <c r="Q48" s="611"/>
      <c r="R48" s="609"/>
      <c r="S48" s="611"/>
      <c r="T48" s="609"/>
      <c r="U48" s="611"/>
      <c r="V48" s="609"/>
      <c r="W48" s="611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156" t="e">
        <f t="shared" ref="AJ48" si="152">AI48/($AI48)</f>
        <v>#DIV/0!</v>
      </c>
      <c r="AK48" s="90"/>
      <c r="AL48" s="156" t="e">
        <f t="shared" si="3"/>
        <v>#DIV/0!</v>
      </c>
      <c r="AM48" s="162">
        <v>11263</v>
      </c>
      <c r="AN48" s="156" t="e">
        <f t="shared" si="4"/>
        <v>#DIV/0!</v>
      </c>
      <c r="AO48" s="90"/>
      <c r="AP48" s="156" t="e">
        <f t="shared" si="4"/>
        <v>#DIV/0!</v>
      </c>
      <c r="AQ48" s="90">
        <v>10932</v>
      </c>
      <c r="AR48" s="156">
        <f>AQ48/($AM48)</f>
        <v>0.97061173754772267</v>
      </c>
      <c r="AS48" s="90">
        <v>11148</v>
      </c>
      <c r="AT48" s="156">
        <f>AS48/($AM48)</f>
        <v>0.98978957648939003</v>
      </c>
      <c r="AU48" s="90"/>
      <c r="AV48" s="156">
        <f>AU48/($AM48)</f>
        <v>0</v>
      </c>
      <c r="AW48" s="90"/>
      <c r="AX48" s="156">
        <f>AW48/($AM48)</f>
        <v>0</v>
      </c>
      <c r="AZ48" s="156">
        <f>AY48/($AM48)</f>
        <v>0</v>
      </c>
      <c r="BB48" s="156">
        <f>BA48/($AM48)</f>
        <v>0</v>
      </c>
      <c r="BD48" s="156">
        <f>BC48/($AM48)</f>
        <v>0</v>
      </c>
      <c r="BF48" s="156">
        <f>BE48/($AM48)</f>
        <v>0</v>
      </c>
      <c r="BH48" s="156">
        <f>BG48/($AM48)</f>
        <v>0</v>
      </c>
      <c r="BJ48" s="156">
        <f>BI48/($AM48)</f>
        <v>0</v>
      </c>
      <c r="BL48" s="156">
        <f>BK48/($AM48)</f>
        <v>0</v>
      </c>
      <c r="BN48" s="156">
        <f>BM48/($AM48)</f>
        <v>0</v>
      </c>
      <c r="BP48" s="156">
        <f>BO48/($AM48)</f>
        <v>0</v>
      </c>
      <c r="BR48" s="156">
        <f>BQ48/($AM48)</f>
        <v>0</v>
      </c>
      <c r="BT48" s="156">
        <f>BS48/($AM48)</f>
        <v>0</v>
      </c>
      <c r="BV48" s="156">
        <f>BU48/($AM48)</f>
        <v>0</v>
      </c>
      <c r="BX48" s="156">
        <f>BW48/($AM48)</f>
        <v>0</v>
      </c>
      <c r="BZ48" s="156">
        <f>BY48/($AM48)</f>
        <v>0</v>
      </c>
      <c r="CB48" s="156">
        <f>CA48/($AM48)</f>
        <v>0</v>
      </c>
    </row>
    <row r="49" spans="1:96" s="10" customFormat="1" ht="15.75" customHeight="1" thickBot="1">
      <c r="A49" s="49"/>
      <c r="B49" s="19" t="s">
        <v>134</v>
      </c>
      <c r="C49" s="38" t="str">
        <f>E49</f>
        <v>{"username":"Bern.Buchhalter@diartis.ch","password":"HBcc73+ppTX42?E."}</v>
      </c>
      <c r="D49" s="90"/>
      <c r="E49" s="91" t="str">
        <f>F49&amp;G49&amp;H49&amp;I49&amp;J49&amp;K49&amp;L49&amp;M49&amp;N49&amp;O49&amp;P49&amp;Q49&amp;R49&amp;S49&amp;T49&amp;U49&amp;V49&amp;W49&amp;X49</f>
        <v>{"username":"Bern.Buchhalter@diartis.ch","password":"HBcc73+ppTX42?E."}</v>
      </c>
      <c r="F49" s="609" t="s">
        <v>29</v>
      </c>
      <c r="G49" s="611" t="s">
        <v>219</v>
      </c>
      <c r="H49" s="609" t="s">
        <v>31</v>
      </c>
      <c r="I49" s="611" t="s">
        <v>220</v>
      </c>
      <c r="J49" s="609" t="s">
        <v>37</v>
      </c>
      <c r="K49" s="614"/>
      <c r="L49" s="609"/>
      <c r="M49" s="611"/>
      <c r="N49" s="609"/>
      <c r="O49" s="611"/>
      <c r="P49" s="609"/>
      <c r="Q49" s="611"/>
      <c r="R49" s="609"/>
      <c r="S49" s="611"/>
      <c r="T49" s="609"/>
      <c r="U49" s="611"/>
      <c r="V49" s="609"/>
      <c r="W49" s="611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156" t="e">
        <f t="shared" ref="AJ49" si="153">AI49/($AI49)</f>
        <v>#DIV/0!</v>
      </c>
      <c r="AK49" s="90"/>
      <c r="AL49" s="156" t="e">
        <f t="shared" si="3"/>
        <v>#DIV/0!</v>
      </c>
      <c r="AM49" s="90"/>
      <c r="AN49" s="156" t="e">
        <f t="shared" si="4"/>
        <v>#DIV/0!</v>
      </c>
      <c r="AO49" s="90"/>
      <c r="AP49" s="156" t="e">
        <f t="shared" si="4"/>
        <v>#DIV/0!</v>
      </c>
      <c r="AQ49" s="90"/>
      <c r="AR49" s="156" t="e">
        <f t="shared" si="4"/>
        <v>#DIV/0!</v>
      </c>
      <c r="AS49" s="90"/>
      <c r="AT49" s="156" t="e">
        <f t="shared" si="4"/>
        <v>#DIV/0!</v>
      </c>
      <c r="AU49" s="90"/>
      <c r="AV49" s="156" t="e">
        <f t="shared" si="80"/>
        <v>#DIV/0!</v>
      </c>
      <c r="AW49" s="90"/>
      <c r="AX49" s="156" t="e">
        <f t="shared" si="80"/>
        <v>#DIV/0!</v>
      </c>
      <c r="AZ49" s="156" t="e">
        <f t="shared" si="80"/>
        <v>#DIV/0!</v>
      </c>
      <c r="BB49" s="156" t="e">
        <f t="shared" si="6"/>
        <v>#DIV/0!</v>
      </c>
      <c r="BD49" s="156" t="e">
        <f t="shared" si="6"/>
        <v>#DIV/0!</v>
      </c>
      <c r="BF49" s="156" t="e">
        <f t="shared" si="6"/>
        <v>#DIV/0!</v>
      </c>
      <c r="BH49" s="156" t="e">
        <f t="shared" si="6"/>
        <v>#DIV/0!</v>
      </c>
      <c r="BJ49" s="156" t="e">
        <f t="shared" si="6"/>
        <v>#DIV/0!</v>
      </c>
      <c r="BL49" s="156" t="e">
        <f t="shared" si="106"/>
        <v>#DIV/0!</v>
      </c>
      <c r="BN49" s="156" t="e">
        <f t="shared" si="7"/>
        <v>#DIV/0!</v>
      </c>
      <c r="BP49" s="156" t="e">
        <f t="shared" si="8"/>
        <v>#DIV/0!</v>
      </c>
      <c r="BR49" s="156" t="e">
        <f t="shared" si="9"/>
        <v>#DIV/0!</v>
      </c>
      <c r="BT49" s="156" t="e">
        <f t="shared" si="10"/>
        <v>#DIV/0!</v>
      </c>
      <c r="BV49" s="156" t="e">
        <f t="shared" si="11"/>
        <v>#DIV/0!</v>
      </c>
      <c r="BX49" s="156" t="e">
        <f t="shared" si="12"/>
        <v>#DIV/0!</v>
      </c>
      <c r="BZ49" s="156" t="e">
        <f t="shared" si="13"/>
        <v>#DIV/0!</v>
      </c>
      <c r="CB49" s="156" t="e">
        <f t="shared" si="14"/>
        <v>#DIV/0!</v>
      </c>
    </row>
    <row r="50" spans="1:96" s="10" customFormat="1" ht="15.75" customHeight="1" thickBot="1">
      <c r="A50" s="21"/>
      <c r="B50" s="54" t="s">
        <v>139</v>
      </c>
      <c r="C50" s="89" t="str">
        <f>E50</f>
        <v>{"searchDossierOrKlient":p.DossierName3,"resultType":"Dossiers"}</v>
      </c>
      <c r="D50" s="90"/>
      <c r="E50" s="91" t="str">
        <f>F50&amp;G50&amp;H50&amp;I50&amp;J50&amp;K50&amp;L50&amp;M50&amp;N50&amp;O50&amp;P50&amp;Q50&amp;R50&amp;S50&amp;T50&amp;U50&amp;V50&amp;W50&amp;X50</f>
        <v>{"searchDossierOrKlient":p.DossierName3,"resultType":"Dossiers"}</v>
      </c>
      <c r="F50" s="609" t="s">
        <v>140</v>
      </c>
      <c r="G50" s="649" t="str">
        <f>G48</f>
        <v>p.DossierName3</v>
      </c>
      <c r="H50" s="609" t="s">
        <v>141</v>
      </c>
      <c r="I50" s="611" t="s">
        <v>142</v>
      </c>
      <c r="J50" s="609" t="s">
        <v>37</v>
      </c>
      <c r="K50" s="611"/>
      <c r="L50" s="609"/>
      <c r="M50" s="611"/>
      <c r="N50" s="609"/>
      <c r="O50" s="611"/>
      <c r="P50" s="609"/>
      <c r="Q50" s="611"/>
      <c r="R50" s="609"/>
      <c r="S50" s="611"/>
      <c r="T50" s="609"/>
      <c r="U50" s="611"/>
      <c r="V50" s="609"/>
      <c r="W50" s="611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156" t="e">
        <f t="shared" ref="AJ50" si="154">AI50/($AI50)</f>
        <v>#DIV/0!</v>
      </c>
      <c r="AK50" s="90"/>
      <c r="AL50" s="156" t="e">
        <f t="shared" si="3"/>
        <v>#DIV/0!</v>
      </c>
      <c r="AM50" s="90"/>
      <c r="AN50" s="156" t="e">
        <f t="shared" si="4"/>
        <v>#DIV/0!</v>
      </c>
      <c r="AO50" s="90"/>
      <c r="AP50" s="156" t="e">
        <f t="shared" si="4"/>
        <v>#DIV/0!</v>
      </c>
      <c r="AQ50" s="90"/>
      <c r="AR50" s="156" t="e">
        <f t="shared" si="4"/>
        <v>#DIV/0!</v>
      </c>
      <c r="AS50" s="90"/>
      <c r="AT50" s="156" t="e">
        <f t="shared" si="4"/>
        <v>#DIV/0!</v>
      </c>
      <c r="AU50" s="90"/>
      <c r="AV50" s="156" t="e">
        <f t="shared" si="80"/>
        <v>#DIV/0!</v>
      </c>
      <c r="AW50" s="90"/>
      <c r="AX50" s="156" t="e">
        <f t="shared" si="80"/>
        <v>#DIV/0!</v>
      </c>
      <c r="AZ50" s="156" t="e">
        <f t="shared" si="80"/>
        <v>#DIV/0!</v>
      </c>
      <c r="BB50" s="156" t="e">
        <f t="shared" si="6"/>
        <v>#DIV/0!</v>
      </c>
      <c r="BD50" s="156" t="e">
        <f t="shared" si="6"/>
        <v>#DIV/0!</v>
      </c>
      <c r="BF50" s="156" t="e">
        <f t="shared" si="6"/>
        <v>#DIV/0!</v>
      </c>
      <c r="BH50" s="156" t="e">
        <f t="shared" si="6"/>
        <v>#DIV/0!</v>
      </c>
      <c r="BJ50" s="156" t="e">
        <f t="shared" si="6"/>
        <v>#DIV/0!</v>
      </c>
      <c r="BL50" s="156" t="e">
        <f t="shared" si="106"/>
        <v>#DIV/0!</v>
      </c>
      <c r="BN50" s="156" t="e">
        <f t="shared" si="7"/>
        <v>#DIV/0!</v>
      </c>
      <c r="BP50" s="156" t="e">
        <f t="shared" si="8"/>
        <v>#DIV/0!</v>
      </c>
      <c r="BR50" s="156" t="e">
        <f t="shared" si="9"/>
        <v>#DIV/0!</v>
      </c>
      <c r="BT50" s="156" t="e">
        <f t="shared" si="10"/>
        <v>#DIV/0!</v>
      </c>
      <c r="BV50" s="156" t="e">
        <f t="shared" si="11"/>
        <v>#DIV/0!</v>
      </c>
      <c r="BX50" s="156" t="e">
        <f t="shared" si="12"/>
        <v>#DIV/0!</v>
      </c>
      <c r="BZ50" s="156" t="e">
        <f t="shared" si="13"/>
        <v>#DIV/0!</v>
      </c>
      <c r="CB50" s="156" t="e">
        <f t="shared" si="14"/>
        <v>#DIV/0!</v>
      </c>
    </row>
    <row r="51" spans="1:96" s="53" customFormat="1" ht="15.75" customHeight="1" thickBot="1">
      <c r="A51" s="49"/>
      <c r="B51" s="129" t="s">
        <v>22</v>
      </c>
      <c r="C51" s="55" t="s">
        <v>126</v>
      </c>
      <c r="D51" s="90"/>
      <c r="E51" s="124"/>
      <c r="F51" s="624"/>
      <c r="G51" s="611"/>
      <c r="H51" s="611"/>
      <c r="I51" s="611"/>
      <c r="J51" s="611"/>
      <c r="K51" s="611"/>
      <c r="L51" s="611"/>
      <c r="M51" s="611"/>
      <c r="N51" s="611"/>
      <c r="O51" s="611"/>
      <c r="P51" s="611"/>
      <c r="Q51" s="611"/>
      <c r="R51" s="611"/>
      <c r="S51" s="611"/>
      <c r="T51" s="611"/>
      <c r="U51" s="611"/>
      <c r="V51" s="611"/>
      <c r="W51" s="611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156" t="e">
        <f t="shared" ref="AJ51" si="155">AI51/($AI51)</f>
        <v>#DIV/0!</v>
      </c>
      <c r="AK51" s="90"/>
      <c r="AL51" s="156" t="e">
        <f t="shared" si="3"/>
        <v>#DIV/0!</v>
      </c>
      <c r="AM51" s="90"/>
      <c r="AN51" s="156" t="e">
        <f t="shared" si="4"/>
        <v>#DIV/0!</v>
      </c>
      <c r="AO51" s="90"/>
      <c r="AP51" s="156" t="e">
        <f t="shared" si="4"/>
        <v>#DIV/0!</v>
      </c>
      <c r="AQ51" s="90"/>
      <c r="AR51" s="156" t="e">
        <f t="shared" si="4"/>
        <v>#DIV/0!</v>
      </c>
      <c r="AS51" s="90"/>
      <c r="AT51" s="156" t="e">
        <f t="shared" si="4"/>
        <v>#DIV/0!</v>
      </c>
      <c r="AU51" s="90"/>
      <c r="AV51" s="156" t="e">
        <f t="shared" si="80"/>
        <v>#DIV/0!</v>
      </c>
      <c r="AW51" s="90"/>
      <c r="AX51" s="156" t="e">
        <f t="shared" si="80"/>
        <v>#DIV/0!</v>
      </c>
      <c r="AZ51" s="156" t="e">
        <f t="shared" si="80"/>
        <v>#DIV/0!</v>
      </c>
      <c r="BB51" s="156" t="e">
        <f t="shared" si="6"/>
        <v>#DIV/0!</v>
      </c>
      <c r="BD51" s="156" t="e">
        <f t="shared" si="6"/>
        <v>#DIV/0!</v>
      </c>
      <c r="BF51" s="156" t="e">
        <f t="shared" si="6"/>
        <v>#DIV/0!</v>
      </c>
      <c r="BH51" s="156" t="e">
        <f t="shared" si="6"/>
        <v>#DIV/0!</v>
      </c>
      <c r="BJ51" s="156" t="e">
        <f t="shared" si="6"/>
        <v>#DIV/0!</v>
      </c>
      <c r="BL51" s="156" t="e">
        <f t="shared" si="106"/>
        <v>#DIV/0!</v>
      </c>
      <c r="BN51" s="156" t="e">
        <f t="shared" si="7"/>
        <v>#DIV/0!</v>
      </c>
      <c r="BP51" s="156" t="e">
        <f t="shared" si="8"/>
        <v>#DIV/0!</v>
      </c>
      <c r="BR51" s="156" t="e">
        <f t="shared" si="9"/>
        <v>#DIV/0!</v>
      </c>
      <c r="BT51" s="156" t="e">
        <f t="shared" si="10"/>
        <v>#DIV/0!</v>
      </c>
      <c r="BV51" s="156" t="e">
        <f t="shared" si="11"/>
        <v>#DIV/0!</v>
      </c>
      <c r="BX51" s="156" t="e">
        <f t="shared" si="12"/>
        <v>#DIV/0!</v>
      </c>
      <c r="BZ51" s="156" t="e">
        <f t="shared" si="13"/>
        <v>#DIV/0!</v>
      </c>
      <c r="CB51" s="156" t="e">
        <f t="shared" si="14"/>
        <v>#DIV/0!</v>
      </c>
    </row>
    <row r="52" spans="1:96" s="10" customFormat="1" ht="15.75" customHeight="1" thickBot="1">
      <c r="A52" s="21"/>
      <c r="B52" s="135" t="s">
        <v>221</v>
      </c>
      <c r="C52" s="89" t="str">
        <f>E52</f>
        <v>{"bisValutaDatum":"31.12.2024","dossier":p.DossierName3,"zahlungenTotal":"CHF 11’918.00"}</v>
      </c>
      <c r="D52" s="90"/>
      <c r="E52" s="91" t="str">
        <f>F52&amp;G52&amp;H52&amp;I52&amp;J52&amp;K52&amp;L52&amp;M52&amp;N52&amp;O52&amp;P52&amp;Q52&amp;R52&amp;S52&amp;T52&amp;U52&amp;V52&amp;W52&amp;X52</f>
        <v>{"bisValutaDatum":"31.12.2024","dossier":p.DossierName3,"zahlungenTotal":"CHF 11’918.00"}</v>
      </c>
      <c r="F52" s="609" t="s">
        <v>222</v>
      </c>
      <c r="G52" s="611" t="s">
        <v>223</v>
      </c>
      <c r="H52" s="609" t="s">
        <v>224</v>
      </c>
      <c r="I52" s="614" t="str">
        <f>G47</f>
        <v>p.DossierName3</v>
      </c>
      <c r="J52" s="609" t="s">
        <v>225</v>
      </c>
      <c r="K52" s="613" t="s">
        <v>288</v>
      </c>
      <c r="L52" s="609" t="s">
        <v>37</v>
      </c>
      <c r="M52" s="611"/>
      <c r="N52" s="609"/>
      <c r="O52" s="611"/>
      <c r="P52" s="609"/>
      <c r="Q52" s="611"/>
      <c r="R52" s="609"/>
      <c r="S52" s="611"/>
      <c r="T52" s="609"/>
      <c r="U52" s="611"/>
      <c r="V52" s="609"/>
      <c r="W52" s="611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156" t="e">
        <f t="shared" ref="AJ52" si="156">AI52/($AI52)</f>
        <v>#DIV/0!</v>
      </c>
      <c r="AK52" s="90"/>
      <c r="AL52" s="156" t="e">
        <f t="shared" si="3"/>
        <v>#DIV/0!</v>
      </c>
      <c r="AM52" s="90"/>
      <c r="AN52" s="156" t="e">
        <f t="shared" si="4"/>
        <v>#DIV/0!</v>
      </c>
      <c r="AO52" s="90"/>
      <c r="AP52" s="156" t="e">
        <f t="shared" si="4"/>
        <v>#DIV/0!</v>
      </c>
      <c r="AQ52" s="90"/>
      <c r="AR52" s="156" t="e">
        <f t="shared" si="4"/>
        <v>#DIV/0!</v>
      </c>
      <c r="AS52" s="90"/>
      <c r="AT52" s="156" t="e">
        <f t="shared" si="4"/>
        <v>#DIV/0!</v>
      </c>
      <c r="AU52" s="90"/>
      <c r="AV52" s="156" t="e">
        <f t="shared" si="80"/>
        <v>#DIV/0!</v>
      </c>
      <c r="AW52" s="90"/>
      <c r="AX52" s="156" t="e">
        <f t="shared" si="80"/>
        <v>#DIV/0!</v>
      </c>
      <c r="AZ52" s="156" t="e">
        <f t="shared" si="80"/>
        <v>#DIV/0!</v>
      </c>
      <c r="BB52" s="156" t="e">
        <f t="shared" si="6"/>
        <v>#DIV/0!</v>
      </c>
      <c r="BD52" s="156" t="e">
        <f t="shared" si="6"/>
        <v>#DIV/0!</v>
      </c>
      <c r="BF52" s="156" t="e">
        <f t="shared" si="6"/>
        <v>#DIV/0!</v>
      </c>
      <c r="BH52" s="156" t="e">
        <f t="shared" si="6"/>
        <v>#DIV/0!</v>
      </c>
      <c r="BJ52" s="156" t="e">
        <f t="shared" si="6"/>
        <v>#DIV/0!</v>
      </c>
      <c r="BL52" s="156" t="e">
        <f t="shared" si="106"/>
        <v>#DIV/0!</v>
      </c>
      <c r="BN52" s="156" t="e">
        <f t="shared" si="7"/>
        <v>#DIV/0!</v>
      </c>
      <c r="BP52" s="156" t="e">
        <f t="shared" si="8"/>
        <v>#DIV/0!</v>
      </c>
      <c r="BR52" s="156" t="e">
        <f t="shared" si="9"/>
        <v>#DIV/0!</v>
      </c>
      <c r="BT52" s="156" t="e">
        <f t="shared" si="10"/>
        <v>#DIV/0!</v>
      </c>
      <c r="BV52" s="156" t="e">
        <f t="shared" si="11"/>
        <v>#DIV/0!</v>
      </c>
      <c r="BX52" s="156" t="e">
        <f t="shared" si="12"/>
        <v>#DIV/0!</v>
      </c>
      <c r="BZ52" s="156" t="e">
        <f t="shared" si="13"/>
        <v>#DIV/0!</v>
      </c>
      <c r="CB52" s="156" t="e">
        <f t="shared" si="14"/>
        <v>#DIV/0!</v>
      </c>
    </row>
    <row r="53" spans="1:96" s="53" customFormat="1" ht="15.75" customHeight="1" thickBot="1">
      <c r="A53" s="49"/>
      <c r="B53" s="54" t="s">
        <v>22</v>
      </c>
      <c r="C53" s="55" t="s">
        <v>126</v>
      </c>
      <c r="D53" s="90"/>
      <c r="E53" s="124"/>
      <c r="F53" s="624"/>
      <c r="G53" s="611"/>
      <c r="H53" s="611"/>
      <c r="I53" s="611"/>
      <c r="J53" s="611"/>
      <c r="K53" s="611"/>
      <c r="L53" s="611"/>
      <c r="M53" s="611"/>
      <c r="N53" s="611"/>
      <c r="O53" s="611"/>
      <c r="P53" s="611"/>
      <c r="Q53" s="611"/>
      <c r="R53" s="611"/>
      <c r="S53" s="611"/>
      <c r="T53" s="611"/>
      <c r="U53" s="611"/>
      <c r="V53" s="611"/>
      <c r="W53" s="611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156" t="e">
        <f t="shared" ref="AJ53" si="157">AI53/($AI53)</f>
        <v>#DIV/0!</v>
      </c>
      <c r="AK53" s="90"/>
      <c r="AL53" s="156" t="e">
        <f t="shared" si="3"/>
        <v>#DIV/0!</v>
      </c>
      <c r="AM53" s="90"/>
      <c r="AN53" s="156" t="e">
        <f t="shared" si="4"/>
        <v>#DIV/0!</v>
      </c>
      <c r="AO53" s="90"/>
      <c r="AP53" s="156" t="e">
        <f t="shared" si="4"/>
        <v>#DIV/0!</v>
      </c>
      <c r="AQ53" s="90"/>
      <c r="AR53" s="156" t="e">
        <f t="shared" si="4"/>
        <v>#DIV/0!</v>
      </c>
      <c r="AS53" s="90"/>
      <c r="AT53" s="156" t="e">
        <f t="shared" si="4"/>
        <v>#DIV/0!</v>
      </c>
      <c r="AU53" s="90"/>
      <c r="AV53" s="156" t="e">
        <f t="shared" si="80"/>
        <v>#DIV/0!</v>
      </c>
      <c r="AW53" s="90"/>
      <c r="AX53" s="156" t="e">
        <f t="shared" si="80"/>
        <v>#DIV/0!</v>
      </c>
      <c r="AZ53" s="156" t="e">
        <f t="shared" si="80"/>
        <v>#DIV/0!</v>
      </c>
      <c r="BB53" s="156" t="e">
        <f t="shared" si="6"/>
        <v>#DIV/0!</v>
      </c>
      <c r="BD53" s="156" t="e">
        <f t="shared" si="6"/>
        <v>#DIV/0!</v>
      </c>
      <c r="BF53" s="156" t="e">
        <f t="shared" si="6"/>
        <v>#DIV/0!</v>
      </c>
      <c r="BH53" s="156" t="e">
        <f t="shared" si="6"/>
        <v>#DIV/0!</v>
      </c>
      <c r="BJ53" s="156" t="e">
        <f t="shared" si="6"/>
        <v>#DIV/0!</v>
      </c>
      <c r="BL53" s="156" t="e">
        <f t="shared" si="106"/>
        <v>#DIV/0!</v>
      </c>
      <c r="BN53" s="156" t="e">
        <f t="shared" si="7"/>
        <v>#DIV/0!</v>
      </c>
      <c r="BP53" s="156" t="e">
        <f t="shared" si="8"/>
        <v>#DIV/0!</v>
      </c>
      <c r="BR53" s="156" t="e">
        <f t="shared" si="9"/>
        <v>#DIV/0!</v>
      </c>
      <c r="BT53" s="156" t="e">
        <f t="shared" si="10"/>
        <v>#DIV/0!</v>
      </c>
      <c r="BV53" s="156" t="e">
        <f t="shared" si="11"/>
        <v>#DIV/0!</v>
      </c>
      <c r="BX53" s="156" t="e">
        <f t="shared" si="12"/>
        <v>#DIV/0!</v>
      </c>
      <c r="BZ53" s="156" t="e">
        <f t="shared" si="13"/>
        <v>#DIV/0!</v>
      </c>
      <c r="CB53" s="156" t="e">
        <f t="shared" si="14"/>
        <v>#DIV/0!</v>
      </c>
    </row>
    <row r="54" spans="1:96" s="10" customFormat="1" ht="15.75" customHeight="1" thickBot="1">
      <c r="A54" s="21"/>
      <c r="B54" s="16" t="s">
        <v>229</v>
      </c>
      <c r="C54" s="38" t="str">
        <f>E54</f>
        <v>{"dossier":p.DossierName3,"ausgefuehrteZahlungen":"1"}</v>
      </c>
      <c r="D54" s="38"/>
      <c r="E54" s="91" t="str">
        <f>F54&amp;G54&amp;H54&amp;I54&amp;J54&amp;K54&amp;L54&amp;M54&amp;N54&amp;O54&amp;P54&amp;Q54&amp;R54&amp;S54&amp;T54&amp;U54&amp;V54&amp;W54</f>
        <v>{"dossier":p.DossierName3,"ausgefuehrteZahlungen":"1"}</v>
      </c>
      <c r="F54" s="611" t="s">
        <v>159</v>
      </c>
      <c r="G54" s="611" t="str">
        <f>G61</f>
        <v>p.DossierName3</v>
      </c>
      <c r="H54" s="611" t="s">
        <v>230</v>
      </c>
      <c r="I54" s="609">
        <v>1</v>
      </c>
      <c r="J54" s="611" t="s">
        <v>37</v>
      </c>
      <c r="K54" s="611"/>
      <c r="L54" s="611"/>
      <c r="M54" s="611"/>
      <c r="N54" s="611"/>
      <c r="O54" s="625"/>
      <c r="P54" s="611"/>
      <c r="Q54" s="611"/>
      <c r="R54" s="611"/>
      <c r="S54" s="611"/>
      <c r="T54" s="611"/>
      <c r="U54" s="611"/>
      <c r="V54" s="611"/>
      <c r="W54" s="61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156" t="e">
        <f t="shared" ref="AJ54" si="158">AI54/($AI54)</f>
        <v>#DIV/0!</v>
      </c>
      <c r="AK54" s="2"/>
      <c r="AL54" s="156" t="e">
        <f t="shared" si="3"/>
        <v>#DIV/0!</v>
      </c>
      <c r="AM54" s="2"/>
      <c r="AN54" s="156" t="e">
        <f t="shared" si="4"/>
        <v>#DIV/0!</v>
      </c>
      <c r="AO54" s="2"/>
      <c r="AP54" s="156" t="e">
        <f t="shared" si="4"/>
        <v>#DIV/0!</v>
      </c>
      <c r="AQ54" s="2"/>
      <c r="AR54" s="156" t="e">
        <f t="shared" si="4"/>
        <v>#DIV/0!</v>
      </c>
      <c r="AS54" s="2"/>
      <c r="AT54" s="156" t="e">
        <f t="shared" si="4"/>
        <v>#DIV/0!</v>
      </c>
      <c r="AU54" s="2"/>
      <c r="AV54" s="156" t="e">
        <f t="shared" si="80"/>
        <v>#DIV/0!</v>
      </c>
      <c r="AW54" s="2"/>
      <c r="AX54" s="156" t="e">
        <f t="shared" si="80"/>
        <v>#DIV/0!</v>
      </c>
      <c r="AZ54" s="156" t="e">
        <f t="shared" si="80"/>
        <v>#DIV/0!</v>
      </c>
      <c r="BB54" s="156" t="e">
        <f t="shared" si="6"/>
        <v>#DIV/0!</v>
      </c>
      <c r="BD54" s="156" t="e">
        <f t="shared" si="6"/>
        <v>#DIV/0!</v>
      </c>
      <c r="BF54" s="156" t="e">
        <f t="shared" si="6"/>
        <v>#DIV/0!</v>
      </c>
      <c r="BH54" s="156" t="e">
        <f t="shared" si="6"/>
        <v>#DIV/0!</v>
      </c>
      <c r="BJ54" s="156" t="e">
        <f t="shared" si="6"/>
        <v>#DIV/0!</v>
      </c>
      <c r="BL54" s="156" t="e">
        <f t="shared" si="106"/>
        <v>#DIV/0!</v>
      </c>
      <c r="BN54" s="156" t="e">
        <f t="shared" si="7"/>
        <v>#DIV/0!</v>
      </c>
      <c r="BP54" s="156" t="e">
        <f t="shared" si="8"/>
        <v>#DIV/0!</v>
      </c>
      <c r="BR54" s="156" t="e">
        <f t="shared" si="9"/>
        <v>#DIV/0!</v>
      </c>
      <c r="BT54" s="156" t="e">
        <f t="shared" si="10"/>
        <v>#DIV/0!</v>
      </c>
      <c r="BV54" s="156" t="e">
        <f t="shared" si="11"/>
        <v>#DIV/0!</v>
      </c>
      <c r="BX54" s="156" t="e">
        <f t="shared" si="12"/>
        <v>#DIV/0!</v>
      </c>
      <c r="BZ54" s="156" t="e">
        <f t="shared" si="13"/>
        <v>#DIV/0!</v>
      </c>
      <c r="CB54" s="156" t="e">
        <f t="shared" si="14"/>
        <v>#DIV/0!</v>
      </c>
    </row>
    <row r="55" spans="1:96" ht="15.75" customHeight="1">
      <c r="A55" s="49"/>
      <c r="B55" s="137" t="s">
        <v>134</v>
      </c>
      <c r="C55" s="88" t="s">
        <v>138</v>
      </c>
      <c r="E55" s="2" t="str">
        <f>F55&amp;G55&amp;H55&amp;I55&amp;J55&amp;K55&amp;L55&amp;M55&amp;N55&amp;O55&amp;P55&amp;Q55&amp;R55&amp;S55&amp;T55&amp;U55&amp;V55&amp;W55&amp;X55</f>
        <v>{"username":"Bern.Sachbearbeiterin@diartis.ch","password":"XXxa22?pdTA66-S@"}</v>
      </c>
      <c r="F55" s="609" t="s">
        <v>29</v>
      </c>
      <c r="G55" s="611" t="s">
        <v>30</v>
      </c>
      <c r="H55" s="609" t="s">
        <v>31</v>
      </c>
      <c r="I55" s="611" t="s">
        <v>32</v>
      </c>
      <c r="J55" s="609" t="s">
        <v>37</v>
      </c>
      <c r="AJ55" s="165"/>
      <c r="AL55" s="165"/>
      <c r="AN55" s="165"/>
      <c r="AP55" s="165"/>
      <c r="AR55" s="165"/>
      <c r="AT55" s="165"/>
      <c r="AV55" s="165"/>
      <c r="AX55" s="165"/>
      <c r="AZ55" s="165"/>
      <c r="BB55" s="165"/>
      <c r="BD55" s="165"/>
      <c r="BF55" s="165"/>
      <c r="BH55" s="165"/>
      <c r="BJ55" s="165"/>
      <c r="BL55" s="165"/>
      <c r="BN55" s="165"/>
      <c r="BP55" s="165"/>
      <c r="BR55" s="165"/>
      <c r="BT55" s="165"/>
      <c r="BV55" s="165"/>
      <c r="BX55" s="165"/>
      <c r="BZ55" s="165"/>
      <c r="CB55" s="165"/>
      <c r="CD55" s="2"/>
      <c r="CF55" s="2"/>
      <c r="CH55" s="2"/>
      <c r="CJ55" s="2"/>
      <c r="CL55" s="2"/>
      <c r="CN55" s="2"/>
      <c r="CP55" s="2"/>
      <c r="CR55" s="2"/>
    </row>
    <row r="56" spans="1:96" ht="15.75" customHeight="1" thickBot="1">
      <c r="B56" s="54"/>
      <c r="C56" s="38"/>
      <c r="E56" s="2"/>
      <c r="AJ56" s="165"/>
      <c r="AL56" s="165"/>
      <c r="AN56" s="165"/>
      <c r="AP56" s="165"/>
      <c r="AR56" s="165"/>
      <c r="AT56" s="165"/>
      <c r="AV56" s="165"/>
      <c r="AX56" s="165"/>
      <c r="AZ56" s="165"/>
      <c r="BB56" s="165"/>
      <c r="BD56" s="165"/>
      <c r="BF56" s="165"/>
      <c r="BH56" s="165"/>
      <c r="BJ56" s="165"/>
      <c r="BL56" s="165"/>
      <c r="BN56" s="165"/>
      <c r="BP56" s="165"/>
      <c r="BR56" s="165"/>
      <c r="BT56" s="165"/>
      <c r="BV56" s="165"/>
      <c r="BX56" s="165"/>
      <c r="BZ56" s="165"/>
      <c r="CB56" s="165"/>
      <c r="CD56" s="165"/>
      <c r="CF56" s="165"/>
      <c r="CH56" s="165"/>
      <c r="CJ56" s="165"/>
      <c r="CL56" s="165"/>
      <c r="CN56" s="165"/>
      <c r="CP56" s="165"/>
      <c r="CR56" s="165"/>
    </row>
    <row r="57" spans="1:96" ht="15.75" customHeight="1" thickBot="1">
      <c r="B57" s="179"/>
      <c r="C57" s="38"/>
      <c r="E57" s="2"/>
      <c r="AJ57" s="165"/>
      <c r="AL57" s="165"/>
      <c r="AN57" s="165"/>
      <c r="AP57" s="165"/>
      <c r="AR57" s="165"/>
      <c r="AT57" s="165"/>
      <c r="AV57" s="165"/>
      <c r="AX57" s="165"/>
      <c r="AZ57" s="165"/>
      <c r="BB57" s="165"/>
      <c r="BD57" s="165"/>
      <c r="BF57" s="165"/>
      <c r="BH57" s="165"/>
      <c r="BJ57" s="165"/>
      <c r="BL57" s="165"/>
      <c r="BN57" s="165"/>
      <c r="BP57" s="165"/>
      <c r="BR57" s="165"/>
      <c r="BT57" s="165"/>
      <c r="BV57" s="165"/>
      <c r="BX57" s="165"/>
      <c r="BZ57" s="165"/>
      <c r="CB57" s="165"/>
      <c r="CD57" s="165"/>
      <c r="CF57" s="165"/>
      <c r="CH57" s="165"/>
      <c r="CJ57" s="165"/>
      <c r="CL57" s="165"/>
      <c r="CN57" s="165"/>
      <c r="CP57" s="165"/>
      <c r="CR57" s="165"/>
    </row>
    <row r="58" spans="1:96" ht="15.75" customHeight="1">
      <c r="B58" s="18" t="s">
        <v>235</v>
      </c>
      <c r="C58" s="38"/>
      <c r="E58" s="2"/>
      <c r="AJ58" s="165"/>
      <c r="AL58" s="165"/>
      <c r="AN58" s="165"/>
      <c r="AP58" s="165"/>
      <c r="AR58" s="165"/>
      <c r="AT58" s="165"/>
      <c r="AV58" s="165"/>
      <c r="AX58" s="165"/>
      <c r="AZ58" s="165"/>
      <c r="BB58" s="165"/>
      <c r="BD58" s="165"/>
      <c r="BF58" s="165"/>
      <c r="BH58" s="165"/>
      <c r="BJ58" s="165"/>
      <c r="BL58" s="165"/>
      <c r="BN58" s="165"/>
      <c r="BP58" s="165"/>
      <c r="BR58" s="165"/>
      <c r="BT58" s="165"/>
      <c r="BV58" s="165"/>
      <c r="BX58" s="165"/>
      <c r="BZ58" s="165"/>
      <c r="CB58" s="165"/>
      <c r="CD58" s="165"/>
      <c r="CF58" s="165"/>
      <c r="CH58" s="165"/>
      <c r="CJ58" s="165"/>
      <c r="CL58" s="165"/>
      <c r="CN58" s="165"/>
      <c r="CP58" s="165"/>
      <c r="CR58" s="165"/>
    </row>
    <row r="59" spans="1:96" ht="15.75" customHeight="1">
      <c r="B59" s="2" t="s">
        <v>233</v>
      </c>
      <c r="C59" s="38"/>
      <c r="E59" s="2"/>
      <c r="AJ59" s="165"/>
      <c r="AL59" s="165"/>
      <c r="AN59" s="165"/>
      <c r="AP59" s="165"/>
      <c r="AR59" s="165"/>
      <c r="AT59" s="165"/>
      <c r="AV59" s="165"/>
      <c r="AX59" s="165"/>
      <c r="AZ59" s="165"/>
      <c r="BB59" s="165"/>
      <c r="BD59" s="165"/>
      <c r="BF59" s="165"/>
      <c r="BH59" s="165"/>
      <c r="BJ59" s="165"/>
      <c r="BL59" s="165"/>
      <c r="BN59" s="165"/>
      <c r="BP59" s="165"/>
      <c r="BR59" s="165"/>
      <c r="BT59" s="165"/>
      <c r="BV59" s="165"/>
      <c r="BX59" s="165"/>
      <c r="BZ59" s="165"/>
      <c r="CB59" s="165"/>
      <c r="CD59" s="165"/>
      <c r="CF59" s="165"/>
      <c r="CH59" s="165"/>
      <c r="CJ59" s="165"/>
      <c r="CL59" s="165"/>
      <c r="CN59" s="165"/>
      <c r="CP59" s="165"/>
      <c r="CR59" s="165"/>
    </row>
    <row r="60" spans="1:96" ht="15.75" customHeight="1">
      <c r="B60" s="2" t="s">
        <v>234</v>
      </c>
      <c r="C60" s="38"/>
      <c r="E60" s="2"/>
    </row>
    <row r="61" spans="1:96" ht="15.75" customHeight="1">
      <c r="B61" s="18" t="s">
        <v>235</v>
      </c>
      <c r="C61" s="38"/>
      <c r="E61" s="2"/>
      <c r="F61" s="609" t="s">
        <v>236</v>
      </c>
      <c r="G61" s="611" t="str">
        <f>"p.DossierName"&amp;G66</f>
        <v>p.DossierName3</v>
      </c>
      <c r="H61" s="611" t="str">
        <f>"p.ManFirstName"&amp;G66</f>
        <v>p.ManFirstName3</v>
      </c>
      <c r="I61" s="611" t="str">
        <f>"p.AHVNumber"&amp;G68</f>
        <v>p.AHVNumber9</v>
      </c>
      <c r="J61" s="614" t="str">
        <f>"p.BirthdayAdult"&amp;G66</f>
        <v>p.BirthdayAdult3</v>
      </c>
    </row>
    <row r="62" spans="1:96" ht="15.75" customHeight="1">
      <c r="B62" s="2" t="s">
        <v>233</v>
      </c>
      <c r="C62" s="38"/>
      <c r="E62" s="2"/>
      <c r="F62" s="609" t="s">
        <v>237</v>
      </c>
      <c r="G62" s="611" t="str">
        <f>"p.FamilyName"&amp;G66</f>
        <v>p.FamilyName3</v>
      </c>
      <c r="H62" s="611" t="str">
        <f>"p.WomanFirstName"&amp;G66</f>
        <v>p.WomanFirstName3</v>
      </c>
      <c r="I62" s="611" t="str">
        <f>"p.AHVNumber"&amp;G68+1</f>
        <v>p.AHVNumber10</v>
      </c>
      <c r="J62" s="614" t="str">
        <f>"p.BirthdayAdult"&amp;G67</f>
        <v>p.BirthdayAdult4</v>
      </c>
    </row>
    <row r="63" spans="1:96" ht="15.75" customHeight="1">
      <c r="C63" s="38"/>
      <c r="E63" s="2"/>
      <c r="F63" s="609" t="s">
        <v>238</v>
      </c>
      <c r="G63" s="611" t="str">
        <f>G62</f>
        <v>p.FamilyName3</v>
      </c>
      <c r="H63" s="611" t="str">
        <f>"p.GirlFirstName"&amp;G66</f>
        <v>p.GirlFirstName3</v>
      </c>
      <c r="I63" s="611" t="str">
        <f>"p.AHVNumber"&amp;G68+2</f>
        <v>p.AHVNumber11</v>
      </c>
      <c r="J63" s="614" t="str">
        <f>"p.BirthdayKid"&amp;G66</f>
        <v>p.BirthdayKid3</v>
      </c>
    </row>
    <row r="64" spans="1:96" ht="15.75" customHeight="1">
      <c r="C64" s="38"/>
      <c r="E64" s="2"/>
      <c r="H64" s="611" t="str">
        <f>"p.ManFirstName"&amp;G67</f>
        <v>p.ManFirstName4</v>
      </c>
      <c r="I64" s="611" t="str">
        <f>"p.AHVNumber"&amp;G68+3</f>
        <v>p.AHVNumber12</v>
      </c>
      <c r="J64" s="614" t="str">
        <f>"p.BirthdayKid"&amp;G67</f>
        <v>p.BirthdayKid4</v>
      </c>
    </row>
    <row r="65" spans="2:10" ht="15" customHeight="1">
      <c r="C65" s="38"/>
      <c r="E65" s="2"/>
    </row>
    <row r="66" spans="2:10" ht="15.75" customHeight="1">
      <c r="C66" s="38"/>
      <c r="E66" s="2"/>
      <c r="G66" s="611">
        <v>3</v>
      </c>
    </row>
    <row r="67" spans="2:10" ht="15.75" customHeight="1">
      <c r="C67" s="38"/>
      <c r="E67" s="2"/>
      <c r="G67" s="611">
        <f>G66+1</f>
        <v>4</v>
      </c>
    </row>
    <row r="68" spans="2:10" ht="15.75" customHeight="1">
      <c r="B68" s="2" t="s">
        <v>240</v>
      </c>
      <c r="C68" s="38"/>
      <c r="E68" s="2"/>
      <c r="G68" s="611">
        <f>G66*4-4+1</f>
        <v>9</v>
      </c>
    </row>
    <row r="69" spans="2:10" ht="15.75" customHeight="1">
      <c r="B69" s="24" t="s">
        <v>276</v>
      </c>
      <c r="C69" s="38" t="s">
        <v>322</v>
      </c>
      <c r="E69" s="2"/>
      <c r="G69" s="611">
        <f>G68+1</f>
        <v>10</v>
      </c>
    </row>
    <row r="70" spans="2:10" ht="15.75" customHeight="1">
      <c r="B70" s="24" t="s">
        <v>241</v>
      </c>
      <c r="C70" s="38"/>
      <c r="E70" s="2"/>
      <c r="G70" s="611">
        <f>G68*4-4+1</f>
        <v>33</v>
      </c>
    </row>
    <row r="71" spans="2:10" ht="15.75" customHeight="1" thickBot="1">
      <c r="B71" s="24" t="s">
        <v>242</v>
      </c>
      <c r="C71" s="38"/>
      <c r="E71" s="2"/>
    </row>
    <row r="72" spans="2:10" ht="15.75" customHeight="1">
      <c r="B72" s="24" t="s">
        <v>243</v>
      </c>
      <c r="C72" s="38"/>
      <c r="E72" s="139" t="s">
        <v>245</v>
      </c>
      <c r="F72" s="651"/>
      <c r="G72" s="626"/>
      <c r="H72" s="626"/>
      <c r="I72" s="626"/>
      <c r="J72" s="627"/>
    </row>
    <row r="73" spans="2:10" ht="15.75" customHeight="1">
      <c r="B73" s="24" t="s">
        <v>244</v>
      </c>
      <c r="C73" s="38"/>
      <c r="E73" s="145"/>
      <c r="F73" s="611">
        <f ca="1">MONTH(TODAY())</f>
        <v>11</v>
      </c>
      <c r="G73" s="146" t="str">
        <f t="array" aca="1" ref="G73" ca="1">_xlfn.CHOOSEROWS(I$85:I$117,F73)&amp;" "&amp;_xlfn.CHOOSEROWS(J$85:J$117,F73)</f>
        <v>November 2025</v>
      </c>
      <c r="J73" s="628"/>
    </row>
    <row r="74" spans="2:10" ht="15.75" customHeight="1">
      <c r="B74" s="144" t="s">
        <v>246</v>
      </c>
      <c r="C74" s="38"/>
      <c r="E74" s="145"/>
      <c r="F74" s="611">
        <f ca="1">F73+1</f>
        <v>12</v>
      </c>
      <c r="G74" s="146" t="str">
        <f t="array" aca="1" ref="G74" ca="1">_xlfn.CHOOSEROWS(I$85:I$117,F74)&amp;" "&amp;_xlfn.CHOOSEROWS(J$85:J$117,F74)</f>
        <v>Dezember 2025</v>
      </c>
      <c r="J74" s="628"/>
    </row>
    <row r="75" spans="2:10" ht="15.75" customHeight="1">
      <c r="B75" s="24" t="s">
        <v>247</v>
      </c>
      <c r="C75" s="38" t="s">
        <v>323</v>
      </c>
      <c r="E75" s="145"/>
      <c r="F75" s="611">
        <f t="shared" ref="F75:F79" ca="1" si="159">F74+1</f>
        <v>13</v>
      </c>
      <c r="G75" s="146" t="str">
        <f t="array" aca="1" ref="G75" ca="1">_xlfn.CHOOSEROWS(I$85:I$117,F75)&amp;" "&amp;_xlfn.CHOOSEROWS(J$85:J$117,F75)</f>
        <v>Januar 2026</v>
      </c>
      <c r="J75" s="628"/>
    </row>
    <row r="76" spans="2:10" ht="15.75" customHeight="1">
      <c r="E76" s="145"/>
      <c r="F76" s="611">
        <f t="shared" ca="1" si="159"/>
        <v>14</v>
      </c>
      <c r="G76" s="146" t="str">
        <f t="array" aca="1" ref="G76" ca="1">_xlfn.CHOOSEROWS(I$85:I$117,F76)&amp;" "&amp;_xlfn.CHOOSEROWS(J$85:J$117,F76)</f>
        <v>Februar 2026</v>
      </c>
      <c r="J76" s="628"/>
    </row>
    <row r="77" spans="2:10" ht="15.75" customHeight="1">
      <c r="E77" s="145"/>
      <c r="F77" s="611">
        <f t="shared" ca="1" si="159"/>
        <v>15</v>
      </c>
      <c r="G77" s="146" t="str">
        <f t="array" aca="1" ref="G77" ca="1">_xlfn.CHOOSEROWS(I$85:I$117,F77)&amp;" "&amp;_xlfn.CHOOSEROWS(J$85:J$117,F77)</f>
        <v>März 2026</v>
      </c>
      <c r="J77" s="628"/>
    </row>
    <row r="78" spans="2:10" ht="15.75" customHeight="1">
      <c r="E78" s="145"/>
      <c r="F78" s="611">
        <f t="shared" ca="1" si="159"/>
        <v>16</v>
      </c>
      <c r="G78" s="146" t="str">
        <f t="array" aca="1" ref="G78" ca="1">_xlfn.CHOOSEROWS(I$85:I$117,F78)&amp;" "&amp;_xlfn.CHOOSEROWS(J$85:J$117,F78)</f>
        <v>April 2026</v>
      </c>
      <c r="J78" s="628"/>
    </row>
    <row r="79" spans="2:10" ht="15.75" customHeight="1">
      <c r="E79" s="145"/>
      <c r="F79" s="611">
        <f t="shared" ca="1" si="159"/>
        <v>17</v>
      </c>
      <c r="G79" s="146" t="str">
        <f t="array" aca="1" ref="G79" ca="1">_xlfn.CHOOSEROWS(I$85:I$117,F79)&amp;" "&amp;_xlfn.CHOOSEROWS(J$85:J$117,F79)</f>
        <v>Mai 2026</v>
      </c>
      <c r="J79" s="628"/>
    </row>
    <row r="80" spans="2:10" ht="15.75" customHeight="1">
      <c r="E80" s="145"/>
      <c r="F80" s="611"/>
      <c r="G80" s="629"/>
      <c r="J80" s="628"/>
    </row>
    <row r="81" spans="5:10" ht="15.75" customHeight="1">
      <c r="E81" s="145"/>
      <c r="F81" s="611">
        <v>13</v>
      </c>
      <c r="G81" s="611">
        <f t="array" ref="G81">_xlfn.CHOOSEROWS(J85:J108,F81)</f>
        <v>2026</v>
      </c>
      <c r="J81" s="628"/>
    </row>
    <row r="82" spans="5:10" ht="15.75" customHeight="1">
      <c r="E82" s="145"/>
      <c r="F82" s="611"/>
      <c r="J82" s="628"/>
    </row>
    <row r="83" spans="5:10" ht="15.75" customHeight="1">
      <c r="E83" s="145"/>
      <c r="F83" s="611"/>
      <c r="J83" s="628"/>
    </row>
    <row r="84" spans="5:10" ht="15.75" customHeight="1">
      <c r="E84" s="145"/>
      <c r="F84" s="611"/>
      <c r="G84" s="611" t="str">
        <f t="array" ref="G84">_xlfn.CHOOSEROWS(I84:I90,3)</f>
        <v>Februar</v>
      </c>
      <c r="J84" s="628"/>
    </row>
    <row r="85" spans="5:10" ht="15.75" customHeight="1">
      <c r="E85" s="145"/>
      <c r="F85" s="611"/>
      <c r="H85" s="609">
        <v>1</v>
      </c>
      <c r="I85" s="611" t="s">
        <v>249</v>
      </c>
      <c r="J85" s="628">
        <v>2025</v>
      </c>
    </row>
    <row r="86" spans="5:10" ht="15.75" customHeight="1">
      <c r="E86" s="145"/>
      <c r="F86" s="611"/>
      <c r="H86" s="609">
        <v>2</v>
      </c>
      <c r="I86" s="611" t="s">
        <v>250</v>
      </c>
      <c r="J86" s="628">
        <v>2025</v>
      </c>
    </row>
    <row r="87" spans="5:10" ht="15.75" customHeight="1">
      <c r="E87" s="145"/>
      <c r="F87" s="611"/>
      <c r="H87" s="609">
        <v>3</v>
      </c>
      <c r="I87" s="611" t="s">
        <v>251</v>
      </c>
      <c r="J87" s="628">
        <v>2025</v>
      </c>
    </row>
    <row r="88" spans="5:10" ht="15.75" customHeight="1">
      <c r="E88" s="145"/>
      <c r="F88" s="611"/>
      <c r="H88" s="609">
        <v>4</v>
      </c>
      <c r="I88" s="611" t="s">
        <v>252</v>
      </c>
      <c r="J88" s="628">
        <v>2025</v>
      </c>
    </row>
    <row r="89" spans="5:10" ht="15.75" customHeight="1">
      <c r="E89" s="145"/>
      <c r="F89" s="611"/>
      <c r="H89" s="609">
        <v>5</v>
      </c>
      <c r="I89" s="611" t="s">
        <v>253</v>
      </c>
      <c r="J89" s="628">
        <v>2025</v>
      </c>
    </row>
    <row r="90" spans="5:10" ht="15.75" customHeight="1">
      <c r="E90" s="145"/>
      <c r="F90" s="611"/>
      <c r="H90" s="609">
        <v>6</v>
      </c>
      <c r="I90" s="611" t="s">
        <v>254</v>
      </c>
      <c r="J90" s="628">
        <v>2025</v>
      </c>
    </row>
    <row r="91" spans="5:10" ht="15.75" customHeight="1">
      <c r="E91" s="2"/>
      <c r="F91" s="146"/>
      <c r="H91" s="609">
        <v>7</v>
      </c>
      <c r="I91" s="611" t="s">
        <v>255</v>
      </c>
      <c r="J91" s="628">
        <v>2025</v>
      </c>
    </row>
    <row r="92" spans="5:10" ht="15.75" customHeight="1">
      <c r="E92" s="2"/>
      <c r="F92" s="146"/>
      <c r="H92" s="609">
        <v>8</v>
      </c>
      <c r="I92" s="611" t="s">
        <v>256</v>
      </c>
      <c r="J92" s="628">
        <v>2025</v>
      </c>
    </row>
    <row r="93" spans="5:10" ht="15.75" customHeight="1">
      <c r="E93" s="2"/>
      <c r="F93" s="146"/>
      <c r="H93" s="609">
        <v>9</v>
      </c>
      <c r="I93" s="611" t="s">
        <v>257</v>
      </c>
      <c r="J93" s="628">
        <v>2025</v>
      </c>
    </row>
    <row r="94" spans="5:10" ht="15.75" customHeight="1">
      <c r="E94" s="2"/>
      <c r="F94" s="146"/>
      <c r="H94" s="609">
        <v>10</v>
      </c>
      <c r="I94" s="611" t="s">
        <v>258</v>
      </c>
      <c r="J94" s="628">
        <v>2025</v>
      </c>
    </row>
    <row r="95" spans="5:10" ht="15.75" customHeight="1">
      <c r="E95" s="2"/>
      <c r="F95" s="146"/>
      <c r="H95" s="609">
        <v>11</v>
      </c>
      <c r="I95" s="611" t="s">
        <v>259</v>
      </c>
      <c r="J95" s="628">
        <v>2025</v>
      </c>
    </row>
    <row r="96" spans="5:10" ht="15.75" customHeight="1">
      <c r="E96" s="2"/>
      <c r="F96" s="146"/>
      <c r="H96" s="609">
        <v>12</v>
      </c>
      <c r="I96" s="611" t="s">
        <v>260</v>
      </c>
      <c r="J96" s="628">
        <v>2025</v>
      </c>
    </row>
    <row r="97" spans="5:10" ht="15.75" customHeight="1">
      <c r="E97" s="2"/>
      <c r="F97" s="146"/>
      <c r="H97" s="609">
        <v>13</v>
      </c>
      <c r="I97" s="611" t="s">
        <v>249</v>
      </c>
      <c r="J97" s="628">
        <v>2026</v>
      </c>
    </row>
    <row r="98" spans="5:10" ht="15.75" customHeight="1">
      <c r="E98" s="2"/>
      <c r="F98" s="146"/>
      <c r="H98" s="609">
        <v>14</v>
      </c>
      <c r="I98" s="611" t="s">
        <v>250</v>
      </c>
      <c r="J98" s="628">
        <v>2026</v>
      </c>
    </row>
    <row r="99" spans="5:10" ht="15.75" customHeight="1">
      <c r="E99" s="2"/>
      <c r="F99" s="146"/>
      <c r="H99" s="609">
        <v>15</v>
      </c>
      <c r="I99" s="611" t="s">
        <v>251</v>
      </c>
      <c r="J99" s="628">
        <v>2026</v>
      </c>
    </row>
    <row r="100" spans="5:10" ht="15.75" customHeight="1">
      <c r="E100" s="2"/>
      <c r="F100" s="146"/>
      <c r="H100" s="609">
        <v>16</v>
      </c>
      <c r="I100" s="611" t="s">
        <v>252</v>
      </c>
      <c r="J100" s="628">
        <v>2026</v>
      </c>
    </row>
    <row r="101" spans="5:10" ht="15.75" customHeight="1">
      <c r="E101" s="2"/>
      <c r="F101" s="146"/>
      <c r="H101" s="609">
        <v>17</v>
      </c>
      <c r="I101" s="611" t="s">
        <v>253</v>
      </c>
      <c r="J101" s="628">
        <v>2026</v>
      </c>
    </row>
    <row r="102" spans="5:10" ht="15.75" customHeight="1">
      <c r="E102" s="2"/>
      <c r="F102" s="146"/>
      <c r="H102" s="609">
        <v>18</v>
      </c>
      <c r="I102" s="611" t="s">
        <v>254</v>
      </c>
      <c r="J102" s="628">
        <v>2026</v>
      </c>
    </row>
    <row r="103" spans="5:10" ht="15.75" customHeight="1">
      <c r="E103" s="2"/>
      <c r="F103" s="146"/>
      <c r="H103" s="609">
        <v>19</v>
      </c>
      <c r="I103" s="611" t="s">
        <v>255</v>
      </c>
      <c r="J103" s="628">
        <v>2026</v>
      </c>
    </row>
    <row r="104" spans="5:10" ht="15.75" customHeight="1">
      <c r="E104" s="2"/>
      <c r="F104" s="146"/>
      <c r="H104" s="609">
        <v>20</v>
      </c>
      <c r="I104" s="611" t="s">
        <v>256</v>
      </c>
      <c r="J104" s="628">
        <v>2026</v>
      </c>
    </row>
    <row r="105" spans="5:10" ht="15.75" customHeight="1">
      <c r="E105" s="2"/>
      <c r="F105" s="146"/>
      <c r="H105" s="609">
        <v>21</v>
      </c>
      <c r="I105" s="611" t="s">
        <v>257</v>
      </c>
      <c r="J105" s="628">
        <v>2026</v>
      </c>
    </row>
    <row r="106" spans="5:10" ht="15.75" customHeight="1">
      <c r="E106" s="2"/>
      <c r="F106" s="146"/>
      <c r="H106" s="609">
        <v>22</v>
      </c>
      <c r="I106" s="611" t="s">
        <v>258</v>
      </c>
      <c r="J106" s="628">
        <v>2026</v>
      </c>
    </row>
    <row r="107" spans="5:10" ht="15.75" customHeight="1">
      <c r="E107" s="2"/>
      <c r="F107" s="146"/>
      <c r="H107" s="609">
        <v>23</v>
      </c>
      <c r="I107" s="611" t="s">
        <v>259</v>
      </c>
      <c r="J107" s="628">
        <v>2026</v>
      </c>
    </row>
    <row r="108" spans="5:10" ht="15.75" customHeight="1" thickBot="1">
      <c r="E108" s="2"/>
      <c r="F108" s="146"/>
      <c r="G108" s="630"/>
      <c r="H108" s="609">
        <v>24</v>
      </c>
      <c r="I108" s="631" t="s">
        <v>260</v>
      </c>
      <c r="J108" s="628">
        <v>2026</v>
      </c>
    </row>
    <row r="109" spans="5:10" ht="15.75" customHeight="1">
      <c r="E109" s="2"/>
      <c r="F109" s="146"/>
      <c r="G109" s="609"/>
      <c r="H109" s="609">
        <v>25</v>
      </c>
      <c r="I109" s="611" t="s">
        <v>249</v>
      </c>
      <c r="J109" s="628">
        <v>2027</v>
      </c>
    </row>
    <row r="110" spans="5:10" ht="15.75" customHeight="1">
      <c r="E110" s="2"/>
      <c r="F110" s="146"/>
      <c r="G110" s="609"/>
      <c r="H110" s="609">
        <v>26</v>
      </c>
      <c r="I110" s="611" t="s">
        <v>250</v>
      </c>
      <c r="J110" s="628">
        <v>2027</v>
      </c>
    </row>
    <row r="111" spans="5:10" ht="15.75" customHeight="1">
      <c r="E111" s="2"/>
      <c r="F111" s="146"/>
      <c r="G111" s="609"/>
      <c r="H111" s="609">
        <v>27</v>
      </c>
      <c r="I111" s="611" t="s">
        <v>251</v>
      </c>
      <c r="J111" s="628">
        <v>2027</v>
      </c>
    </row>
    <row r="112" spans="5:10" ht="15.75" customHeight="1">
      <c r="E112" s="2"/>
      <c r="F112" s="146"/>
      <c r="G112" s="609"/>
      <c r="H112" s="609">
        <v>28</v>
      </c>
      <c r="I112" s="611" t="s">
        <v>252</v>
      </c>
      <c r="J112" s="628">
        <v>2027</v>
      </c>
    </row>
    <row r="113" spans="5:10" ht="15.75" customHeight="1">
      <c r="E113" s="2"/>
      <c r="F113" s="146"/>
      <c r="G113" s="609"/>
      <c r="H113" s="609">
        <v>29</v>
      </c>
      <c r="I113" s="611" t="s">
        <v>253</v>
      </c>
      <c r="J113" s="628">
        <v>2027</v>
      </c>
    </row>
    <row r="114" spans="5:10" ht="15.75" customHeight="1">
      <c r="E114" s="2"/>
      <c r="F114" s="146"/>
      <c r="G114" s="609"/>
      <c r="H114" s="609">
        <v>30</v>
      </c>
      <c r="I114" s="611" t="s">
        <v>254</v>
      </c>
      <c r="J114" s="628">
        <v>2027</v>
      </c>
    </row>
    <row r="115" spans="5:10" ht="15.75" customHeight="1">
      <c r="E115" s="2"/>
      <c r="F115" s="146"/>
      <c r="G115" s="609"/>
      <c r="H115" s="609">
        <v>31</v>
      </c>
      <c r="I115" s="611" t="s">
        <v>255</v>
      </c>
      <c r="J115" s="628">
        <v>2027</v>
      </c>
    </row>
    <row r="116" spans="5:10" ht="15.75" customHeight="1">
      <c r="E116" s="2"/>
      <c r="F116" s="146"/>
      <c r="G116" s="609"/>
      <c r="H116" s="609">
        <v>32</v>
      </c>
      <c r="I116" s="611" t="s">
        <v>256</v>
      </c>
      <c r="J116" s="628">
        <v>2027</v>
      </c>
    </row>
    <row r="117" spans="5:10" ht="15.75" customHeight="1">
      <c r="E117" s="2"/>
      <c r="F117" s="146"/>
      <c r="G117" s="609"/>
      <c r="H117" s="609">
        <v>33</v>
      </c>
      <c r="I117" s="611" t="s">
        <v>257</v>
      </c>
      <c r="J117" s="628">
        <v>2027</v>
      </c>
    </row>
  </sheetData>
  <conditionalFormatting sqref="AJ2:AJ23 AL2:AL23 AN2:AN23 AP2:AP23 AR2:AR23 AT2:AT23 AV2:AV23 AX2:AX23 AZ2:AZ23 BB2:BB23 BB28 AZ28 AX28 AV28 AT28 AR28 AP28 AN28 AL28 AJ28 AJ30 AL30 AN30 AP30 AR30 AT30 AV30 AX30 AZ30 BB30 BB25:BB26 AZ25:AZ26 AX25:AX26 AV25:AV26 AT25:AT26 AR25:AR26 AP25:AP26 AN25:AN26 AL25:AL26 AJ25:AJ26 BB32:BB144 AZ32:AZ144 AX32:AX144 AV32:AV144 AT32:AT144 AR32:AR144 AP32:AP144 AN32:AN144 AL32:AL144 AJ32:AJ144">
    <cfRule type="colorScale" priority="12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29 AO29 AQ29 AS29 AU29 AW29 AY29 BC29 BE29">
    <cfRule type="colorScale" priority="7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31 AO31 AQ31 AS31 AU31 AW31 AY31 BC31 BE31">
    <cfRule type="colorScale" priority="4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O24 AM24 AQ24 AS24 AU24 AW24 AY24 BC24 BE24">
    <cfRule type="colorScale" priority="2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O27 AM27 AQ27 AS27 AU27 AW27 AY27 BC27 BE27">
    <cfRule type="colorScale" priority="9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23 BD28 BD30 BD25:BD26 BD32:BD144">
    <cfRule type="colorScale" priority="1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23 BF28 BF30 BF25:BF26 BF32:BF144">
    <cfRule type="colorScale" priority="1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24">
    <cfRule type="colorScale" priority="2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27">
    <cfRule type="colorScale" priority="9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29">
    <cfRule type="colorScale" priority="7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31">
    <cfRule type="colorScale" priority="4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H2:BH23 BH28 BH30 BH25:BH26 BH32:BH144">
    <cfRule type="colorScale" priority="1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24">
    <cfRule type="colorScale" priority="2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27">
    <cfRule type="colorScale" priority="9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29">
    <cfRule type="colorScale" priority="6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31">
    <cfRule type="colorScale" priority="4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J2:BJ23 BJ28 BJ30 BJ25:BJ26 BJ32:BJ144">
    <cfRule type="colorScale" priority="1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2:BL23 BL28 BL30 BL25:BL26 BL32:BL144">
    <cfRule type="colorScale" priority="10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24">
    <cfRule type="colorScale" priority="2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27">
    <cfRule type="colorScale" priority="9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29">
    <cfRule type="colorScale" priority="6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31">
    <cfRule type="colorScale" priority="4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2:BN23 BN28 BN30 BN25:BN26 BN32:BN144">
    <cfRule type="colorScale" priority="10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24">
    <cfRule type="colorScale" priority="1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27">
    <cfRule type="colorScale" priority="8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29">
    <cfRule type="colorScale" priority="6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31">
    <cfRule type="colorScale" priority="4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2:BP23 BP28 BP30 BP25:BP26 BP32:BP144">
    <cfRule type="colorScale" priority="10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24">
    <cfRule type="colorScale" priority="1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27">
    <cfRule type="colorScale" priority="8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29">
    <cfRule type="colorScale" priority="6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31">
    <cfRule type="colorScale" priority="4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2:BR23 BR28 BR30 BR25:BR26 BR32:BR144">
    <cfRule type="colorScale" priority="10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24">
    <cfRule type="colorScale" priority="1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27">
    <cfRule type="colorScale" priority="8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29">
    <cfRule type="colorScale" priority="6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31">
    <cfRule type="colorScale" priority="4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2:BT23 BT28 BT30 BT25:BT26 BT32:BT144">
    <cfRule type="colorScale" priority="10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24">
    <cfRule type="colorScale" priority="1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27">
    <cfRule type="colorScale" priority="8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29">
    <cfRule type="colorScale" priority="6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31">
    <cfRule type="colorScale" priority="4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2:BV23 BV28 BV30 BV25:BV26 BV32:BV144">
    <cfRule type="colorScale" priority="10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24">
    <cfRule type="colorScale" priority="1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27">
    <cfRule type="colorScale" priority="8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29">
    <cfRule type="colorScale" priority="6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31">
    <cfRule type="colorScale" priority="4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2:BX23 BX28 BX30 BX25:BX26 BX32:BX144">
    <cfRule type="colorScale" priority="10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24">
    <cfRule type="colorScale" priority="1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27">
    <cfRule type="colorScale" priority="8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29">
    <cfRule type="colorScale" priority="6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31">
    <cfRule type="colorScale" priority="4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2:BZ23 BZ28 BZ30 BZ25:BZ26 BZ32:BZ144">
    <cfRule type="colorScale" priority="10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24">
    <cfRule type="colorScale" priority="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27">
    <cfRule type="colorScale" priority="8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29">
    <cfRule type="colorScale" priority="6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31">
    <cfRule type="colorScale" priority="3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2:CB23 CB28 CB30 CB25:CB26 CB32:CB144">
    <cfRule type="colorScale" priority="10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24">
    <cfRule type="colorScale" priority="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27">
    <cfRule type="colorScale" priority="8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29">
    <cfRule type="colorScale" priority="6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31">
    <cfRule type="colorScale" priority="3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2:CD23 CD28 CD30 CD25:CD26 CD32:CD144">
    <cfRule type="colorScale" priority="9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24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27">
    <cfRule type="colorScale" priority="8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29">
    <cfRule type="colorScale" priority="5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31">
    <cfRule type="colorScale" priority="3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2:CF23 CF28 CF30 CF25:CF26 CF32:CF144">
    <cfRule type="colorScale" priority="9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24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27">
    <cfRule type="colorScale" priority="8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29">
    <cfRule type="colorScale" priority="5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31">
    <cfRule type="colorScale" priority="3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2:CH23 CH28 CH30 CH25:CH26 CH32:CH144">
    <cfRule type="colorScale" priority="9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24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27">
    <cfRule type="colorScale" priority="7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29">
    <cfRule type="colorScale" priority="5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31">
    <cfRule type="colorScale" priority="3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2:CJ23 CJ28 CJ30 CJ25:CJ26 CJ32:CJ144">
    <cfRule type="colorScale" priority="9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24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27">
    <cfRule type="colorScale" priority="7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29">
    <cfRule type="colorScale" priority="5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31">
    <cfRule type="colorScale" priority="3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2:CL23 CL28 CL30 CL25:CL26 CL32:CL144">
    <cfRule type="colorScale" priority="9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24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27">
    <cfRule type="colorScale" priority="7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29">
    <cfRule type="colorScale" priority="5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31">
    <cfRule type="colorScale" priority="3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2:CN23 CN28 CN30 CN25:CN26 CN32:CN144">
    <cfRule type="colorScale" priority="9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24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27">
    <cfRule type="colorScale" priority="7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29">
    <cfRule type="colorScale" priority="5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31">
    <cfRule type="colorScale" priority="3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2:CP23 CP28 CP30 CP25:CP26 CP32:CP144">
    <cfRule type="colorScale" priority="10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24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27">
    <cfRule type="colorScale" priority="7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29">
    <cfRule type="colorScale" priority="5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31">
    <cfRule type="colorScale" priority="3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2:CR23 CR28 CR30 CR25:CR26 CR32:CR144">
    <cfRule type="colorScale" priority="2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24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27">
    <cfRule type="colorScale" priority="2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29">
    <cfRule type="colorScale" priority="2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31">
    <cfRule type="colorScale" priority="2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T24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V24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X24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K6" r:id="rId1" xr:uid="{00000000-0004-0000-0400-000002000000}"/>
    <hyperlink ref="G13" r:id="rId2" xr:uid="{00000000-0004-0000-0400-000003000000}"/>
    <hyperlink ref="I13" r:id="rId3" xr:uid="{00000000-0004-0000-0400-000004000000}"/>
    <hyperlink ref="G15" r:id="rId4" xr:uid="{00000000-0004-0000-0400-000005000000}"/>
    <hyperlink ref="I15" r:id="rId5" xr:uid="{00000000-0004-0000-0400-000006000000}"/>
    <hyperlink ref="G33" r:id="rId6" xr:uid="{00000000-0004-0000-0400-000007000000}"/>
    <hyperlink ref="I33" r:id="rId7" xr:uid="{00000000-0004-0000-0400-000008000000}"/>
    <hyperlink ref="G34" r:id="rId8" xr:uid="{00000000-0004-0000-0400-000009000000}"/>
    <hyperlink ref="I34" r:id="rId9" xr:uid="{00000000-0004-0000-0400-00000A000000}"/>
    <hyperlink ref="G36" r:id="rId10" xr:uid="{00000000-0004-0000-0400-00000B000000}"/>
    <hyperlink ref="I36" r:id="rId11" xr:uid="{00000000-0004-0000-0400-00000C000000}"/>
    <hyperlink ref="G38" r:id="rId12" xr:uid="{00000000-0004-0000-0400-00000D000000}"/>
    <hyperlink ref="I38" r:id="rId13" xr:uid="{00000000-0004-0000-0400-00000E000000}"/>
    <hyperlink ref="G55" r:id="rId14" xr:uid="{00000000-0004-0000-0400-00000F000000}"/>
    <hyperlink ref="I55" r:id="rId15" xr:uid="{00000000-0004-0000-0400-000010000000}"/>
    <hyperlink ref="G2" r:id="rId16" xr:uid="{00000000-0004-0000-0400-000001000000}"/>
  </hyperlinks>
  <pageMargins left="0.7" right="0.7" top="0.75" bottom="0.75" header="0.3" footer="0.3"/>
  <pageSetup paperSize="9" orientation="portrait" useFirstPageNumber="1" horizontalDpi="4294967295" verticalDpi="4294967295"/>
  <legacy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CF80"/>
  <sheetViews>
    <sheetView zoomScale="85" zoomScaleNormal="85" workbookViewId="0">
      <pane xSplit="2" ySplit="1" topLeftCell="F2" activePane="bottomRight" state="frozen"/>
      <selection activeCell="H1" sqref="H1"/>
      <selection pane="topRight" activeCell="H1" sqref="H1"/>
      <selection pane="bottomLeft" activeCell="H1" sqref="H1"/>
      <selection pane="bottomRight" activeCell="K52" sqref="K52"/>
    </sheetView>
  </sheetViews>
  <sheetFormatPr defaultColWidth="9.140625" defaultRowHeight="15.75" customHeight="1"/>
  <cols>
    <col min="1" max="1" width="9.140625" style="1" customWidth="1"/>
    <col min="2" max="2" width="47.140625" style="2" customWidth="1"/>
    <col min="3" max="3" width="141.5703125" style="12" customWidth="1"/>
    <col min="4" max="4" width="7.140625" style="2" customWidth="1"/>
    <col min="5" max="5" width="143.7109375" style="12" customWidth="1"/>
    <col min="6" max="6" width="30" style="609" customWidth="1"/>
    <col min="7" max="7" width="32.28515625" style="611" customWidth="1"/>
    <col min="8" max="8" width="22" style="609" customWidth="1"/>
    <col min="9" max="9" width="36.28515625" style="611" customWidth="1"/>
    <col min="10" max="10" width="10.5703125" style="609" customWidth="1"/>
    <col min="11" max="11" width="23.5703125" style="611" customWidth="1"/>
    <col min="12" max="12" width="9.28515625" style="609" customWidth="1"/>
    <col min="13" max="13" width="24.42578125" style="611" customWidth="1"/>
    <col min="14" max="14" width="9.140625" style="609" customWidth="1"/>
    <col min="15" max="15" width="36.85546875" style="611" customWidth="1"/>
    <col min="16" max="16" width="9.140625" style="609" customWidth="1"/>
    <col min="17" max="17" width="16.140625" style="611" customWidth="1"/>
    <col min="18" max="18" width="9.140625" style="609" customWidth="1"/>
    <col min="19" max="19" width="9.140625" style="611" customWidth="1"/>
    <col min="20" max="20" width="9.140625" style="609" customWidth="1"/>
    <col min="21" max="21" width="9.140625" style="611" customWidth="1"/>
    <col min="22" max="22" width="9.140625" style="609" customWidth="1"/>
    <col min="23" max="23" width="9.42578125" style="611" customWidth="1"/>
    <col min="24" max="24" width="11.7109375" style="2" customWidth="1"/>
    <col min="25" max="25" width="5.85546875" style="12" customWidth="1"/>
    <col min="26" max="26" width="11.5703125" style="2" customWidth="1"/>
    <col min="27" max="27" width="5.85546875" style="12" customWidth="1"/>
    <col min="28" max="28" width="9.7109375" style="2" customWidth="1"/>
    <col min="29" max="29" width="5.85546875" style="12" customWidth="1"/>
    <col min="30" max="30" width="11.85546875" style="2" customWidth="1"/>
    <col min="31" max="31" width="23.28515625" style="12" customWidth="1"/>
    <col min="32" max="32" width="10" style="2" customWidth="1"/>
    <col min="33" max="33" width="30" style="2" customWidth="1"/>
    <col min="34" max="34" width="20.28515625" style="2" customWidth="1"/>
    <col min="35" max="35" width="9.5703125" style="12" customWidth="1"/>
    <col min="36" max="36" width="14" style="2" customWidth="1"/>
    <col min="37" max="37" width="9.5703125" style="12" customWidth="1"/>
    <col min="38" max="38" width="18.5703125" style="2" customWidth="1"/>
    <col min="39" max="39" width="9.5703125" style="12" customWidth="1"/>
    <col min="40" max="40" width="9.140625" style="2" customWidth="1"/>
    <col min="41" max="41" width="13.28515625" style="2" customWidth="1"/>
    <col min="42" max="42" width="9.5703125" style="12" customWidth="1"/>
    <col min="43" max="43" width="20" style="2" customWidth="1"/>
    <col min="44" max="44" width="9.5703125" style="12" customWidth="1"/>
    <col min="45" max="45" width="20" style="2" customWidth="1"/>
    <col min="46" max="46" width="9.5703125" style="12" customWidth="1"/>
    <col min="47" max="47" width="20" style="2" customWidth="1"/>
    <col min="48" max="48" width="9.5703125" style="12" customWidth="1"/>
    <col min="49" max="49" width="20" style="2" customWidth="1"/>
    <col min="50" max="50" width="9.5703125" style="12" customWidth="1"/>
    <col min="51" max="51" width="20" style="2" customWidth="1"/>
    <col min="52" max="52" width="9.5703125" style="12" customWidth="1"/>
    <col min="53" max="53" width="20" style="2" customWidth="1"/>
    <col min="54" max="54" width="9.5703125" style="12" customWidth="1"/>
    <col min="55" max="55" width="20" style="2" customWidth="1"/>
    <col min="56" max="56" width="9.5703125" style="12" customWidth="1"/>
    <col min="57" max="57" width="20" style="2" customWidth="1"/>
    <col min="58" max="58" width="9.5703125" style="12" customWidth="1"/>
    <col min="59" max="59" width="20" style="2" customWidth="1"/>
    <col min="60" max="60" width="9.5703125" style="12" customWidth="1"/>
    <col min="61" max="61" width="20" style="2" customWidth="1"/>
    <col min="62" max="62" width="9.5703125" style="12" customWidth="1"/>
    <col min="63" max="63" width="20" style="2" customWidth="1"/>
    <col min="64" max="64" width="9.5703125" style="12" customWidth="1"/>
    <col min="65" max="65" width="20" style="2" customWidth="1"/>
    <col min="66" max="66" width="9.5703125" style="12" customWidth="1"/>
    <col min="67" max="67" width="20" style="2" customWidth="1"/>
    <col min="68" max="68" width="9.5703125" style="12" customWidth="1"/>
    <col min="69" max="69" width="20" style="2" customWidth="1"/>
    <col min="70" max="70" width="9.5703125" style="1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16384" width="9.140625" style="2"/>
  </cols>
  <sheetData>
    <row r="1" spans="1:84" ht="15.75" customHeight="1">
      <c r="A1" s="5" t="s">
        <v>0</v>
      </c>
      <c r="B1" s="37" t="s">
        <v>60</v>
      </c>
      <c r="C1" s="38" t="s">
        <v>61</v>
      </c>
      <c r="D1" s="39" t="s">
        <v>3</v>
      </c>
      <c r="E1" s="40"/>
      <c r="F1" s="609" t="s">
        <v>4</v>
      </c>
      <c r="G1" s="2558">
        <f>8*60*1000*SpeedFaktor</f>
        <v>480000</v>
      </c>
      <c r="H1" s="609">
        <v>10</v>
      </c>
      <c r="V1" s="624" t="s">
        <v>5</v>
      </c>
      <c r="W1" s="611" t="s">
        <v>262</v>
      </c>
      <c r="X1" s="3" t="s">
        <v>324</v>
      </c>
      <c r="Y1" s="24" t="s">
        <v>8</v>
      </c>
      <c r="Z1" s="3" t="s">
        <v>10</v>
      </c>
      <c r="AA1" s="24" t="s">
        <v>8</v>
      </c>
      <c r="AB1" s="2" t="s">
        <v>11</v>
      </c>
      <c r="AC1" s="24" t="s">
        <v>8</v>
      </c>
      <c r="AD1" s="2" t="s">
        <v>12</v>
      </c>
      <c r="AE1" s="24" t="s">
        <v>8</v>
      </c>
      <c r="AF1" s="2" t="s">
        <v>13</v>
      </c>
      <c r="AG1" s="2" t="s">
        <v>65</v>
      </c>
      <c r="AH1" s="2" t="s">
        <v>17</v>
      </c>
      <c r="AI1" s="24" t="s">
        <v>8</v>
      </c>
      <c r="AJ1" s="96" t="s">
        <v>1285</v>
      </c>
      <c r="AK1" s="24" t="s">
        <v>8</v>
      </c>
      <c r="AL1" s="96" t="s">
        <v>1286</v>
      </c>
      <c r="AM1" s="24" t="s">
        <v>8</v>
      </c>
      <c r="AO1" s="665" t="s">
        <v>1306</v>
      </c>
      <c r="AP1" s="24" t="s">
        <v>8</v>
      </c>
      <c r="AQ1" s="794" t="s">
        <v>1311</v>
      </c>
      <c r="AR1" s="24" t="s">
        <v>8</v>
      </c>
      <c r="AS1" s="920" t="s">
        <v>1318</v>
      </c>
      <c r="AT1" s="24" t="s">
        <v>8</v>
      </c>
      <c r="AU1" s="1045" t="s">
        <v>1322</v>
      </c>
      <c r="AV1" s="24" t="s">
        <v>8</v>
      </c>
      <c r="AW1" s="1067" t="s">
        <v>1324</v>
      </c>
      <c r="AX1" s="24" t="s">
        <v>8</v>
      </c>
      <c r="AY1" s="1189" t="s">
        <v>1327</v>
      </c>
      <c r="AZ1" s="24" t="s">
        <v>8</v>
      </c>
      <c r="BA1" s="1246" t="s">
        <v>1335</v>
      </c>
      <c r="BB1" s="24" t="s">
        <v>8</v>
      </c>
      <c r="BC1" s="1267" t="s">
        <v>1341</v>
      </c>
      <c r="BD1" s="24" t="s">
        <v>8</v>
      </c>
      <c r="BE1" s="1492" t="s">
        <v>1361</v>
      </c>
      <c r="BF1" s="24" t="s">
        <v>8</v>
      </c>
      <c r="BG1" s="1502" t="s">
        <v>1363</v>
      </c>
      <c r="BH1" s="24" t="s">
        <v>8</v>
      </c>
      <c r="BI1" s="1649" t="s">
        <v>1368</v>
      </c>
      <c r="BJ1" s="24" t="s">
        <v>8</v>
      </c>
      <c r="BK1" s="1790" t="s">
        <v>1371</v>
      </c>
      <c r="BL1" s="24" t="s">
        <v>8</v>
      </c>
      <c r="BM1" s="1933" t="s">
        <v>1375</v>
      </c>
      <c r="BN1" s="24" t="s">
        <v>8</v>
      </c>
      <c r="BO1" s="1995" t="s">
        <v>1391</v>
      </c>
      <c r="BP1" s="24" t="s">
        <v>8</v>
      </c>
      <c r="BQ1" s="2567" t="s">
        <v>1442</v>
      </c>
      <c r="BR1" s="24" t="s">
        <v>8</v>
      </c>
      <c r="BS1" s="2748" t="s">
        <v>1460</v>
      </c>
      <c r="BT1" s="2749" t="s">
        <v>572</v>
      </c>
      <c r="BU1" s="2920" t="s">
        <v>1472</v>
      </c>
      <c r="BV1" s="2921" t="s">
        <v>572</v>
      </c>
      <c r="BW1" s="3108" t="s">
        <v>1492</v>
      </c>
      <c r="BX1" s="3109" t="s">
        <v>572</v>
      </c>
      <c r="BY1" s="3290" t="s">
        <v>1503</v>
      </c>
      <c r="BZ1" s="3291" t="s">
        <v>572</v>
      </c>
      <c r="CA1" s="3462" t="s">
        <v>1519</v>
      </c>
      <c r="CB1" s="3463" t="s">
        <v>572</v>
      </c>
      <c r="CC1" s="3748" t="s">
        <v>1666</v>
      </c>
      <c r="CD1" s="3749" t="s">
        <v>572</v>
      </c>
      <c r="CE1" s="3973" t="s">
        <v>1717</v>
      </c>
      <c r="CF1" s="3974" t="s">
        <v>572</v>
      </c>
    </row>
    <row r="2" spans="1:84" s="10" customFormat="1" ht="15.75" customHeight="1">
      <c r="A2" s="658">
        <v>1</v>
      </c>
      <c r="B2" s="659" t="s">
        <v>21</v>
      </c>
      <c r="C2" s="660" t="str">
        <f>'001a'!B59</f>
        <v>{"url":p.aventisURL}</v>
      </c>
      <c r="D2" s="2"/>
      <c r="E2" s="12" t="str">
        <f>F2&amp;G2&amp;H2&amp;I2&amp;J2&amp;K2&amp;L2&amp;M2&amp;N2&amp;O2&amp;P2&amp;Q2&amp;R2&amp;S2&amp;T2&amp;U2&amp;V2</f>
        <v>{"url":"https://dev.aventis.swiss"}</v>
      </c>
      <c r="F2" s="611" t="s">
        <v>67</v>
      </c>
      <c r="G2" s="612" t="s">
        <v>68</v>
      </c>
      <c r="H2" s="611" t="s">
        <v>37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>
        <v>1434</v>
      </c>
      <c r="X2" s="2">
        <v>2274</v>
      </c>
      <c r="Y2" s="165">
        <f>X2/($W2)</f>
        <v>1.5857740585774058</v>
      </c>
      <c r="Z2" s="2">
        <v>1681</v>
      </c>
      <c r="AA2" s="165">
        <f>Z2/($W2)</f>
        <v>1.1722454672245468</v>
      </c>
      <c r="AB2" s="2">
        <v>1383</v>
      </c>
      <c r="AC2" s="165">
        <f>AB2/($W2)</f>
        <v>0.96443514644351469</v>
      </c>
      <c r="AD2" s="2">
        <v>1537</v>
      </c>
      <c r="AE2" s="165">
        <f>AD2/($W2)</f>
        <v>1.0718270571827058</v>
      </c>
      <c r="AF2" s="2">
        <v>1482</v>
      </c>
      <c r="AG2" s="2">
        <v>1461</v>
      </c>
      <c r="AH2" s="2">
        <v>974</v>
      </c>
      <c r="AI2" s="132">
        <f t="shared" ref="AI2:AM53" si="0">AH2/$AJ2</f>
        <v>1.0563991323210413</v>
      </c>
      <c r="AJ2" s="2">
        <v>922</v>
      </c>
      <c r="AK2" s="132">
        <f t="shared" si="0"/>
        <v>1</v>
      </c>
      <c r="AL2" s="2">
        <v>527</v>
      </c>
      <c r="AM2" s="132">
        <f t="shared" si="0"/>
        <v>0.57158351409978303</v>
      </c>
      <c r="AO2" s="10">
        <v>1478</v>
      </c>
      <c r="AP2" s="132">
        <f t="shared" ref="AP2:AX53" si="1">AO2/$AJ2</f>
        <v>1.6030368763557483</v>
      </c>
      <c r="AQ2" s="10">
        <v>1459</v>
      </c>
      <c r="AR2" s="132">
        <f t="shared" si="1"/>
        <v>1.5824295010845988</v>
      </c>
      <c r="AS2" s="10">
        <v>1357</v>
      </c>
      <c r="AT2" s="132">
        <f t="shared" si="1"/>
        <v>1.4718004338394794</v>
      </c>
      <c r="AU2" s="10">
        <v>1481</v>
      </c>
      <c r="AV2" s="132">
        <f t="shared" si="1"/>
        <v>1.6062906724511932</v>
      </c>
      <c r="AW2" s="10">
        <v>1345</v>
      </c>
      <c r="AX2" s="132">
        <f t="shared" si="1"/>
        <v>1.4587852494577007</v>
      </c>
      <c r="AY2" s="10">
        <v>1544</v>
      </c>
      <c r="AZ2" s="132">
        <f t="shared" ref="AZ2:AZ53" si="2">AY2/$AJ2</f>
        <v>1.6746203904555315</v>
      </c>
      <c r="BA2" s="10">
        <v>1540</v>
      </c>
      <c r="BB2" s="132">
        <f t="shared" ref="BB2:BB53" si="3">BA2/$AJ2</f>
        <v>1.6702819956616053</v>
      </c>
      <c r="BC2" s="10">
        <v>1136</v>
      </c>
      <c r="BD2" s="132">
        <f t="shared" ref="BD2:BL53" si="4">BC2/$AJ2</f>
        <v>1.2321041214750543</v>
      </c>
      <c r="BE2" s="10">
        <v>1257</v>
      </c>
      <c r="BF2" s="132">
        <f t="shared" si="4"/>
        <v>1.3633405639913232</v>
      </c>
      <c r="BG2" s="10">
        <v>1256</v>
      </c>
      <c r="BH2" s="132">
        <f t="shared" si="4"/>
        <v>1.3622559652928417</v>
      </c>
      <c r="BI2" s="10">
        <v>1239</v>
      </c>
      <c r="BJ2" s="132">
        <f t="shared" si="4"/>
        <v>1.3438177874186552</v>
      </c>
      <c r="BK2" s="10">
        <v>1190</v>
      </c>
      <c r="BL2" s="132">
        <f t="shared" si="4"/>
        <v>1.2906724511930585</v>
      </c>
      <c r="BM2" s="10">
        <v>1681</v>
      </c>
      <c r="BN2" s="132">
        <f t="shared" ref="BN2:BN53" si="5">BM2/$AJ2</f>
        <v>1.8232104121475055</v>
      </c>
      <c r="BO2" s="10">
        <v>1516</v>
      </c>
      <c r="BP2" s="132">
        <f t="shared" ref="BP2:BP33" si="6">BO2/$AJ2</f>
        <v>1.6442516268980478</v>
      </c>
      <c r="BQ2" s="10">
        <v>1115</v>
      </c>
      <c r="BR2" s="132">
        <f t="shared" ref="BR2:BR53" si="7">BQ2/$AJ2</f>
        <v>1.2093275488069415</v>
      </c>
      <c r="BS2" s="10">
        <v>1105</v>
      </c>
      <c r="BU2" s="10">
        <v>1410</v>
      </c>
      <c r="BW2" s="10">
        <v>1156</v>
      </c>
      <c r="BY2" s="10">
        <v>1251</v>
      </c>
      <c r="CA2" s="10">
        <v>1182</v>
      </c>
      <c r="CC2" s="10">
        <v>957</v>
      </c>
      <c r="CE2" s="10">
        <v>984</v>
      </c>
      <c r="CF2" s="10" t="s">
        <v>1718</v>
      </c>
    </row>
    <row r="3" spans="1:84" s="10" customFormat="1" ht="15.75" customHeight="1">
      <c r="A3" s="658">
        <v>2</v>
      </c>
      <c r="B3" s="661" t="s">
        <v>25</v>
      </c>
      <c r="C3" s="662" t="str">
        <f>E3</f>
        <v>{"username":"bern.sozialarbeiterin1a@diartis.ch","password":"SMze97-jkSJ59!F.","fullname":"Sozialarbeiterin 1A Bern","team":"Sozialarbeit Bern 1"}</v>
      </c>
      <c r="D3" s="2"/>
      <c r="E3" s="12" t="str">
        <f>F3&amp;G3&amp;H3&amp;I3&amp;J3&amp;K3&amp;L3&amp;M3&amp;N3&amp;O3&amp;P3&amp;Q3&amp;R3&amp;S3&amp;T3&amp;U3&amp;V3</f>
        <v>{"username":"bern.sozialarbeiterin1a@diartis.ch","password":"SMze97-jkSJ59!F.","fullname":"Sozialarbeiterin 1A Bern","team":"Sozialarbeit Bern 1"}</v>
      </c>
      <c r="F3" s="611" t="s">
        <v>29</v>
      </c>
      <c r="G3" s="611" t="s">
        <v>71</v>
      </c>
      <c r="H3" s="611" t="s">
        <v>31</v>
      </c>
      <c r="I3" s="611" t="s">
        <v>72</v>
      </c>
      <c r="J3" s="611" t="s">
        <v>73</v>
      </c>
      <c r="K3" s="611" t="s">
        <v>74</v>
      </c>
      <c r="L3" s="611" t="s">
        <v>75</v>
      </c>
      <c r="M3" s="611" t="s">
        <v>76</v>
      </c>
      <c r="N3" s="611" t="s">
        <v>37</v>
      </c>
      <c r="O3" s="611"/>
      <c r="P3" s="611"/>
      <c r="Q3" s="611"/>
      <c r="R3" s="611"/>
      <c r="S3" s="611"/>
      <c r="T3" s="611"/>
      <c r="U3" s="611"/>
      <c r="V3" s="611"/>
      <c r="W3" s="611">
        <v>9005</v>
      </c>
      <c r="X3" s="2">
        <v>9034</v>
      </c>
      <c r="Y3" s="165">
        <f t="shared" ref="Y3:AE53" si="8">X3/($W3)</f>
        <v>1.0032204330927263</v>
      </c>
      <c r="Z3" s="2">
        <v>9316</v>
      </c>
      <c r="AA3" s="165">
        <f t="shared" si="8"/>
        <v>1.0345363686840645</v>
      </c>
      <c r="AB3" s="2">
        <v>9356</v>
      </c>
      <c r="AC3" s="165">
        <f t="shared" si="8"/>
        <v>1.0389783453636869</v>
      </c>
      <c r="AD3" s="2">
        <v>9447</v>
      </c>
      <c r="AE3" s="165">
        <f t="shared" si="8"/>
        <v>1.0490838423098279</v>
      </c>
      <c r="AF3" s="2">
        <v>9042</v>
      </c>
      <c r="AG3" s="2">
        <v>9269</v>
      </c>
      <c r="AH3" s="2">
        <v>6439</v>
      </c>
      <c r="AI3" s="132">
        <f t="shared" si="0"/>
        <v>0.97886895712982669</v>
      </c>
      <c r="AJ3" s="2">
        <v>6578</v>
      </c>
      <c r="AK3" s="132">
        <f t="shared" si="0"/>
        <v>1</v>
      </c>
      <c r="AL3" s="2">
        <v>4779</v>
      </c>
      <c r="AM3" s="132">
        <f t="shared" si="0"/>
        <v>0.72651261781696563</v>
      </c>
      <c r="AO3" s="10">
        <v>7247</v>
      </c>
      <c r="AP3" s="132">
        <f t="shared" si="1"/>
        <v>1.101702645180906</v>
      </c>
      <c r="AQ3" s="10">
        <v>7813</v>
      </c>
      <c r="AR3" s="132">
        <f t="shared" si="1"/>
        <v>1.1877470355731226</v>
      </c>
      <c r="AS3" s="10">
        <v>7834</v>
      </c>
      <c r="AT3" s="132">
        <f t="shared" si="1"/>
        <v>1.1909394952873213</v>
      </c>
      <c r="AU3" s="10">
        <v>7689</v>
      </c>
      <c r="AV3" s="132">
        <f t="shared" si="1"/>
        <v>1.1688963210702341</v>
      </c>
      <c r="AW3" s="10">
        <v>7889</v>
      </c>
      <c r="AX3" s="132">
        <f t="shared" si="1"/>
        <v>1.1993006993006994</v>
      </c>
      <c r="AY3" s="10">
        <v>7731</v>
      </c>
      <c r="AZ3" s="132">
        <f t="shared" si="2"/>
        <v>1.1752812404986317</v>
      </c>
      <c r="BA3" s="10">
        <v>8047</v>
      </c>
      <c r="BB3" s="132">
        <f t="shared" si="3"/>
        <v>1.2233201581027668</v>
      </c>
      <c r="BC3" s="10">
        <v>7070</v>
      </c>
      <c r="BD3" s="132">
        <f t="shared" si="4"/>
        <v>1.0747947704469443</v>
      </c>
      <c r="BE3" s="10">
        <v>7612</v>
      </c>
      <c r="BF3" s="132">
        <f t="shared" si="4"/>
        <v>1.1571906354515049</v>
      </c>
      <c r="BG3" s="10">
        <v>7614</v>
      </c>
      <c r="BH3" s="132">
        <f t="shared" si="4"/>
        <v>1.1574946792338097</v>
      </c>
      <c r="BI3" s="10">
        <v>7221</v>
      </c>
      <c r="BJ3" s="132">
        <f t="shared" si="4"/>
        <v>1.0977500760109455</v>
      </c>
      <c r="BK3" s="10">
        <v>7156</v>
      </c>
      <c r="BL3" s="132">
        <f t="shared" si="4"/>
        <v>1.0878686530860444</v>
      </c>
      <c r="BM3" s="10">
        <v>10877</v>
      </c>
      <c r="BN3" s="132">
        <f t="shared" si="5"/>
        <v>1.6535421100638492</v>
      </c>
      <c r="BO3" s="10">
        <v>6913</v>
      </c>
      <c r="BP3" s="132">
        <f t="shared" si="6"/>
        <v>1.0509273335360292</v>
      </c>
      <c r="BQ3" s="10">
        <v>7040</v>
      </c>
      <c r="BR3" s="132">
        <f t="shared" si="7"/>
        <v>1.0702341137123745</v>
      </c>
      <c r="BS3" s="10">
        <v>8547</v>
      </c>
      <c r="BU3" s="10">
        <v>7724</v>
      </c>
      <c r="BW3" s="10">
        <v>9118</v>
      </c>
      <c r="BY3" s="10">
        <v>8233</v>
      </c>
      <c r="CA3" s="10">
        <v>8559</v>
      </c>
      <c r="CC3" s="3750">
        <v>0</v>
      </c>
      <c r="CD3" s="3751" t="s">
        <v>1669</v>
      </c>
      <c r="CE3" s="10">
        <v>7836</v>
      </c>
      <c r="CF3" s="10" t="s">
        <v>1718</v>
      </c>
    </row>
    <row r="4" spans="1:84" s="10" customFormat="1" ht="15.75" hidden="1" customHeight="1">
      <c r="A4" s="658"/>
      <c r="B4" s="659" t="s">
        <v>77</v>
      </c>
      <c r="C4" s="661" t="e">
        <f>E4</f>
        <v>#REF!</v>
      </c>
      <c r="D4" s="2"/>
      <c r="E4" s="12" t="e">
        <f>F4&amp;G4&amp;H4&amp;I4&amp;J4&amp;K4&amp;L4&amp;M4&amp;N4&amp;O4&amp;P4&amp;Q4&amp;R4&amp;S4&amp;T4&amp;U4&amp;V4&amp;#REF!&amp;#REF!</f>
        <v>#REF!</v>
      </c>
      <c r="F4" s="146" t="s">
        <v>78</v>
      </c>
      <c r="G4" s="611" t="str">
        <f>G$61</f>
        <v>p.FamilyName3</v>
      </c>
      <c r="H4" s="611" t="s">
        <v>79</v>
      </c>
      <c r="I4" s="611" t="str">
        <f>H$60</f>
        <v>p.ManFirstName3</v>
      </c>
      <c r="J4" s="611" t="s">
        <v>80</v>
      </c>
      <c r="K4" s="611"/>
      <c r="L4" s="611" t="s">
        <v>81</v>
      </c>
      <c r="M4" s="613"/>
      <c r="N4" s="611" t="s">
        <v>37</v>
      </c>
      <c r="O4" s="611"/>
      <c r="P4" s="611"/>
      <c r="Q4" s="611"/>
      <c r="R4" s="611"/>
      <c r="S4" s="611"/>
      <c r="T4" s="611"/>
      <c r="U4" s="611"/>
      <c r="V4" s="611"/>
      <c r="W4" s="609"/>
      <c r="X4" s="2"/>
      <c r="Y4" s="165" t="e">
        <f t="shared" si="8"/>
        <v>#DIV/0!</v>
      </c>
      <c r="Z4" s="2"/>
      <c r="AA4" s="165" t="e">
        <f t="shared" si="8"/>
        <v>#DIV/0!</v>
      </c>
      <c r="AB4" s="2"/>
      <c r="AC4" s="165" t="e">
        <f t="shared" si="8"/>
        <v>#DIV/0!</v>
      </c>
      <c r="AD4" s="2"/>
      <c r="AE4" s="165" t="e">
        <f t="shared" si="8"/>
        <v>#DIV/0!</v>
      </c>
      <c r="AF4" s="2"/>
      <c r="AG4" s="2"/>
      <c r="AI4" s="132" t="e">
        <f t="shared" si="0"/>
        <v>#DIV/0!</v>
      </c>
      <c r="AK4" s="132" t="e">
        <f t="shared" si="0"/>
        <v>#DIV/0!</v>
      </c>
      <c r="AM4" s="132" t="e">
        <f t="shared" si="0"/>
        <v>#DIV/0!</v>
      </c>
      <c r="AP4" s="132" t="e">
        <f t="shared" si="1"/>
        <v>#DIV/0!</v>
      </c>
      <c r="AR4" s="132" t="e">
        <f t="shared" si="1"/>
        <v>#DIV/0!</v>
      </c>
      <c r="AT4" s="132" t="e">
        <f t="shared" si="1"/>
        <v>#DIV/0!</v>
      </c>
      <c r="AV4" s="132" t="e">
        <f t="shared" si="1"/>
        <v>#DIV/0!</v>
      </c>
      <c r="AX4" s="132" t="e">
        <f t="shared" si="1"/>
        <v>#DIV/0!</v>
      </c>
      <c r="AZ4" s="132" t="e">
        <f t="shared" si="2"/>
        <v>#DIV/0!</v>
      </c>
      <c r="BB4" s="132" t="e">
        <f t="shared" si="3"/>
        <v>#DIV/0!</v>
      </c>
      <c r="BD4" s="132" t="e">
        <f t="shared" si="4"/>
        <v>#DIV/0!</v>
      </c>
      <c r="BF4" s="132" t="e">
        <f t="shared" si="4"/>
        <v>#DIV/0!</v>
      </c>
      <c r="BH4" s="132" t="e">
        <f t="shared" si="4"/>
        <v>#DIV/0!</v>
      </c>
      <c r="BJ4" s="132" t="e">
        <f t="shared" si="4"/>
        <v>#DIV/0!</v>
      </c>
      <c r="BL4" s="132" t="e">
        <f t="shared" si="4"/>
        <v>#DIV/0!</v>
      </c>
      <c r="BN4" s="132" t="e">
        <f t="shared" si="5"/>
        <v>#DIV/0!</v>
      </c>
      <c r="BP4" s="132" t="e">
        <f t="shared" si="6"/>
        <v>#DIV/0!</v>
      </c>
      <c r="BR4" s="132" t="e">
        <f t="shared" si="7"/>
        <v>#DIV/0!</v>
      </c>
    </row>
    <row r="5" spans="1:84" s="10" customFormat="1" ht="15.75" hidden="1" customHeight="1">
      <c r="A5" s="658"/>
      <c r="B5" s="661" t="s">
        <v>82</v>
      </c>
      <c r="C5" s="662" t="e">
        <f>E5</f>
        <v>#REF!</v>
      </c>
      <c r="D5" s="2"/>
      <c r="E5" s="12" t="e">
        <f>F5&amp;G5&amp;H5&amp;I5&amp;J5&amp;K5&amp;L5&amp;M5&amp;N5&amp;O5&amp;P5&amp;Q5&amp;R5&amp;S5&amp;T5&amp;U5&amp;V5&amp;#REF!&amp;#REF!</f>
        <v>#REF!</v>
      </c>
      <c r="F5" s="146" t="s">
        <v>78</v>
      </c>
      <c r="G5" s="611" t="str">
        <f>G4</f>
        <v>p.FamilyName3</v>
      </c>
      <c r="H5" s="611" t="s">
        <v>79</v>
      </c>
      <c r="I5" s="611" t="str">
        <f>I4</f>
        <v>p.ManFirstName3</v>
      </c>
      <c r="J5" s="611" t="s">
        <v>83</v>
      </c>
      <c r="K5" s="609" t="str">
        <f>I$60</f>
        <v>p.AHVNumber9</v>
      </c>
      <c r="L5" s="611" t="s">
        <v>84</v>
      </c>
      <c r="M5" s="613" t="s">
        <v>85</v>
      </c>
      <c r="N5" s="611" t="s">
        <v>86</v>
      </c>
      <c r="O5" s="611" t="s">
        <v>87</v>
      </c>
      <c r="P5" s="611" t="s">
        <v>88</v>
      </c>
      <c r="Q5" s="614" t="str">
        <f>J60</f>
        <v>p.BirthdayAdult3</v>
      </c>
      <c r="R5" s="611" t="s">
        <v>89</v>
      </c>
      <c r="S5" s="611" t="s">
        <v>90</v>
      </c>
      <c r="T5" s="611" t="s">
        <v>91</v>
      </c>
      <c r="U5" s="611" t="s">
        <v>92</v>
      </c>
      <c r="V5" s="611" t="s">
        <v>93</v>
      </c>
      <c r="W5" s="609"/>
      <c r="X5" s="2"/>
      <c r="Y5" s="165" t="e">
        <f t="shared" si="8"/>
        <v>#DIV/0!</v>
      </c>
      <c r="Z5" s="2"/>
      <c r="AA5" s="165" t="e">
        <f t="shared" si="8"/>
        <v>#DIV/0!</v>
      </c>
      <c r="AB5" s="2"/>
      <c r="AC5" s="165" t="e">
        <f t="shared" si="8"/>
        <v>#DIV/0!</v>
      </c>
      <c r="AD5" s="2"/>
      <c r="AE5" s="165" t="e">
        <f t="shared" si="8"/>
        <v>#DIV/0!</v>
      </c>
      <c r="AF5" s="2"/>
      <c r="AG5" s="2"/>
      <c r="AI5" s="132" t="e">
        <f t="shared" si="0"/>
        <v>#DIV/0!</v>
      </c>
      <c r="AK5" s="132" t="e">
        <f t="shared" si="0"/>
        <v>#DIV/0!</v>
      </c>
      <c r="AM5" s="132" t="e">
        <f t="shared" si="0"/>
        <v>#DIV/0!</v>
      </c>
      <c r="AP5" s="132" t="e">
        <f t="shared" si="1"/>
        <v>#DIV/0!</v>
      </c>
      <c r="AR5" s="132" t="e">
        <f t="shared" si="1"/>
        <v>#DIV/0!</v>
      </c>
      <c r="AT5" s="132" t="e">
        <f t="shared" si="1"/>
        <v>#DIV/0!</v>
      </c>
      <c r="AV5" s="132" t="e">
        <f t="shared" si="1"/>
        <v>#DIV/0!</v>
      </c>
      <c r="AX5" s="132" t="e">
        <f t="shared" si="1"/>
        <v>#DIV/0!</v>
      </c>
      <c r="AZ5" s="132" t="e">
        <f t="shared" si="2"/>
        <v>#DIV/0!</v>
      </c>
      <c r="BB5" s="132" t="e">
        <f t="shared" si="3"/>
        <v>#DIV/0!</v>
      </c>
      <c r="BD5" s="132" t="e">
        <f t="shared" si="4"/>
        <v>#DIV/0!</v>
      </c>
      <c r="BF5" s="132" t="e">
        <f t="shared" si="4"/>
        <v>#DIV/0!</v>
      </c>
      <c r="BH5" s="132" t="e">
        <f t="shared" si="4"/>
        <v>#DIV/0!</v>
      </c>
      <c r="BJ5" s="132" t="e">
        <f t="shared" si="4"/>
        <v>#DIV/0!</v>
      </c>
      <c r="BL5" s="132" t="e">
        <f t="shared" si="4"/>
        <v>#DIV/0!</v>
      </c>
      <c r="BN5" s="132" t="e">
        <f t="shared" si="5"/>
        <v>#DIV/0!</v>
      </c>
      <c r="BP5" s="132" t="e">
        <f t="shared" si="6"/>
        <v>#DIV/0!</v>
      </c>
      <c r="BR5" s="132" t="e">
        <f t="shared" si="7"/>
        <v>#DIV/0!</v>
      </c>
    </row>
    <row r="6" spans="1:84" s="10" customFormat="1" ht="15.75" hidden="1" customHeight="1">
      <c r="A6" s="658"/>
      <c r="B6" s="661" t="s">
        <v>94</v>
      </c>
      <c r="C6" s="662" t="e">
        <f ca="1">E6</f>
        <v>#REF!</v>
      </c>
      <c r="D6" s="2"/>
      <c r="E6" s="12" t="e">
        <f ca="1">F6&amp;G6&amp;H6&amp;I6&amp;J6&amp;K6&amp;L6&amp;M6&amp;N6&amp;O6&amp;P6&amp;Q6&amp;R6&amp;S6&amp;T6&amp;U6&amp;V6&amp;#REF!&amp;#REF!</f>
        <v>#REF!</v>
      </c>
      <c r="F6" s="146" t="s">
        <v>95</v>
      </c>
      <c r="G6" s="611" t="str">
        <f ca="1">"079 "&amp;RANDBETWEEN(5234500,5699999)</f>
        <v>079 5481699</v>
      </c>
      <c r="H6" s="611" t="s">
        <v>96</v>
      </c>
      <c r="I6" s="611" t="str">
        <f ca="1">"079 "&amp;RANDBETWEEN(5234500,5699999)</f>
        <v>079 5691487</v>
      </c>
      <c r="J6" s="611" t="s">
        <v>97</v>
      </c>
      <c r="K6" s="612" t="s">
        <v>325</v>
      </c>
      <c r="L6" s="611" t="s">
        <v>37</v>
      </c>
      <c r="M6" s="611"/>
      <c r="N6" s="611"/>
      <c r="O6" s="611"/>
      <c r="P6" s="611"/>
      <c r="Q6" s="611"/>
      <c r="R6" s="611"/>
      <c r="S6" s="611"/>
      <c r="T6" s="611"/>
      <c r="U6" s="611"/>
      <c r="V6" s="611"/>
      <c r="W6" s="609"/>
      <c r="X6" s="2"/>
      <c r="Y6" s="165" t="e">
        <f t="shared" si="8"/>
        <v>#DIV/0!</v>
      </c>
      <c r="Z6" s="2"/>
      <c r="AA6" s="165" t="e">
        <f t="shared" si="8"/>
        <v>#DIV/0!</v>
      </c>
      <c r="AB6" s="2"/>
      <c r="AC6" s="165" t="e">
        <f t="shared" si="8"/>
        <v>#DIV/0!</v>
      </c>
      <c r="AD6" s="2"/>
      <c r="AE6" s="165" t="e">
        <f t="shared" si="8"/>
        <v>#DIV/0!</v>
      </c>
      <c r="AF6" s="2"/>
      <c r="AG6" s="2"/>
      <c r="AI6" s="132" t="e">
        <f t="shared" si="0"/>
        <v>#DIV/0!</v>
      </c>
      <c r="AK6" s="132" t="e">
        <f t="shared" si="0"/>
        <v>#DIV/0!</v>
      </c>
      <c r="AM6" s="132" t="e">
        <f t="shared" si="0"/>
        <v>#DIV/0!</v>
      </c>
      <c r="AP6" s="132" t="e">
        <f t="shared" si="1"/>
        <v>#DIV/0!</v>
      </c>
      <c r="AR6" s="132" t="e">
        <f t="shared" si="1"/>
        <v>#DIV/0!</v>
      </c>
      <c r="AT6" s="132" t="e">
        <f t="shared" si="1"/>
        <v>#DIV/0!</v>
      </c>
      <c r="AV6" s="132" t="e">
        <f t="shared" si="1"/>
        <v>#DIV/0!</v>
      </c>
      <c r="AX6" s="132" t="e">
        <f t="shared" si="1"/>
        <v>#DIV/0!</v>
      </c>
      <c r="AZ6" s="132" t="e">
        <f t="shared" si="2"/>
        <v>#DIV/0!</v>
      </c>
      <c r="BB6" s="132" t="e">
        <f t="shared" si="3"/>
        <v>#DIV/0!</v>
      </c>
      <c r="BD6" s="132" t="e">
        <f t="shared" si="4"/>
        <v>#DIV/0!</v>
      </c>
      <c r="BF6" s="132" t="e">
        <f t="shared" si="4"/>
        <v>#DIV/0!</v>
      </c>
      <c r="BH6" s="132" t="e">
        <f t="shared" si="4"/>
        <v>#DIV/0!</v>
      </c>
      <c r="BJ6" s="132" t="e">
        <f t="shared" si="4"/>
        <v>#DIV/0!</v>
      </c>
      <c r="BL6" s="132" t="e">
        <f t="shared" si="4"/>
        <v>#DIV/0!</v>
      </c>
      <c r="BN6" s="132" t="e">
        <f t="shared" si="5"/>
        <v>#DIV/0!</v>
      </c>
      <c r="BP6" s="132" t="e">
        <f t="shared" si="6"/>
        <v>#DIV/0!</v>
      </c>
      <c r="BR6" s="132" t="e">
        <f t="shared" si="7"/>
        <v>#DIV/0!</v>
      </c>
    </row>
    <row r="7" spans="1:84" s="10" customFormat="1" ht="15.75" hidden="1" customHeight="1">
      <c r="A7" s="658"/>
      <c r="B7" s="661" t="s">
        <v>99</v>
      </c>
      <c r="C7" s="662" t="e">
        <f ca="1">E7</f>
        <v>#REF!</v>
      </c>
      <c r="D7" s="2"/>
      <c r="E7" s="12" t="e">
        <f ca="1">F7&amp;G7&amp;H7&amp;I7&amp;J7&amp;K7&amp;L7&amp;M7&amp;N7&amp;O7&amp;P7&amp;Q7&amp;R7&amp;S7&amp;T7&amp;U7&amp;V7&amp;#REF!&amp;#REF!</f>
        <v>#REF!</v>
      </c>
      <c r="F7" s="611" t="s">
        <v>100</v>
      </c>
      <c r="G7" s="611"/>
      <c r="H7" s="611" t="s">
        <v>101</v>
      </c>
      <c r="I7" s="611" t="str">
        <f ca="1">"Strasse_"&amp;RANDBETWEEN(1,1000)</f>
        <v>Strasse_53</v>
      </c>
      <c r="J7" s="611" t="s">
        <v>102</v>
      </c>
      <c r="K7" s="611">
        <f ca="1">RANDBETWEEN(1,100)</f>
        <v>27</v>
      </c>
      <c r="L7" s="611" t="s">
        <v>103</v>
      </c>
      <c r="M7" s="611" t="s">
        <v>104</v>
      </c>
      <c r="N7" s="611" t="s">
        <v>105</v>
      </c>
      <c r="O7" s="614" t="str">
        <f ca="1">TEXT(RANDBETWEEN(1,28)&amp;"."&amp;RANDBETWEEN(1,12)&amp;"."&amp;TEXT(TODAY()-4*365,"YYYY"),"DD.MM.YYYY")</f>
        <v>7.12.2021</v>
      </c>
      <c r="P7" s="611" t="s">
        <v>37</v>
      </c>
      <c r="Q7" s="611"/>
      <c r="R7" s="611"/>
      <c r="S7" s="611"/>
      <c r="T7" s="611"/>
      <c r="U7" s="611"/>
      <c r="V7" s="611"/>
      <c r="W7" s="609"/>
      <c r="X7" s="2"/>
      <c r="Y7" s="165" t="e">
        <f t="shared" si="8"/>
        <v>#DIV/0!</v>
      </c>
      <c r="Z7" s="2"/>
      <c r="AA7" s="165" t="e">
        <f t="shared" si="8"/>
        <v>#DIV/0!</v>
      </c>
      <c r="AB7" s="2"/>
      <c r="AC7" s="165" t="e">
        <f t="shared" si="8"/>
        <v>#DIV/0!</v>
      </c>
      <c r="AD7" s="2"/>
      <c r="AE7" s="165" t="e">
        <f t="shared" si="8"/>
        <v>#DIV/0!</v>
      </c>
      <c r="AF7" s="2"/>
      <c r="AG7" s="2"/>
      <c r="AI7" s="132" t="e">
        <f t="shared" si="0"/>
        <v>#DIV/0!</v>
      </c>
      <c r="AK7" s="132" t="e">
        <f t="shared" si="0"/>
        <v>#DIV/0!</v>
      </c>
      <c r="AM7" s="132" t="e">
        <f t="shared" si="0"/>
        <v>#DIV/0!</v>
      </c>
      <c r="AP7" s="132" t="e">
        <f t="shared" si="1"/>
        <v>#DIV/0!</v>
      </c>
      <c r="AR7" s="132" t="e">
        <f t="shared" si="1"/>
        <v>#DIV/0!</v>
      </c>
      <c r="AT7" s="132" t="e">
        <f t="shared" si="1"/>
        <v>#DIV/0!</v>
      </c>
      <c r="AV7" s="132" t="e">
        <f t="shared" si="1"/>
        <v>#DIV/0!</v>
      </c>
      <c r="AX7" s="132" t="e">
        <f t="shared" si="1"/>
        <v>#DIV/0!</v>
      </c>
      <c r="AZ7" s="132" t="e">
        <f t="shared" si="2"/>
        <v>#DIV/0!</v>
      </c>
      <c r="BB7" s="132" t="e">
        <f t="shared" si="3"/>
        <v>#DIV/0!</v>
      </c>
      <c r="BD7" s="132" t="e">
        <f t="shared" si="4"/>
        <v>#DIV/0!</v>
      </c>
      <c r="BF7" s="132" t="e">
        <f t="shared" si="4"/>
        <v>#DIV/0!</v>
      </c>
      <c r="BH7" s="132" t="e">
        <f t="shared" si="4"/>
        <v>#DIV/0!</v>
      </c>
      <c r="BJ7" s="132" t="e">
        <f t="shared" si="4"/>
        <v>#DIV/0!</v>
      </c>
      <c r="BL7" s="132" t="e">
        <f t="shared" si="4"/>
        <v>#DIV/0!</v>
      </c>
      <c r="BN7" s="132" t="e">
        <f t="shared" si="5"/>
        <v>#DIV/0!</v>
      </c>
      <c r="BP7" s="132" t="e">
        <f t="shared" si="6"/>
        <v>#DIV/0!</v>
      </c>
      <c r="BR7" s="132" t="e">
        <f t="shared" si="7"/>
        <v>#DIV/0!</v>
      </c>
    </row>
    <row r="8" spans="1:84" s="10" customFormat="1" ht="15.75" hidden="1" customHeight="1">
      <c r="A8" s="658"/>
      <c r="B8" s="661" t="s">
        <v>106</v>
      </c>
      <c r="C8" s="662" t="s">
        <v>326</v>
      </c>
      <c r="D8" s="2"/>
      <c r="E8" s="12"/>
      <c r="F8" s="611"/>
      <c r="G8" s="611"/>
      <c r="H8" s="611"/>
      <c r="I8" s="611"/>
      <c r="J8" s="611"/>
      <c r="K8" s="611"/>
      <c r="L8" s="611"/>
      <c r="M8" s="611"/>
      <c r="N8" s="611"/>
      <c r="O8" s="611"/>
      <c r="P8" s="611"/>
      <c r="Q8" s="611"/>
      <c r="R8" s="611"/>
      <c r="S8" s="611"/>
      <c r="T8" s="611"/>
      <c r="U8" s="611"/>
      <c r="V8" s="611"/>
      <c r="W8" s="609"/>
      <c r="X8" s="2"/>
      <c r="Y8" s="165" t="e">
        <f t="shared" si="8"/>
        <v>#DIV/0!</v>
      </c>
      <c r="Z8" s="2"/>
      <c r="AA8" s="165" t="e">
        <f t="shared" si="8"/>
        <v>#DIV/0!</v>
      </c>
      <c r="AB8" s="2"/>
      <c r="AC8" s="165" t="e">
        <f t="shared" si="8"/>
        <v>#DIV/0!</v>
      </c>
      <c r="AD8" s="2"/>
      <c r="AE8" s="165" t="e">
        <f t="shared" si="8"/>
        <v>#DIV/0!</v>
      </c>
      <c r="AF8" s="2"/>
      <c r="AG8" s="2"/>
      <c r="AI8" s="132" t="e">
        <f t="shared" si="0"/>
        <v>#DIV/0!</v>
      </c>
      <c r="AK8" s="132" t="e">
        <f t="shared" si="0"/>
        <v>#DIV/0!</v>
      </c>
      <c r="AM8" s="132" t="e">
        <f t="shared" si="0"/>
        <v>#DIV/0!</v>
      </c>
      <c r="AP8" s="132" t="e">
        <f t="shared" si="1"/>
        <v>#DIV/0!</v>
      </c>
      <c r="AR8" s="132" t="e">
        <f t="shared" si="1"/>
        <v>#DIV/0!</v>
      </c>
      <c r="AT8" s="132" t="e">
        <f t="shared" si="1"/>
        <v>#DIV/0!</v>
      </c>
      <c r="AV8" s="132" t="e">
        <f t="shared" si="1"/>
        <v>#DIV/0!</v>
      </c>
      <c r="AX8" s="132" t="e">
        <f t="shared" si="1"/>
        <v>#DIV/0!</v>
      </c>
      <c r="AZ8" s="132" t="e">
        <f t="shared" si="2"/>
        <v>#DIV/0!</v>
      </c>
      <c r="BB8" s="132" t="e">
        <f t="shared" si="3"/>
        <v>#DIV/0!</v>
      </c>
      <c r="BD8" s="132" t="e">
        <f t="shared" si="4"/>
        <v>#DIV/0!</v>
      </c>
      <c r="BF8" s="132" t="e">
        <f t="shared" si="4"/>
        <v>#DIV/0!</v>
      </c>
      <c r="BH8" s="132" t="e">
        <f t="shared" si="4"/>
        <v>#DIV/0!</v>
      </c>
      <c r="BJ8" s="132" t="e">
        <f t="shared" si="4"/>
        <v>#DIV/0!</v>
      </c>
      <c r="BL8" s="132" t="e">
        <f t="shared" si="4"/>
        <v>#DIV/0!</v>
      </c>
      <c r="BN8" s="132" t="e">
        <f t="shared" si="5"/>
        <v>#DIV/0!</v>
      </c>
      <c r="BP8" s="132" t="e">
        <f t="shared" si="6"/>
        <v>#DIV/0!</v>
      </c>
      <c r="BR8" s="132" t="e">
        <f t="shared" si="7"/>
        <v>#DIV/0!</v>
      </c>
    </row>
    <row r="9" spans="1:84" s="10" customFormat="1" ht="15.75" hidden="1" customHeight="1">
      <c r="A9" s="658"/>
      <c r="B9" s="661" t="s">
        <v>110</v>
      </c>
      <c r="C9" s="662"/>
      <c r="D9" s="2"/>
      <c r="E9" s="12"/>
      <c r="F9" s="611"/>
      <c r="G9" s="611"/>
      <c r="H9" s="611"/>
      <c r="I9" s="611"/>
      <c r="J9" s="611"/>
      <c r="K9" s="611"/>
      <c r="L9" s="611"/>
      <c r="M9" s="611"/>
      <c r="N9" s="611"/>
      <c r="O9" s="611"/>
      <c r="P9" s="611"/>
      <c r="Q9" s="611"/>
      <c r="R9" s="611"/>
      <c r="S9" s="611"/>
      <c r="T9" s="611"/>
      <c r="U9" s="611"/>
      <c r="V9" s="611"/>
      <c r="W9" s="609"/>
      <c r="X9" s="2"/>
      <c r="Y9" s="165" t="e">
        <f t="shared" si="8"/>
        <v>#DIV/0!</v>
      </c>
      <c r="Z9" s="2"/>
      <c r="AA9" s="165" t="e">
        <f t="shared" si="8"/>
        <v>#DIV/0!</v>
      </c>
      <c r="AB9" s="2"/>
      <c r="AC9" s="165" t="e">
        <f t="shared" si="8"/>
        <v>#DIV/0!</v>
      </c>
      <c r="AD9" s="2"/>
      <c r="AE9" s="165" t="e">
        <f t="shared" si="8"/>
        <v>#DIV/0!</v>
      </c>
      <c r="AF9" s="2"/>
      <c r="AG9" s="2"/>
      <c r="AI9" s="132" t="e">
        <f t="shared" si="0"/>
        <v>#DIV/0!</v>
      </c>
      <c r="AK9" s="132" t="e">
        <f t="shared" si="0"/>
        <v>#DIV/0!</v>
      </c>
      <c r="AM9" s="132" t="e">
        <f t="shared" si="0"/>
        <v>#DIV/0!</v>
      </c>
      <c r="AP9" s="132" t="e">
        <f t="shared" si="1"/>
        <v>#DIV/0!</v>
      </c>
      <c r="AR9" s="132" t="e">
        <f t="shared" si="1"/>
        <v>#DIV/0!</v>
      </c>
      <c r="AT9" s="132" t="e">
        <f t="shared" si="1"/>
        <v>#DIV/0!</v>
      </c>
      <c r="AV9" s="132" t="e">
        <f t="shared" si="1"/>
        <v>#DIV/0!</v>
      </c>
      <c r="AX9" s="132" t="e">
        <f t="shared" si="1"/>
        <v>#DIV/0!</v>
      </c>
      <c r="AZ9" s="132" t="e">
        <f t="shared" si="2"/>
        <v>#DIV/0!</v>
      </c>
      <c r="BB9" s="132" t="e">
        <f t="shared" si="3"/>
        <v>#DIV/0!</v>
      </c>
      <c r="BD9" s="132" t="e">
        <f t="shared" si="4"/>
        <v>#DIV/0!</v>
      </c>
      <c r="BF9" s="132" t="e">
        <f t="shared" si="4"/>
        <v>#DIV/0!</v>
      </c>
      <c r="BH9" s="132" t="e">
        <f t="shared" si="4"/>
        <v>#DIV/0!</v>
      </c>
      <c r="BJ9" s="132" t="e">
        <f t="shared" si="4"/>
        <v>#DIV/0!</v>
      </c>
      <c r="BL9" s="132" t="e">
        <f t="shared" si="4"/>
        <v>#DIV/0!</v>
      </c>
      <c r="BN9" s="132" t="e">
        <f t="shared" si="5"/>
        <v>#DIV/0!</v>
      </c>
      <c r="BP9" s="132" t="e">
        <f t="shared" si="6"/>
        <v>#DIV/0!</v>
      </c>
      <c r="BR9" s="132" t="e">
        <f t="shared" si="7"/>
        <v>#DIV/0!</v>
      </c>
    </row>
    <row r="10" spans="1:84" s="10" customFormat="1" ht="15.75" hidden="1" customHeight="1">
      <c r="A10" s="658"/>
      <c r="B10" s="661" t="s">
        <v>111</v>
      </c>
      <c r="C10" s="662" t="e">
        <f t="shared" ref="C10:C23" si="9">E10</f>
        <v>#REF!</v>
      </c>
      <c r="D10" s="2"/>
      <c r="E10" s="2" t="e">
        <f>F10&amp;G10&amp;H10&amp;I10&amp;J10&amp;K10&amp;L10&amp;M10&amp;N10&amp;O10&amp;P10&amp;Q10&amp;R10&amp;S10&amp;T10&amp;U10&amp;V10&amp;#REF!&amp;#REF!</f>
        <v>#REF!</v>
      </c>
      <c r="F10" s="611" t="s">
        <v>112</v>
      </c>
      <c r="G10" s="611" t="s">
        <v>113</v>
      </c>
      <c r="H10" s="611" t="s">
        <v>114</v>
      </c>
      <c r="I10" s="611" t="s">
        <v>76</v>
      </c>
      <c r="J10" s="611" t="s">
        <v>115</v>
      </c>
      <c r="K10" s="611" t="s">
        <v>116</v>
      </c>
      <c r="L10" s="611" t="s">
        <v>117</v>
      </c>
      <c r="M10" s="611" t="s">
        <v>118</v>
      </c>
      <c r="N10" s="611" t="s">
        <v>119</v>
      </c>
      <c r="O10" s="611" t="s">
        <v>120</v>
      </c>
      <c r="P10" s="611" t="s">
        <v>37</v>
      </c>
      <c r="Q10" s="611"/>
      <c r="R10" s="611"/>
      <c r="S10" s="611"/>
      <c r="T10" s="611"/>
      <c r="U10" s="611"/>
      <c r="V10" s="611"/>
      <c r="W10" s="609"/>
      <c r="X10" s="2"/>
      <c r="Y10" s="165" t="e">
        <f t="shared" si="8"/>
        <v>#DIV/0!</v>
      </c>
      <c r="Z10" s="2"/>
      <c r="AA10" s="165" t="e">
        <f t="shared" si="8"/>
        <v>#DIV/0!</v>
      </c>
      <c r="AB10" s="2"/>
      <c r="AC10" s="165" t="e">
        <f t="shared" si="8"/>
        <v>#DIV/0!</v>
      </c>
      <c r="AD10" s="2"/>
      <c r="AE10" s="165" t="e">
        <f t="shared" si="8"/>
        <v>#DIV/0!</v>
      </c>
      <c r="AF10" s="2"/>
      <c r="AG10" s="2"/>
      <c r="AI10" s="132" t="e">
        <f t="shared" si="0"/>
        <v>#DIV/0!</v>
      </c>
      <c r="AK10" s="132" t="e">
        <f t="shared" si="0"/>
        <v>#DIV/0!</v>
      </c>
      <c r="AM10" s="132" t="e">
        <f t="shared" si="0"/>
        <v>#DIV/0!</v>
      </c>
      <c r="AP10" s="132" t="e">
        <f t="shared" si="1"/>
        <v>#DIV/0!</v>
      </c>
      <c r="AR10" s="132" t="e">
        <f t="shared" si="1"/>
        <v>#DIV/0!</v>
      </c>
      <c r="AT10" s="132" t="e">
        <f t="shared" si="1"/>
        <v>#DIV/0!</v>
      </c>
      <c r="AV10" s="132" t="e">
        <f t="shared" si="1"/>
        <v>#DIV/0!</v>
      </c>
      <c r="AX10" s="132" t="e">
        <f t="shared" si="1"/>
        <v>#DIV/0!</v>
      </c>
      <c r="AZ10" s="132" t="e">
        <f t="shared" si="2"/>
        <v>#DIV/0!</v>
      </c>
      <c r="BB10" s="132" t="e">
        <f t="shared" si="3"/>
        <v>#DIV/0!</v>
      </c>
      <c r="BD10" s="132" t="e">
        <f t="shared" si="4"/>
        <v>#DIV/0!</v>
      </c>
      <c r="BF10" s="132" t="e">
        <f t="shared" si="4"/>
        <v>#DIV/0!</v>
      </c>
      <c r="BH10" s="132" t="e">
        <f t="shared" si="4"/>
        <v>#DIV/0!</v>
      </c>
      <c r="BJ10" s="132" t="e">
        <f t="shared" si="4"/>
        <v>#DIV/0!</v>
      </c>
      <c r="BL10" s="132" t="e">
        <f t="shared" si="4"/>
        <v>#DIV/0!</v>
      </c>
      <c r="BN10" s="132" t="e">
        <f t="shared" si="5"/>
        <v>#DIV/0!</v>
      </c>
      <c r="BP10" s="132" t="e">
        <f t="shared" si="6"/>
        <v>#DIV/0!</v>
      </c>
      <c r="BR10" s="132" t="e">
        <f t="shared" si="7"/>
        <v>#DIV/0!</v>
      </c>
    </row>
    <row r="11" spans="1:84" s="10" customFormat="1" ht="15.75" hidden="1" customHeight="1">
      <c r="A11" s="658"/>
      <c r="B11" s="661" t="s">
        <v>122</v>
      </c>
      <c r="C11" s="662" t="e">
        <f t="shared" ca="1" si="9"/>
        <v>#REF!</v>
      </c>
      <c r="D11" s="2"/>
      <c r="E11" s="12" t="e">
        <f ca="1">F11&amp;G11&amp;H11&amp;I11&amp;J11&amp;K11&amp;L11&amp;M11&amp;N11&amp;O11&amp;P11&amp;Q11&amp;R11&amp;S11&amp;T11&amp;U11&amp;V11&amp;#REF!&amp;#REF!</f>
        <v>#REF!</v>
      </c>
      <c r="F11" s="611" t="s">
        <v>123</v>
      </c>
      <c r="G11" s="375" t="str">
        <f>G$60</f>
        <v>p.DossierName3</v>
      </c>
      <c r="H11" s="611" t="s">
        <v>124</v>
      </c>
      <c r="I11" s="614" t="str">
        <f ca="1">TEXT(TEXT(TODAY(),"DD")&amp;"."&amp;TEXT(TODAY(),"MM")&amp;"."&amp;TEXT(TODAY(),"YYYY"),"DD.MM.YYYY")</f>
        <v>04.11.2025</v>
      </c>
      <c r="J11" s="611" t="s">
        <v>125</v>
      </c>
      <c r="K11" s="611" t="s">
        <v>85</v>
      </c>
      <c r="L11" s="611" t="s">
        <v>37</v>
      </c>
      <c r="M11" s="611"/>
      <c r="N11" s="611"/>
      <c r="O11" s="611"/>
      <c r="P11" s="611"/>
      <c r="Q11" s="611"/>
      <c r="R11" s="611"/>
      <c r="S11" s="611"/>
      <c r="T11" s="611"/>
      <c r="U11" s="611"/>
      <c r="V11" s="611"/>
      <c r="W11" s="609"/>
      <c r="X11" s="2"/>
      <c r="Y11" s="165" t="e">
        <f t="shared" si="8"/>
        <v>#DIV/0!</v>
      </c>
      <c r="Z11" s="2"/>
      <c r="AA11" s="165" t="e">
        <f t="shared" si="8"/>
        <v>#DIV/0!</v>
      </c>
      <c r="AB11" s="2"/>
      <c r="AC11" s="165" t="e">
        <f t="shared" si="8"/>
        <v>#DIV/0!</v>
      </c>
      <c r="AD11" s="2"/>
      <c r="AE11" s="165" t="e">
        <f t="shared" si="8"/>
        <v>#DIV/0!</v>
      </c>
      <c r="AF11" s="2"/>
      <c r="AG11" s="2"/>
      <c r="AI11" s="132" t="e">
        <f t="shared" si="0"/>
        <v>#DIV/0!</v>
      </c>
      <c r="AK11" s="132" t="e">
        <f t="shared" si="0"/>
        <v>#DIV/0!</v>
      </c>
      <c r="AM11" s="132" t="e">
        <f t="shared" si="0"/>
        <v>#DIV/0!</v>
      </c>
      <c r="AP11" s="132" t="e">
        <f t="shared" si="1"/>
        <v>#DIV/0!</v>
      </c>
      <c r="AR11" s="132" t="e">
        <f t="shared" si="1"/>
        <v>#DIV/0!</v>
      </c>
      <c r="AT11" s="132" t="e">
        <f t="shared" si="1"/>
        <v>#DIV/0!</v>
      </c>
      <c r="AV11" s="132" t="e">
        <f t="shared" si="1"/>
        <v>#DIV/0!</v>
      </c>
      <c r="AX11" s="132" t="e">
        <f t="shared" si="1"/>
        <v>#DIV/0!</v>
      </c>
      <c r="AZ11" s="132" t="e">
        <f t="shared" si="2"/>
        <v>#DIV/0!</v>
      </c>
      <c r="BB11" s="132" t="e">
        <f t="shared" si="3"/>
        <v>#DIV/0!</v>
      </c>
      <c r="BD11" s="132" t="e">
        <f t="shared" si="4"/>
        <v>#DIV/0!</v>
      </c>
      <c r="BF11" s="132" t="e">
        <f t="shared" si="4"/>
        <v>#DIV/0!</v>
      </c>
      <c r="BH11" s="132" t="e">
        <f t="shared" si="4"/>
        <v>#DIV/0!</v>
      </c>
      <c r="BJ11" s="132" t="e">
        <f t="shared" si="4"/>
        <v>#DIV/0!</v>
      </c>
      <c r="BL11" s="132" t="e">
        <f t="shared" si="4"/>
        <v>#DIV/0!</v>
      </c>
      <c r="BN11" s="132" t="e">
        <f t="shared" si="5"/>
        <v>#DIV/0!</v>
      </c>
      <c r="BP11" s="132" t="e">
        <f t="shared" si="6"/>
        <v>#DIV/0!</v>
      </c>
      <c r="BR11" s="132" t="e">
        <f t="shared" si="7"/>
        <v>#DIV/0!</v>
      </c>
    </row>
    <row r="12" spans="1:84" s="10" customFormat="1" ht="15.75" hidden="1" customHeight="1">
      <c r="A12" s="658"/>
      <c r="B12" s="661" t="s">
        <v>127</v>
      </c>
      <c r="C12" s="662" t="e">
        <f>E12</f>
        <v>#REF!</v>
      </c>
      <c r="D12" s="2"/>
      <c r="E12" s="12" t="e">
        <f>F12&amp;G12&amp;H12&amp;I12&amp;J12&amp;K12&amp;L12&amp;M12&amp;N12&amp;O12&amp;P12&amp;Q12&amp;R12&amp;S12&amp;T12&amp;U12&amp;V12&amp;#REF!&amp;#REF!</f>
        <v>#REF!</v>
      </c>
      <c r="F12" s="611" t="s">
        <v>128</v>
      </c>
      <c r="G12" s="611" t="str">
        <f>G11</f>
        <v>p.DossierName3</v>
      </c>
      <c r="H12" s="611" t="s">
        <v>129</v>
      </c>
      <c r="I12" s="609" t="str">
        <f>I22</f>
        <v>${p.FamilyName3}, ${p.ManFirstName3}</v>
      </c>
      <c r="J12" s="611" t="s">
        <v>130</v>
      </c>
      <c r="K12" s="614" t="s">
        <v>131</v>
      </c>
      <c r="L12" s="611" t="s">
        <v>132</v>
      </c>
      <c r="M12" s="611" t="s">
        <v>133</v>
      </c>
      <c r="N12" s="611" t="s">
        <v>37</v>
      </c>
      <c r="O12" s="611"/>
      <c r="P12" s="611"/>
      <c r="Q12" s="611"/>
      <c r="R12" s="611"/>
      <c r="S12" s="611"/>
      <c r="T12" s="611"/>
      <c r="U12" s="611"/>
      <c r="V12" s="611"/>
      <c r="W12" s="609"/>
      <c r="X12" s="2"/>
      <c r="Y12" s="165" t="e">
        <f t="shared" si="8"/>
        <v>#DIV/0!</v>
      </c>
      <c r="Z12" s="2"/>
      <c r="AA12" s="165" t="e">
        <f t="shared" si="8"/>
        <v>#DIV/0!</v>
      </c>
      <c r="AB12" s="2"/>
      <c r="AC12" s="165" t="e">
        <f t="shared" si="8"/>
        <v>#DIV/0!</v>
      </c>
      <c r="AD12" s="2"/>
      <c r="AE12" s="165" t="e">
        <f t="shared" si="8"/>
        <v>#DIV/0!</v>
      </c>
      <c r="AF12" s="2"/>
      <c r="AG12" s="2"/>
      <c r="AI12" s="132" t="e">
        <f t="shared" si="0"/>
        <v>#DIV/0!</v>
      </c>
      <c r="AK12" s="132" t="e">
        <f t="shared" si="0"/>
        <v>#DIV/0!</v>
      </c>
      <c r="AM12" s="132" t="e">
        <f t="shared" si="0"/>
        <v>#DIV/0!</v>
      </c>
      <c r="AP12" s="132" t="e">
        <f t="shared" si="1"/>
        <v>#DIV/0!</v>
      </c>
      <c r="AR12" s="132" t="e">
        <f t="shared" si="1"/>
        <v>#DIV/0!</v>
      </c>
      <c r="AT12" s="132" t="e">
        <f t="shared" si="1"/>
        <v>#DIV/0!</v>
      </c>
      <c r="AV12" s="132" t="e">
        <f t="shared" si="1"/>
        <v>#DIV/0!</v>
      </c>
      <c r="AX12" s="132" t="e">
        <f t="shared" si="1"/>
        <v>#DIV/0!</v>
      </c>
      <c r="AZ12" s="132" t="e">
        <f t="shared" si="2"/>
        <v>#DIV/0!</v>
      </c>
      <c r="BB12" s="132" t="e">
        <f t="shared" si="3"/>
        <v>#DIV/0!</v>
      </c>
      <c r="BD12" s="132" t="e">
        <f t="shared" si="4"/>
        <v>#DIV/0!</v>
      </c>
      <c r="BF12" s="132" t="e">
        <f t="shared" si="4"/>
        <v>#DIV/0!</v>
      </c>
      <c r="BH12" s="132" t="e">
        <f t="shared" si="4"/>
        <v>#DIV/0!</v>
      </c>
      <c r="BJ12" s="132" t="e">
        <f t="shared" si="4"/>
        <v>#DIV/0!</v>
      </c>
      <c r="BL12" s="132" t="e">
        <f t="shared" si="4"/>
        <v>#DIV/0!</v>
      </c>
      <c r="BN12" s="132" t="e">
        <f t="shared" si="5"/>
        <v>#DIV/0!</v>
      </c>
      <c r="BP12" s="132" t="e">
        <f t="shared" si="6"/>
        <v>#DIV/0!</v>
      </c>
      <c r="BR12" s="132" t="e">
        <f t="shared" si="7"/>
        <v>#DIV/0!</v>
      </c>
    </row>
    <row r="13" spans="1:84" s="10" customFormat="1" ht="15.75" hidden="1" customHeight="1">
      <c r="A13" s="658"/>
      <c r="B13" s="661" t="s">
        <v>134</v>
      </c>
      <c r="C13" s="662" t="e">
        <f>E13</f>
        <v>#REF!</v>
      </c>
      <c r="D13" s="2"/>
      <c r="E13" s="12" t="e">
        <f>F13&amp;G13&amp;H13&amp;I13&amp;J13&amp;K13&amp;L13&amp;M13&amp;N13&amp;O13&amp;P13&amp;Q13&amp;R13&amp;S13&amp;T13&amp;U13&amp;V13&amp;#REF!&amp;#REF!</f>
        <v>#REF!</v>
      </c>
      <c r="F13" s="609" t="s">
        <v>29</v>
      </c>
      <c r="G13" s="617" t="s">
        <v>30</v>
      </c>
      <c r="H13" s="609" t="s">
        <v>31</v>
      </c>
      <c r="I13" s="618" t="s">
        <v>32</v>
      </c>
      <c r="J13" s="609" t="s">
        <v>37</v>
      </c>
      <c r="K13" s="614"/>
      <c r="L13" s="609"/>
      <c r="M13" s="611"/>
      <c r="N13" s="609"/>
      <c r="O13" s="611"/>
      <c r="P13" s="609"/>
      <c r="Q13" s="611"/>
      <c r="R13" s="609"/>
      <c r="S13" s="611"/>
      <c r="T13" s="609"/>
      <c r="U13" s="611"/>
      <c r="V13" s="609"/>
      <c r="W13" s="609"/>
      <c r="X13" s="2"/>
      <c r="Y13" s="165" t="e">
        <f t="shared" si="8"/>
        <v>#DIV/0!</v>
      </c>
      <c r="Z13" s="2"/>
      <c r="AA13" s="165" t="e">
        <f t="shared" si="8"/>
        <v>#DIV/0!</v>
      </c>
      <c r="AB13" s="2"/>
      <c r="AC13" s="165" t="e">
        <f t="shared" si="8"/>
        <v>#DIV/0!</v>
      </c>
      <c r="AD13" s="2"/>
      <c r="AE13" s="165" t="e">
        <f t="shared" si="8"/>
        <v>#DIV/0!</v>
      </c>
      <c r="AF13" s="2"/>
      <c r="AG13" s="2"/>
      <c r="AI13" s="132" t="e">
        <f t="shared" si="0"/>
        <v>#DIV/0!</v>
      </c>
      <c r="AK13" s="132" t="e">
        <f t="shared" si="0"/>
        <v>#DIV/0!</v>
      </c>
      <c r="AM13" s="132" t="e">
        <f t="shared" si="0"/>
        <v>#DIV/0!</v>
      </c>
      <c r="AP13" s="132" t="e">
        <f t="shared" si="1"/>
        <v>#DIV/0!</v>
      </c>
      <c r="AR13" s="132" t="e">
        <f t="shared" si="1"/>
        <v>#DIV/0!</v>
      </c>
      <c r="AT13" s="132" t="e">
        <f t="shared" si="1"/>
        <v>#DIV/0!</v>
      </c>
      <c r="AV13" s="132" t="e">
        <f t="shared" si="1"/>
        <v>#DIV/0!</v>
      </c>
      <c r="AX13" s="132" t="e">
        <f t="shared" si="1"/>
        <v>#DIV/0!</v>
      </c>
      <c r="AZ13" s="132" t="e">
        <f t="shared" si="2"/>
        <v>#DIV/0!</v>
      </c>
      <c r="BB13" s="132" t="e">
        <f t="shared" si="3"/>
        <v>#DIV/0!</v>
      </c>
      <c r="BD13" s="132" t="e">
        <f t="shared" si="4"/>
        <v>#DIV/0!</v>
      </c>
      <c r="BF13" s="132" t="e">
        <f t="shared" si="4"/>
        <v>#DIV/0!</v>
      </c>
      <c r="BH13" s="132" t="e">
        <f t="shared" si="4"/>
        <v>#DIV/0!</v>
      </c>
      <c r="BJ13" s="132" t="e">
        <f t="shared" si="4"/>
        <v>#DIV/0!</v>
      </c>
      <c r="BL13" s="132" t="e">
        <f t="shared" si="4"/>
        <v>#DIV/0!</v>
      </c>
      <c r="BN13" s="132" t="e">
        <f t="shared" si="5"/>
        <v>#DIV/0!</v>
      </c>
      <c r="BP13" s="132" t="e">
        <f t="shared" si="6"/>
        <v>#DIV/0!</v>
      </c>
      <c r="BR13" s="132" t="e">
        <f t="shared" si="7"/>
        <v>#DIV/0!</v>
      </c>
    </row>
    <row r="14" spans="1:84" s="10" customFormat="1" ht="15.75" hidden="1" customHeight="1">
      <c r="A14" s="658"/>
      <c r="B14" s="661" t="s">
        <v>127</v>
      </c>
      <c r="C14" s="662" t="e">
        <f>E14</f>
        <v>#REF!</v>
      </c>
      <c r="D14" s="2"/>
      <c r="E14" s="12" t="e">
        <f>F14&amp;G14&amp;H14&amp;I14&amp;J14&amp;K14&amp;L14&amp;M14&amp;N14&amp;O14&amp;P14&amp;Q14&amp;R14&amp;S14&amp;T14&amp;U14&amp;V14&amp;#REF!&amp;#REF!</f>
        <v>#REF!</v>
      </c>
      <c r="F14" s="611" t="s">
        <v>128</v>
      </c>
      <c r="G14" s="611" t="str">
        <f>G12</f>
        <v>p.DossierName3</v>
      </c>
      <c r="H14" s="611" t="s">
        <v>129</v>
      </c>
      <c r="I14" s="609" t="str">
        <f>I22</f>
        <v>${p.FamilyName3}, ${p.ManFirstName3}</v>
      </c>
      <c r="J14" s="611" t="s">
        <v>130</v>
      </c>
      <c r="K14" s="614" t="s">
        <v>136</v>
      </c>
      <c r="L14" s="611" t="s">
        <v>132</v>
      </c>
      <c r="M14" s="611" t="s">
        <v>137</v>
      </c>
      <c r="N14" s="611" t="s">
        <v>37</v>
      </c>
      <c r="O14" s="611"/>
      <c r="P14" s="611"/>
      <c r="Q14" s="611"/>
      <c r="R14" s="611"/>
      <c r="S14" s="611"/>
      <c r="T14" s="611"/>
      <c r="U14" s="611"/>
      <c r="V14" s="611"/>
      <c r="W14" s="609"/>
      <c r="X14" s="2"/>
      <c r="Y14" s="165" t="e">
        <f t="shared" si="8"/>
        <v>#DIV/0!</v>
      </c>
      <c r="Z14" s="2"/>
      <c r="AA14" s="165" t="e">
        <f t="shared" si="8"/>
        <v>#DIV/0!</v>
      </c>
      <c r="AB14" s="2"/>
      <c r="AC14" s="165" t="e">
        <f t="shared" si="8"/>
        <v>#DIV/0!</v>
      </c>
      <c r="AD14" s="2"/>
      <c r="AE14" s="165" t="e">
        <f t="shared" si="8"/>
        <v>#DIV/0!</v>
      </c>
      <c r="AF14" s="2"/>
      <c r="AG14" s="2"/>
      <c r="AI14" s="132" t="e">
        <f t="shared" si="0"/>
        <v>#DIV/0!</v>
      </c>
      <c r="AK14" s="132" t="e">
        <f t="shared" si="0"/>
        <v>#DIV/0!</v>
      </c>
      <c r="AM14" s="132" t="e">
        <f t="shared" si="0"/>
        <v>#DIV/0!</v>
      </c>
      <c r="AP14" s="132" t="e">
        <f t="shared" si="1"/>
        <v>#DIV/0!</v>
      </c>
      <c r="AR14" s="132" t="e">
        <f t="shared" si="1"/>
        <v>#DIV/0!</v>
      </c>
      <c r="AT14" s="132" t="e">
        <f t="shared" si="1"/>
        <v>#DIV/0!</v>
      </c>
      <c r="AV14" s="132" t="e">
        <f t="shared" si="1"/>
        <v>#DIV/0!</v>
      </c>
      <c r="AX14" s="132" t="e">
        <f t="shared" si="1"/>
        <v>#DIV/0!</v>
      </c>
      <c r="AZ14" s="132" t="e">
        <f t="shared" si="2"/>
        <v>#DIV/0!</v>
      </c>
      <c r="BB14" s="132" t="e">
        <f t="shared" si="3"/>
        <v>#DIV/0!</v>
      </c>
      <c r="BD14" s="132" t="e">
        <f t="shared" si="4"/>
        <v>#DIV/0!</v>
      </c>
      <c r="BF14" s="132" t="e">
        <f t="shared" si="4"/>
        <v>#DIV/0!</v>
      </c>
      <c r="BH14" s="132" t="e">
        <f t="shared" si="4"/>
        <v>#DIV/0!</v>
      </c>
      <c r="BJ14" s="132" t="e">
        <f t="shared" si="4"/>
        <v>#DIV/0!</v>
      </c>
      <c r="BL14" s="132" t="e">
        <f t="shared" si="4"/>
        <v>#DIV/0!</v>
      </c>
      <c r="BN14" s="132" t="e">
        <f t="shared" si="5"/>
        <v>#DIV/0!</v>
      </c>
      <c r="BP14" s="132" t="e">
        <f t="shared" si="6"/>
        <v>#DIV/0!</v>
      </c>
      <c r="BR14" s="132" t="e">
        <f t="shared" si="7"/>
        <v>#DIV/0!</v>
      </c>
    </row>
    <row r="15" spans="1:84" ht="15.75" hidden="1" customHeight="1">
      <c r="A15" s="658"/>
      <c r="B15" s="661" t="s">
        <v>134</v>
      </c>
      <c r="C15" s="662" t="s">
        <v>138</v>
      </c>
      <c r="E15" s="2" t="e">
        <f>F15&amp;G15&amp;H15&amp;I15&amp;J15&amp;K15&amp;L15&amp;M15&amp;N15&amp;O15&amp;P15&amp;Q15&amp;R15&amp;S15&amp;T15&amp;U15&amp;V15&amp;#REF!&amp;#REF!</f>
        <v>#REF!</v>
      </c>
      <c r="F15" s="609" t="s">
        <v>29</v>
      </c>
      <c r="G15" s="611" t="s">
        <v>30</v>
      </c>
      <c r="H15" s="609" t="s">
        <v>31</v>
      </c>
      <c r="I15" s="611" t="s">
        <v>32</v>
      </c>
      <c r="J15" s="609" t="s">
        <v>37</v>
      </c>
      <c r="Y15" s="165" t="e">
        <f t="shared" si="8"/>
        <v>#DIV/0!</v>
      </c>
      <c r="AA15" s="165" t="e">
        <f t="shared" si="8"/>
        <v>#DIV/0!</v>
      </c>
      <c r="AC15" s="165" t="e">
        <f t="shared" si="8"/>
        <v>#DIV/0!</v>
      </c>
      <c r="AE15" s="165" t="e">
        <f t="shared" si="8"/>
        <v>#DIV/0!</v>
      </c>
      <c r="AI15" s="132" t="e">
        <f t="shared" si="0"/>
        <v>#DIV/0!</v>
      </c>
      <c r="AK15" s="132" t="e">
        <f t="shared" si="0"/>
        <v>#DIV/0!</v>
      </c>
      <c r="AM15" s="132" t="e">
        <f t="shared" si="0"/>
        <v>#DIV/0!</v>
      </c>
      <c r="AP15" s="132" t="e">
        <f t="shared" si="1"/>
        <v>#DIV/0!</v>
      </c>
      <c r="AR15" s="132" t="e">
        <f t="shared" si="1"/>
        <v>#DIV/0!</v>
      </c>
      <c r="AT15" s="132" t="e">
        <f t="shared" si="1"/>
        <v>#DIV/0!</v>
      </c>
      <c r="AV15" s="132" t="e">
        <f t="shared" si="1"/>
        <v>#DIV/0!</v>
      </c>
      <c r="AX15" s="132" t="e">
        <f t="shared" si="1"/>
        <v>#DIV/0!</v>
      </c>
      <c r="AZ15" s="132" t="e">
        <f t="shared" si="2"/>
        <v>#DIV/0!</v>
      </c>
      <c r="BB15" s="132" t="e">
        <f t="shared" si="3"/>
        <v>#DIV/0!</v>
      </c>
      <c r="BD15" s="132" t="e">
        <f t="shared" si="4"/>
        <v>#DIV/0!</v>
      </c>
      <c r="BF15" s="132" t="e">
        <f t="shared" si="4"/>
        <v>#DIV/0!</v>
      </c>
      <c r="BH15" s="132" t="e">
        <f t="shared" si="4"/>
        <v>#DIV/0!</v>
      </c>
      <c r="BJ15" s="132" t="e">
        <f t="shared" si="4"/>
        <v>#DIV/0!</v>
      </c>
      <c r="BL15" s="132" t="e">
        <f t="shared" si="4"/>
        <v>#DIV/0!</v>
      </c>
      <c r="BN15" s="132" t="e">
        <f t="shared" si="5"/>
        <v>#DIV/0!</v>
      </c>
      <c r="BP15" s="132" t="e">
        <f t="shared" si="6"/>
        <v>#DIV/0!</v>
      </c>
      <c r="BR15" s="132" t="e">
        <f t="shared" si="7"/>
        <v>#DIV/0!</v>
      </c>
    </row>
    <row r="16" spans="1:84" s="10" customFormat="1" ht="15.75" customHeight="1" thickBot="1">
      <c r="A16" s="658">
        <v>3</v>
      </c>
      <c r="B16" s="661" t="s">
        <v>139</v>
      </c>
      <c r="C16" s="662" t="str">
        <f>E16</f>
        <v>{"searchDossierOrKlient":p.DossierName3,"resultType":"Dossiers"}</v>
      </c>
      <c r="D16" s="12"/>
      <c r="E16" s="12" t="str">
        <f>F16&amp;G16&amp;H16&amp;I16&amp;J16&amp;K16&amp;L16&amp;M16&amp;N16&amp;O16&amp;P16&amp;Q16&amp;R16&amp;S16&amp;T16&amp;U16&amp;V16</f>
        <v>{"searchDossierOrKlient":p.DossierName3,"resultType":"Dossiers"}</v>
      </c>
      <c r="F16" s="609" t="s">
        <v>140</v>
      </c>
      <c r="G16" s="146" t="str">
        <f>G14</f>
        <v>p.DossierName3</v>
      </c>
      <c r="H16" s="609" t="s">
        <v>141</v>
      </c>
      <c r="I16" s="146" t="s">
        <v>142</v>
      </c>
      <c r="J16" s="609" t="s">
        <v>37</v>
      </c>
      <c r="K16" s="146"/>
      <c r="L16" s="609"/>
      <c r="M16" s="146"/>
      <c r="N16" s="609"/>
      <c r="O16" s="146"/>
      <c r="P16" s="609"/>
      <c r="Q16" s="146"/>
      <c r="R16" s="609"/>
      <c r="S16" s="146"/>
      <c r="T16" s="609"/>
      <c r="U16" s="146"/>
      <c r="V16" s="609"/>
      <c r="W16" s="146">
        <v>11271</v>
      </c>
      <c r="X16" s="12">
        <v>11225</v>
      </c>
      <c r="Y16" s="165">
        <f t="shared" si="8"/>
        <v>0.99591872948274329</v>
      </c>
      <c r="Z16" s="12">
        <v>10853</v>
      </c>
      <c r="AA16" s="165">
        <f t="shared" si="8"/>
        <v>0.96291367225623281</v>
      </c>
      <c r="AB16" s="12">
        <v>10944</v>
      </c>
      <c r="AC16" s="165">
        <f t="shared" si="8"/>
        <v>0.97098749001863194</v>
      </c>
      <c r="AD16" s="12">
        <v>11201</v>
      </c>
      <c r="AE16" s="165">
        <f t="shared" si="8"/>
        <v>0.99378937095200071</v>
      </c>
      <c r="AF16" s="12">
        <v>10702</v>
      </c>
      <c r="AG16" s="12">
        <v>2720</v>
      </c>
      <c r="AH16" s="2">
        <v>4993</v>
      </c>
      <c r="AI16" s="132">
        <f t="shared" si="0"/>
        <v>0.9898889770023791</v>
      </c>
      <c r="AJ16" s="2">
        <v>5044</v>
      </c>
      <c r="AK16" s="132">
        <f t="shared" si="0"/>
        <v>1</v>
      </c>
      <c r="AL16" s="2">
        <v>5319</v>
      </c>
      <c r="AM16" s="132">
        <f t="shared" si="0"/>
        <v>1.0545202220459953</v>
      </c>
      <c r="AO16" s="10">
        <v>5521</v>
      </c>
      <c r="AP16" s="132">
        <f t="shared" si="1"/>
        <v>1.09456780333069</v>
      </c>
      <c r="AQ16" s="10">
        <v>5535</v>
      </c>
      <c r="AR16" s="132">
        <f t="shared" si="1"/>
        <v>1.0973433782712134</v>
      </c>
      <c r="AS16" s="10">
        <v>5377</v>
      </c>
      <c r="AT16" s="132">
        <f t="shared" si="1"/>
        <v>1.0660190325138779</v>
      </c>
      <c r="AU16" s="10">
        <v>5608</v>
      </c>
      <c r="AV16" s="132">
        <f t="shared" si="1"/>
        <v>1.1118160190325139</v>
      </c>
      <c r="AW16" s="10">
        <v>5523</v>
      </c>
      <c r="AX16" s="132">
        <f t="shared" si="1"/>
        <v>1.0949643140364791</v>
      </c>
      <c r="AY16" s="10">
        <v>5565</v>
      </c>
      <c r="AZ16" s="132">
        <f t="shared" si="2"/>
        <v>1.1032910388580492</v>
      </c>
      <c r="BA16" s="10">
        <v>5465</v>
      </c>
      <c r="BB16" s="132">
        <f t="shared" si="3"/>
        <v>1.0834655035685963</v>
      </c>
      <c r="BC16" s="10">
        <v>5375</v>
      </c>
      <c r="BD16" s="132">
        <f t="shared" si="4"/>
        <v>1.0656225218080888</v>
      </c>
      <c r="BE16" s="10">
        <v>4897</v>
      </c>
      <c r="BF16" s="132">
        <f t="shared" si="4"/>
        <v>0.97085646312450435</v>
      </c>
      <c r="BG16" s="10">
        <v>2891</v>
      </c>
      <c r="BH16" s="132">
        <f t="shared" si="4"/>
        <v>0.57315622521808085</v>
      </c>
      <c r="BI16" s="10">
        <v>2674</v>
      </c>
      <c r="BJ16" s="132">
        <f t="shared" si="4"/>
        <v>0.53013481363996828</v>
      </c>
      <c r="BK16" s="10">
        <v>2968</v>
      </c>
      <c r="BL16" s="132">
        <f t="shared" si="4"/>
        <v>0.58842188739095957</v>
      </c>
      <c r="BM16" s="10">
        <v>4242</v>
      </c>
      <c r="BN16" s="132">
        <f t="shared" si="5"/>
        <v>0.84099920697858843</v>
      </c>
      <c r="BO16" s="10">
        <v>4523</v>
      </c>
      <c r="BP16" s="132">
        <f t="shared" si="6"/>
        <v>0.89670896114195087</v>
      </c>
      <c r="BQ16" s="10">
        <v>8183</v>
      </c>
      <c r="BR16" s="132">
        <f t="shared" si="7"/>
        <v>1.6223235527359239</v>
      </c>
      <c r="BS16" s="10">
        <v>4774</v>
      </c>
      <c r="BU16" s="10">
        <v>5580</v>
      </c>
      <c r="BW16" s="10">
        <v>4836</v>
      </c>
      <c r="BY16" s="10">
        <v>4745</v>
      </c>
      <c r="CA16" s="10">
        <v>4591</v>
      </c>
    </row>
    <row r="17" spans="1:70" s="10" customFormat="1" ht="15.75" hidden="1" customHeight="1">
      <c r="A17" s="658"/>
      <c r="B17" s="661" t="s">
        <v>143</v>
      </c>
      <c r="C17" s="662" t="e">
        <f t="shared" si="9"/>
        <v>#REF!</v>
      </c>
      <c r="D17" s="12"/>
      <c r="E17" s="12" t="e">
        <f>F17&amp;G17&amp;H17&amp;I17&amp;J17&amp;K17&amp;L17&amp;M17&amp;N17&amp;O17&amp;P17&amp;Q17&amp;R17&amp;S17&amp;T17&amp;U17&amp;V17&amp;#REF!&amp;#REF!</f>
        <v>#REF!</v>
      </c>
      <c r="F17" s="146" t="s">
        <v>144</v>
      </c>
      <c r="G17" s="609" t="s">
        <v>267</v>
      </c>
      <c r="H17" s="146" t="s">
        <v>146</v>
      </c>
      <c r="I17" s="146" t="s">
        <v>147</v>
      </c>
      <c r="J17" s="146" t="s">
        <v>148</v>
      </c>
      <c r="K17" s="146">
        <v>1200</v>
      </c>
      <c r="L17" s="146" t="s">
        <v>149</v>
      </c>
      <c r="M17" s="146">
        <v>100</v>
      </c>
      <c r="N17" s="146" t="s">
        <v>109</v>
      </c>
      <c r="O17" s="146"/>
      <c r="P17" s="146"/>
      <c r="Q17" s="146"/>
      <c r="R17" s="146"/>
      <c r="S17" s="146"/>
      <c r="T17" s="146"/>
      <c r="U17" s="146"/>
      <c r="V17" s="146"/>
      <c r="W17" s="609"/>
      <c r="X17" s="12"/>
      <c r="Y17" s="165" t="e">
        <f t="shared" si="8"/>
        <v>#DIV/0!</v>
      </c>
      <c r="Z17" s="12"/>
      <c r="AA17" s="165" t="e">
        <f t="shared" si="8"/>
        <v>#DIV/0!</v>
      </c>
      <c r="AB17" s="12"/>
      <c r="AC17" s="165" t="e">
        <f t="shared" si="8"/>
        <v>#DIV/0!</v>
      </c>
      <c r="AD17" s="12"/>
      <c r="AE17" s="165" t="e">
        <f t="shared" si="8"/>
        <v>#DIV/0!</v>
      </c>
      <c r="AF17" s="12"/>
      <c r="AG17" s="12"/>
      <c r="AI17" s="132" t="e">
        <f t="shared" si="0"/>
        <v>#DIV/0!</v>
      </c>
      <c r="AK17" s="132" t="e">
        <f t="shared" si="0"/>
        <v>#DIV/0!</v>
      </c>
      <c r="AM17" s="132" t="e">
        <f t="shared" si="0"/>
        <v>#DIV/0!</v>
      </c>
      <c r="AP17" s="132" t="e">
        <f t="shared" si="1"/>
        <v>#DIV/0!</v>
      </c>
      <c r="AR17" s="132" t="e">
        <f t="shared" si="1"/>
        <v>#DIV/0!</v>
      </c>
      <c r="AT17" s="132" t="e">
        <f t="shared" si="1"/>
        <v>#DIV/0!</v>
      </c>
      <c r="AV17" s="132" t="e">
        <f t="shared" si="1"/>
        <v>#DIV/0!</v>
      </c>
      <c r="AX17" s="132" t="e">
        <f t="shared" si="1"/>
        <v>#DIV/0!</v>
      </c>
      <c r="AZ17" s="132" t="e">
        <f t="shared" si="2"/>
        <v>#DIV/0!</v>
      </c>
      <c r="BB17" s="132" t="e">
        <f t="shared" si="3"/>
        <v>#DIV/0!</v>
      </c>
      <c r="BD17" s="132" t="e">
        <f t="shared" si="4"/>
        <v>#DIV/0!</v>
      </c>
      <c r="BF17" s="132" t="e">
        <f t="shared" si="4"/>
        <v>#DIV/0!</v>
      </c>
      <c r="BH17" s="132" t="e">
        <f t="shared" si="4"/>
        <v>#DIV/0!</v>
      </c>
      <c r="BJ17" s="132" t="e">
        <f t="shared" si="4"/>
        <v>#DIV/0!</v>
      </c>
      <c r="BL17" s="132" t="e">
        <f t="shared" si="4"/>
        <v>#DIV/0!</v>
      </c>
      <c r="BN17" s="132" t="e">
        <f t="shared" si="5"/>
        <v>#DIV/0!</v>
      </c>
      <c r="BP17" s="132" t="e">
        <f t="shared" si="6"/>
        <v>#DIV/0!</v>
      </c>
      <c r="BR17" s="132" t="e">
        <f t="shared" si="7"/>
        <v>#DIV/0!</v>
      </c>
    </row>
    <row r="18" spans="1:70" s="10" customFormat="1" ht="15.75" hidden="1" customHeight="1">
      <c r="A18" s="658"/>
      <c r="B18" s="661" t="s">
        <v>150</v>
      </c>
      <c r="C18" s="662" t="e">
        <f t="shared" ca="1" si="9"/>
        <v>#REF!</v>
      </c>
      <c r="D18" s="12"/>
      <c r="E18" s="12" t="e">
        <f ca="1">F18&amp;G18&amp;H18&amp;I18&amp;J18&amp;K18&amp;L18&amp;M18&amp;N18&amp;O18&amp;P18&amp;Q18&amp;R18&amp;S18&amp;T18&amp;U18&amp;V18&amp;#REF!&amp;#REF!</f>
        <v>#REF!</v>
      </c>
      <c r="F18" s="146" t="s">
        <v>78</v>
      </c>
      <c r="G18" s="146" t="str">
        <f>G5</f>
        <v>p.FamilyName3</v>
      </c>
      <c r="H18" s="146" t="s">
        <v>79</v>
      </c>
      <c r="I18" s="609" t="str">
        <f>H61</f>
        <v>p.WomanFirstName3</v>
      </c>
      <c r="J18" s="146" t="s">
        <v>151</v>
      </c>
      <c r="K18" s="614" t="str">
        <f>J61</f>
        <v>p.BirthdayAdult4</v>
      </c>
      <c r="L18" s="146" t="s">
        <v>83</v>
      </c>
      <c r="M18" s="609" t="str">
        <f>I61</f>
        <v>p.AHVNumber10</v>
      </c>
      <c r="N18" s="146" t="s">
        <v>152</v>
      </c>
      <c r="O18" s="614" t="str">
        <f ca="1">"01."&amp;MONTH(TODAY())&amp;".2024"</f>
        <v>01.11.2024</v>
      </c>
      <c r="P18" s="146" t="s">
        <v>153</v>
      </c>
      <c r="Q18" s="146" t="s">
        <v>154</v>
      </c>
      <c r="R18" s="146" t="s">
        <v>155</v>
      </c>
      <c r="S18" s="146" t="s">
        <v>156</v>
      </c>
      <c r="T18" s="146" t="s">
        <v>37</v>
      </c>
      <c r="U18" s="146"/>
      <c r="V18" s="146"/>
      <c r="W18" s="609"/>
      <c r="X18" s="12"/>
      <c r="Y18" s="165" t="e">
        <f t="shared" si="8"/>
        <v>#DIV/0!</v>
      </c>
      <c r="Z18" s="12"/>
      <c r="AA18" s="165" t="e">
        <f t="shared" si="8"/>
        <v>#DIV/0!</v>
      </c>
      <c r="AB18" s="12"/>
      <c r="AC18" s="165" t="e">
        <f t="shared" si="8"/>
        <v>#DIV/0!</v>
      </c>
      <c r="AD18" s="12"/>
      <c r="AE18" s="165" t="e">
        <f t="shared" si="8"/>
        <v>#DIV/0!</v>
      </c>
      <c r="AF18" s="12"/>
      <c r="AG18" s="12"/>
      <c r="AI18" s="132" t="e">
        <f t="shared" si="0"/>
        <v>#DIV/0!</v>
      </c>
      <c r="AK18" s="132" t="e">
        <f t="shared" si="0"/>
        <v>#DIV/0!</v>
      </c>
      <c r="AM18" s="132" t="e">
        <f t="shared" si="0"/>
        <v>#DIV/0!</v>
      </c>
      <c r="AP18" s="132" t="e">
        <f t="shared" si="1"/>
        <v>#DIV/0!</v>
      </c>
      <c r="AR18" s="132" t="e">
        <f t="shared" si="1"/>
        <v>#DIV/0!</v>
      </c>
      <c r="AT18" s="132" t="e">
        <f t="shared" si="1"/>
        <v>#DIV/0!</v>
      </c>
      <c r="AV18" s="132" t="e">
        <f t="shared" si="1"/>
        <v>#DIV/0!</v>
      </c>
      <c r="AX18" s="132" t="e">
        <f t="shared" si="1"/>
        <v>#DIV/0!</v>
      </c>
      <c r="AZ18" s="132" t="e">
        <f t="shared" si="2"/>
        <v>#DIV/0!</v>
      </c>
      <c r="BB18" s="132" t="e">
        <f t="shared" si="3"/>
        <v>#DIV/0!</v>
      </c>
      <c r="BD18" s="132" t="e">
        <f t="shared" si="4"/>
        <v>#DIV/0!</v>
      </c>
      <c r="BF18" s="132" t="e">
        <f t="shared" si="4"/>
        <v>#DIV/0!</v>
      </c>
      <c r="BH18" s="132" t="e">
        <f t="shared" si="4"/>
        <v>#DIV/0!</v>
      </c>
      <c r="BJ18" s="132" t="e">
        <f t="shared" si="4"/>
        <v>#DIV/0!</v>
      </c>
      <c r="BL18" s="132" t="e">
        <f t="shared" si="4"/>
        <v>#DIV/0!</v>
      </c>
      <c r="BN18" s="132" t="e">
        <f t="shared" si="5"/>
        <v>#DIV/0!</v>
      </c>
      <c r="BP18" s="132" t="e">
        <f t="shared" si="6"/>
        <v>#DIV/0!</v>
      </c>
      <c r="BR18" s="132" t="e">
        <f t="shared" si="7"/>
        <v>#DIV/0!</v>
      </c>
    </row>
    <row r="19" spans="1:70" s="10" customFormat="1" ht="15.75" hidden="1" customHeight="1">
      <c r="A19" s="658"/>
      <c r="B19" s="661" t="s">
        <v>150</v>
      </c>
      <c r="C19" s="662" t="e">
        <f t="shared" ca="1" si="9"/>
        <v>#REF!</v>
      </c>
      <c r="D19" s="12"/>
      <c r="E19" s="12" t="e">
        <f ca="1">F19&amp;G19&amp;H19&amp;I19&amp;J19&amp;K19&amp;L19&amp;M19&amp;N19&amp;O19&amp;P19&amp;Q19&amp;R19&amp;S19&amp;T19&amp;U19&amp;V19&amp;#REF!&amp;#REF!</f>
        <v>#REF!</v>
      </c>
      <c r="F19" s="146" t="s">
        <v>78</v>
      </c>
      <c r="G19" s="146" t="str">
        <f>G18</f>
        <v>p.FamilyName3</v>
      </c>
      <c r="H19" s="146" t="s">
        <v>79</v>
      </c>
      <c r="I19" s="609" t="str">
        <f>H62</f>
        <v>p.GirlFirstName3</v>
      </c>
      <c r="J19" s="146" t="s">
        <v>151</v>
      </c>
      <c r="K19" s="614" t="str">
        <f>J62</f>
        <v>p.BirthdayKid3</v>
      </c>
      <c r="L19" s="146" t="s">
        <v>83</v>
      </c>
      <c r="M19" s="609" t="str">
        <f>I62</f>
        <v>p.AHVNumber11</v>
      </c>
      <c r="N19" s="146" t="s">
        <v>152</v>
      </c>
      <c r="O19" s="614" t="str">
        <f ca="1">"01."&amp;MONTH(TODAY())&amp;".2024"</f>
        <v>01.11.2024</v>
      </c>
      <c r="P19" s="146" t="s">
        <v>153</v>
      </c>
      <c r="Q19" s="146" t="s">
        <v>154</v>
      </c>
      <c r="R19" s="146" t="s">
        <v>155</v>
      </c>
      <c r="S19" s="146" t="s">
        <v>157</v>
      </c>
      <c r="T19" s="146" t="s">
        <v>37</v>
      </c>
      <c r="U19" s="146"/>
      <c r="V19" s="146"/>
      <c r="W19" s="609"/>
      <c r="X19" s="12"/>
      <c r="Y19" s="165" t="e">
        <f t="shared" si="8"/>
        <v>#DIV/0!</v>
      </c>
      <c r="Z19" s="12"/>
      <c r="AA19" s="165" t="e">
        <f t="shared" si="8"/>
        <v>#DIV/0!</v>
      </c>
      <c r="AB19" s="12"/>
      <c r="AC19" s="165" t="e">
        <f t="shared" si="8"/>
        <v>#DIV/0!</v>
      </c>
      <c r="AD19" s="12"/>
      <c r="AE19" s="165" t="e">
        <f t="shared" si="8"/>
        <v>#DIV/0!</v>
      </c>
      <c r="AF19" s="12"/>
      <c r="AG19" s="12"/>
      <c r="AI19" s="132" t="e">
        <f t="shared" si="0"/>
        <v>#DIV/0!</v>
      </c>
      <c r="AK19" s="132" t="e">
        <f t="shared" si="0"/>
        <v>#DIV/0!</v>
      </c>
      <c r="AM19" s="132" t="e">
        <f t="shared" si="0"/>
        <v>#DIV/0!</v>
      </c>
      <c r="AP19" s="132" t="e">
        <f t="shared" si="1"/>
        <v>#DIV/0!</v>
      </c>
      <c r="AR19" s="132" t="e">
        <f t="shared" si="1"/>
        <v>#DIV/0!</v>
      </c>
      <c r="AT19" s="132" t="e">
        <f t="shared" si="1"/>
        <v>#DIV/0!</v>
      </c>
      <c r="AV19" s="132" t="e">
        <f t="shared" si="1"/>
        <v>#DIV/0!</v>
      </c>
      <c r="AX19" s="132" t="e">
        <f t="shared" si="1"/>
        <v>#DIV/0!</v>
      </c>
      <c r="AZ19" s="132" t="e">
        <f t="shared" si="2"/>
        <v>#DIV/0!</v>
      </c>
      <c r="BB19" s="132" t="e">
        <f t="shared" si="3"/>
        <v>#DIV/0!</v>
      </c>
      <c r="BD19" s="132" t="e">
        <f t="shared" si="4"/>
        <v>#DIV/0!</v>
      </c>
      <c r="BF19" s="132" t="e">
        <f t="shared" si="4"/>
        <v>#DIV/0!</v>
      </c>
      <c r="BH19" s="132" t="e">
        <f t="shared" si="4"/>
        <v>#DIV/0!</v>
      </c>
      <c r="BJ19" s="132" t="e">
        <f t="shared" si="4"/>
        <v>#DIV/0!</v>
      </c>
      <c r="BL19" s="132" t="e">
        <f t="shared" si="4"/>
        <v>#DIV/0!</v>
      </c>
      <c r="BN19" s="132" t="e">
        <f t="shared" si="5"/>
        <v>#DIV/0!</v>
      </c>
      <c r="BP19" s="132" t="e">
        <f t="shared" si="6"/>
        <v>#DIV/0!</v>
      </c>
      <c r="BR19" s="132" t="e">
        <f t="shared" si="7"/>
        <v>#DIV/0!</v>
      </c>
    </row>
    <row r="20" spans="1:70" s="10" customFormat="1" ht="15.75" hidden="1" customHeight="1">
      <c r="A20" s="658"/>
      <c r="B20" s="661" t="s">
        <v>150</v>
      </c>
      <c r="C20" s="662" t="e">
        <f t="shared" ca="1" si="9"/>
        <v>#REF!</v>
      </c>
      <c r="D20" s="12"/>
      <c r="E20" s="12" t="e">
        <f ca="1">F20&amp;G20&amp;H20&amp;I20&amp;J20&amp;K20&amp;L20&amp;M20&amp;N20&amp;O20&amp;P20&amp;Q20&amp;R20&amp;S20&amp;T20&amp;U20&amp;V20&amp;#REF!&amp;#REF!</f>
        <v>#REF!</v>
      </c>
      <c r="F20" s="146" t="s">
        <v>78</v>
      </c>
      <c r="G20" s="146" t="str">
        <f>G19</f>
        <v>p.FamilyName3</v>
      </c>
      <c r="H20" s="146" t="s">
        <v>79</v>
      </c>
      <c r="I20" s="609" t="str">
        <f>H63</f>
        <v>p.ManFirstName4</v>
      </c>
      <c r="J20" s="146" t="s">
        <v>151</v>
      </c>
      <c r="K20" s="614" t="str">
        <f>J63</f>
        <v>p.BirthdayKid4</v>
      </c>
      <c r="L20" s="146" t="s">
        <v>83</v>
      </c>
      <c r="M20" s="609" t="str">
        <f>I63</f>
        <v>p.AHVNumber12</v>
      </c>
      <c r="N20" s="146" t="s">
        <v>152</v>
      </c>
      <c r="O20" s="614" t="str">
        <f ca="1">"01."&amp;MONTH(TODAY())&amp;".2024"</f>
        <v>01.11.2024</v>
      </c>
      <c r="P20" s="146" t="s">
        <v>153</v>
      </c>
      <c r="Q20" s="146" t="s">
        <v>154</v>
      </c>
      <c r="R20" s="146" t="s">
        <v>155</v>
      </c>
      <c r="S20" s="146" t="s">
        <v>157</v>
      </c>
      <c r="T20" s="146" t="s">
        <v>37</v>
      </c>
      <c r="U20" s="146"/>
      <c r="V20" s="146"/>
      <c r="W20" s="609"/>
      <c r="X20" s="12"/>
      <c r="Y20" s="165" t="e">
        <f t="shared" si="8"/>
        <v>#DIV/0!</v>
      </c>
      <c r="Z20" s="12"/>
      <c r="AA20" s="165" t="e">
        <f t="shared" si="8"/>
        <v>#DIV/0!</v>
      </c>
      <c r="AB20" s="12"/>
      <c r="AC20" s="165" t="e">
        <f t="shared" si="8"/>
        <v>#DIV/0!</v>
      </c>
      <c r="AD20" s="12"/>
      <c r="AE20" s="165" t="e">
        <f t="shared" si="8"/>
        <v>#DIV/0!</v>
      </c>
      <c r="AF20" s="12"/>
      <c r="AG20" s="12"/>
      <c r="AI20" s="132" t="e">
        <f t="shared" si="0"/>
        <v>#DIV/0!</v>
      </c>
      <c r="AK20" s="132" t="e">
        <f t="shared" si="0"/>
        <v>#DIV/0!</v>
      </c>
      <c r="AM20" s="132" t="e">
        <f t="shared" si="0"/>
        <v>#DIV/0!</v>
      </c>
      <c r="AP20" s="132" t="e">
        <f t="shared" si="1"/>
        <v>#DIV/0!</v>
      </c>
      <c r="AR20" s="132" t="e">
        <f t="shared" si="1"/>
        <v>#DIV/0!</v>
      </c>
      <c r="AT20" s="132" t="e">
        <f t="shared" si="1"/>
        <v>#DIV/0!</v>
      </c>
      <c r="AV20" s="132" t="e">
        <f t="shared" si="1"/>
        <v>#DIV/0!</v>
      </c>
      <c r="AX20" s="132" t="e">
        <f t="shared" si="1"/>
        <v>#DIV/0!</v>
      </c>
      <c r="AZ20" s="132" t="e">
        <f t="shared" si="2"/>
        <v>#DIV/0!</v>
      </c>
      <c r="BB20" s="132" t="e">
        <f t="shared" si="3"/>
        <v>#DIV/0!</v>
      </c>
      <c r="BD20" s="132" t="e">
        <f t="shared" si="4"/>
        <v>#DIV/0!</v>
      </c>
      <c r="BF20" s="132" t="e">
        <f t="shared" si="4"/>
        <v>#DIV/0!</v>
      </c>
      <c r="BH20" s="132" t="e">
        <f t="shared" si="4"/>
        <v>#DIV/0!</v>
      </c>
      <c r="BJ20" s="132" t="e">
        <f t="shared" si="4"/>
        <v>#DIV/0!</v>
      </c>
      <c r="BL20" s="132" t="e">
        <f t="shared" si="4"/>
        <v>#DIV/0!</v>
      </c>
      <c r="BN20" s="132" t="e">
        <f t="shared" si="5"/>
        <v>#DIV/0!</v>
      </c>
      <c r="BP20" s="132" t="e">
        <f t="shared" si="6"/>
        <v>#DIV/0!</v>
      </c>
      <c r="BR20" s="132" t="e">
        <f t="shared" si="7"/>
        <v>#DIV/0!</v>
      </c>
    </row>
    <row r="21" spans="1:70" s="10" customFormat="1" ht="15.75" hidden="1" customHeight="1">
      <c r="A21" s="658"/>
      <c r="B21" s="661" t="s">
        <v>143</v>
      </c>
      <c r="C21" s="662" t="e">
        <f t="shared" si="9"/>
        <v>#REF!</v>
      </c>
      <c r="D21" s="12"/>
      <c r="E21" s="12" t="e">
        <f>F21&amp;G21&amp;H21&amp;I21&amp;J21&amp;K21&amp;L21&amp;M21&amp;N21&amp;O21&amp;P21&amp;Q21&amp;R21&amp;S21&amp;T21&amp;U21&amp;V21&amp;#REF!&amp;#REF!</f>
        <v>#REF!</v>
      </c>
      <c r="F21" s="146" t="s">
        <v>144</v>
      </c>
      <c r="G21" s="609" t="s">
        <v>267</v>
      </c>
      <c r="H21" s="146" t="s">
        <v>146</v>
      </c>
      <c r="I21" s="146" t="s">
        <v>147</v>
      </c>
      <c r="J21" s="146" t="s">
        <v>148</v>
      </c>
      <c r="K21" s="146">
        <v>3000</v>
      </c>
      <c r="L21" s="146" t="s">
        <v>149</v>
      </c>
      <c r="M21" s="146">
        <v>300</v>
      </c>
      <c r="N21" s="146" t="s">
        <v>109</v>
      </c>
      <c r="O21" s="146"/>
      <c r="P21" s="146"/>
      <c r="Q21" s="146"/>
      <c r="R21" s="146"/>
      <c r="S21" s="146"/>
      <c r="T21" s="146"/>
      <c r="U21" s="146"/>
      <c r="V21" s="146"/>
      <c r="W21" s="609"/>
      <c r="X21" s="12"/>
      <c r="Y21" s="165" t="e">
        <f t="shared" si="8"/>
        <v>#DIV/0!</v>
      </c>
      <c r="Z21" s="12"/>
      <c r="AA21" s="165" t="e">
        <f t="shared" si="8"/>
        <v>#DIV/0!</v>
      </c>
      <c r="AB21" s="12"/>
      <c r="AC21" s="165" t="e">
        <f t="shared" si="8"/>
        <v>#DIV/0!</v>
      </c>
      <c r="AD21" s="12"/>
      <c r="AE21" s="165" t="e">
        <f t="shared" si="8"/>
        <v>#DIV/0!</v>
      </c>
      <c r="AF21" s="12"/>
      <c r="AG21" s="12"/>
      <c r="AI21" s="132" t="e">
        <f t="shared" si="0"/>
        <v>#DIV/0!</v>
      </c>
      <c r="AK21" s="132" t="e">
        <f t="shared" si="0"/>
        <v>#DIV/0!</v>
      </c>
      <c r="AM21" s="132" t="e">
        <f t="shared" si="0"/>
        <v>#DIV/0!</v>
      </c>
      <c r="AP21" s="132" t="e">
        <f t="shared" si="1"/>
        <v>#DIV/0!</v>
      </c>
      <c r="AR21" s="132" t="e">
        <f t="shared" si="1"/>
        <v>#DIV/0!</v>
      </c>
      <c r="AT21" s="132" t="e">
        <f t="shared" si="1"/>
        <v>#DIV/0!</v>
      </c>
      <c r="AV21" s="132" t="e">
        <f t="shared" si="1"/>
        <v>#DIV/0!</v>
      </c>
      <c r="AX21" s="132" t="e">
        <f t="shared" si="1"/>
        <v>#DIV/0!</v>
      </c>
      <c r="AZ21" s="132" t="e">
        <f t="shared" si="2"/>
        <v>#DIV/0!</v>
      </c>
      <c r="BB21" s="132" t="e">
        <f t="shared" si="3"/>
        <v>#DIV/0!</v>
      </c>
      <c r="BD21" s="132" t="e">
        <f t="shared" si="4"/>
        <v>#DIV/0!</v>
      </c>
      <c r="BF21" s="132" t="e">
        <f t="shared" si="4"/>
        <v>#DIV/0!</v>
      </c>
      <c r="BH21" s="132" t="e">
        <f t="shared" si="4"/>
        <v>#DIV/0!</v>
      </c>
      <c r="BJ21" s="132" t="e">
        <f t="shared" si="4"/>
        <v>#DIV/0!</v>
      </c>
      <c r="BL21" s="132" t="e">
        <f t="shared" si="4"/>
        <v>#DIV/0!</v>
      </c>
      <c r="BN21" s="132" t="e">
        <f t="shared" si="5"/>
        <v>#DIV/0!</v>
      </c>
      <c r="BP21" s="132" t="e">
        <f t="shared" si="6"/>
        <v>#DIV/0!</v>
      </c>
      <c r="BR21" s="132" t="e">
        <f t="shared" si="7"/>
        <v>#DIV/0!</v>
      </c>
    </row>
    <row r="22" spans="1:70" s="10" customFormat="1" ht="15.75" hidden="1" customHeight="1">
      <c r="A22" s="658"/>
      <c r="B22" s="662" t="s">
        <v>158</v>
      </c>
      <c r="C22" s="662" t="e">
        <f t="shared" si="9"/>
        <v>#REF!</v>
      </c>
      <c r="D22" s="12"/>
      <c r="E22" s="12" t="e">
        <f>F22&amp;G22&amp;H22&amp;I22&amp;J22&amp;K22&amp;L22&amp;M22&amp;N22&amp;O22&amp;P22&amp;Q22&amp;R22&amp;S22&amp;T22&amp;U22&amp;V22&amp;#REF!&amp;#REF!</f>
        <v>#REF!</v>
      </c>
      <c r="F22" s="609" t="s">
        <v>159</v>
      </c>
      <c r="G22" s="146" t="str">
        <f>G11</f>
        <v>p.DossierName3</v>
      </c>
      <c r="H22" s="146" t="s">
        <v>129</v>
      </c>
      <c r="I22" s="609" t="str">
        <f>"${"&amp;$G$4&amp;"}, ${"&amp;$I$4&amp;"}"</f>
        <v>${p.FamilyName3}, ${p.ManFirstName3}</v>
      </c>
      <c r="J22" s="146" t="s">
        <v>160</v>
      </c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609"/>
      <c r="X22" s="12"/>
      <c r="Y22" s="165" t="e">
        <f t="shared" si="8"/>
        <v>#DIV/0!</v>
      </c>
      <c r="Z22" s="12"/>
      <c r="AA22" s="165" t="e">
        <f t="shared" si="8"/>
        <v>#DIV/0!</v>
      </c>
      <c r="AB22" s="12"/>
      <c r="AC22" s="165" t="e">
        <f t="shared" si="8"/>
        <v>#DIV/0!</v>
      </c>
      <c r="AD22" s="12"/>
      <c r="AE22" s="165" t="e">
        <f t="shared" si="8"/>
        <v>#DIV/0!</v>
      </c>
      <c r="AF22" s="12"/>
      <c r="AG22" s="12"/>
      <c r="AI22" s="132" t="e">
        <f t="shared" si="0"/>
        <v>#DIV/0!</v>
      </c>
      <c r="AK22" s="132" t="e">
        <f t="shared" si="0"/>
        <v>#DIV/0!</v>
      </c>
      <c r="AM22" s="132" t="e">
        <f t="shared" si="0"/>
        <v>#DIV/0!</v>
      </c>
      <c r="AP22" s="132" t="e">
        <f t="shared" si="1"/>
        <v>#DIV/0!</v>
      </c>
      <c r="AR22" s="132" t="e">
        <f t="shared" si="1"/>
        <v>#DIV/0!</v>
      </c>
      <c r="AT22" s="132" t="e">
        <f t="shared" si="1"/>
        <v>#DIV/0!</v>
      </c>
      <c r="AV22" s="132" t="e">
        <f t="shared" si="1"/>
        <v>#DIV/0!</v>
      </c>
      <c r="AX22" s="132" t="e">
        <f t="shared" si="1"/>
        <v>#DIV/0!</v>
      </c>
      <c r="AZ22" s="132" t="e">
        <f t="shared" si="2"/>
        <v>#DIV/0!</v>
      </c>
      <c r="BB22" s="132" t="e">
        <f t="shared" si="3"/>
        <v>#DIV/0!</v>
      </c>
      <c r="BD22" s="132" t="e">
        <f t="shared" si="4"/>
        <v>#DIV/0!</v>
      </c>
      <c r="BF22" s="132" t="e">
        <f t="shared" si="4"/>
        <v>#DIV/0!</v>
      </c>
      <c r="BH22" s="132" t="e">
        <f t="shared" si="4"/>
        <v>#DIV/0!</v>
      </c>
      <c r="BJ22" s="132" t="e">
        <f t="shared" si="4"/>
        <v>#DIV/0!</v>
      </c>
      <c r="BL22" s="132" t="e">
        <f t="shared" si="4"/>
        <v>#DIV/0!</v>
      </c>
      <c r="BN22" s="132" t="e">
        <f t="shared" si="5"/>
        <v>#DIV/0!</v>
      </c>
      <c r="BP22" s="132" t="e">
        <f t="shared" si="6"/>
        <v>#DIV/0!</v>
      </c>
      <c r="BR22" s="132" t="e">
        <f t="shared" si="7"/>
        <v>#DIV/0!</v>
      </c>
    </row>
    <row r="23" spans="1:70" s="10" customFormat="1" ht="15.75" hidden="1" customHeight="1">
      <c r="A23" s="658"/>
      <c r="B23" s="662" t="s">
        <v>161</v>
      </c>
      <c r="C23" s="662" t="e">
        <f t="shared" si="9"/>
        <v>#REF!</v>
      </c>
      <c r="D23" s="12"/>
      <c r="E23" s="12" t="e">
        <f>F23&amp;G23&amp;H23&amp;I23&amp;J23&amp;K23&amp;L23&amp;M23&amp;N23&amp;O23&amp;P23&amp;Q23&amp;R23&amp;S23&amp;T23&amp;U23&amp;V23&amp;#REF!&amp;#REF!</f>
        <v>#REF!</v>
      </c>
      <c r="F23" s="619" t="s">
        <v>268</v>
      </c>
      <c r="G23" s="146" t="s">
        <v>269</v>
      </c>
      <c r="H23" s="146" t="s">
        <v>176</v>
      </c>
      <c r="I23" s="146" t="s">
        <v>270</v>
      </c>
      <c r="J23" s="146" t="s">
        <v>165</v>
      </c>
      <c r="K23" s="146">
        <v>100</v>
      </c>
      <c r="L23" s="146" t="s">
        <v>166</v>
      </c>
      <c r="M23" s="146">
        <v>1000</v>
      </c>
      <c r="N23" s="146" t="s">
        <v>167</v>
      </c>
      <c r="O23" s="613" t="s">
        <v>271</v>
      </c>
      <c r="P23" s="146" t="s">
        <v>168</v>
      </c>
      <c r="Q23" s="613" t="s">
        <v>223</v>
      </c>
      <c r="R23" s="146" t="s">
        <v>169</v>
      </c>
      <c r="S23" s="146" t="s">
        <v>170</v>
      </c>
      <c r="T23" s="146" t="s">
        <v>37</v>
      </c>
      <c r="U23" s="146"/>
      <c r="V23" s="146"/>
      <c r="W23" s="609"/>
      <c r="X23" s="12"/>
      <c r="Y23" s="165" t="e">
        <f t="shared" si="8"/>
        <v>#DIV/0!</v>
      </c>
      <c r="Z23" s="12"/>
      <c r="AA23" s="165" t="e">
        <f t="shared" si="8"/>
        <v>#DIV/0!</v>
      </c>
      <c r="AB23" s="12"/>
      <c r="AC23" s="165" t="e">
        <f t="shared" si="8"/>
        <v>#DIV/0!</v>
      </c>
      <c r="AD23" s="12"/>
      <c r="AE23" s="165" t="e">
        <f t="shared" si="8"/>
        <v>#DIV/0!</v>
      </c>
      <c r="AF23" s="12"/>
      <c r="AG23" s="12"/>
      <c r="AI23" s="132" t="e">
        <f t="shared" si="0"/>
        <v>#DIV/0!</v>
      </c>
      <c r="AK23" s="132" t="e">
        <f t="shared" si="0"/>
        <v>#DIV/0!</v>
      </c>
      <c r="AM23" s="132" t="e">
        <f t="shared" si="0"/>
        <v>#DIV/0!</v>
      </c>
      <c r="AP23" s="132" t="e">
        <f t="shared" si="1"/>
        <v>#DIV/0!</v>
      </c>
      <c r="AR23" s="132" t="e">
        <f t="shared" si="1"/>
        <v>#DIV/0!</v>
      </c>
      <c r="AT23" s="132" t="e">
        <f t="shared" si="1"/>
        <v>#DIV/0!</v>
      </c>
      <c r="AV23" s="132" t="e">
        <f t="shared" si="1"/>
        <v>#DIV/0!</v>
      </c>
      <c r="AX23" s="132" t="e">
        <f t="shared" si="1"/>
        <v>#DIV/0!</v>
      </c>
      <c r="AZ23" s="132" t="e">
        <f t="shared" si="2"/>
        <v>#DIV/0!</v>
      </c>
      <c r="BB23" s="132" t="e">
        <f t="shared" si="3"/>
        <v>#DIV/0!</v>
      </c>
      <c r="BD23" s="132" t="e">
        <f t="shared" si="4"/>
        <v>#DIV/0!</v>
      </c>
      <c r="BF23" s="132" t="e">
        <f t="shared" si="4"/>
        <v>#DIV/0!</v>
      </c>
      <c r="BH23" s="132" t="e">
        <f t="shared" si="4"/>
        <v>#DIV/0!</v>
      </c>
      <c r="BJ23" s="132" t="e">
        <f t="shared" si="4"/>
        <v>#DIV/0!</v>
      </c>
      <c r="BL23" s="132" t="e">
        <f t="shared" si="4"/>
        <v>#DIV/0!</v>
      </c>
      <c r="BN23" s="132" t="e">
        <f t="shared" si="5"/>
        <v>#DIV/0!</v>
      </c>
      <c r="BP23" s="132" t="e">
        <f t="shared" si="6"/>
        <v>#DIV/0!</v>
      </c>
      <c r="BR23" s="132" t="e">
        <f t="shared" si="7"/>
        <v>#DIV/0!</v>
      </c>
    </row>
    <row r="24" spans="1:70" s="10" customFormat="1" ht="15.75" hidden="1" customHeight="1">
      <c r="A24" s="658"/>
      <c r="B24" s="662" t="s">
        <v>139</v>
      </c>
      <c r="C24" s="662" t="e">
        <f>E24</f>
        <v>#REF!</v>
      </c>
      <c r="D24" s="12"/>
      <c r="E24" s="12" t="e">
        <f>F24&amp;G24&amp;H24&amp;I24&amp;J24&amp;K24&amp;L24&amp;M24&amp;N24&amp;O24&amp;P24&amp;Q24&amp;R24&amp;S24&amp;T24&amp;U24&amp;V24&amp;#REF!&amp;#REF!</f>
        <v>#REF!</v>
      </c>
      <c r="F24" s="609" t="s">
        <v>140</v>
      </c>
      <c r="G24" s="614" t="str">
        <f>G22</f>
        <v>p.DossierName3</v>
      </c>
      <c r="H24" s="609" t="s">
        <v>141</v>
      </c>
      <c r="I24" s="146" t="s">
        <v>142</v>
      </c>
      <c r="J24" s="609" t="s">
        <v>37</v>
      </c>
      <c r="K24" s="146"/>
      <c r="L24" s="609"/>
      <c r="M24" s="146"/>
      <c r="N24" s="609"/>
      <c r="O24" s="146"/>
      <c r="P24" s="609"/>
      <c r="Q24" s="146"/>
      <c r="R24" s="609"/>
      <c r="S24" s="146"/>
      <c r="T24" s="609"/>
      <c r="U24" s="146"/>
      <c r="V24" s="609"/>
      <c r="W24" s="609"/>
      <c r="X24" s="12"/>
      <c r="Y24" s="165" t="e">
        <f t="shared" si="8"/>
        <v>#DIV/0!</v>
      </c>
      <c r="Z24" s="12"/>
      <c r="AA24" s="165" t="e">
        <f t="shared" si="8"/>
        <v>#DIV/0!</v>
      </c>
      <c r="AB24" s="12"/>
      <c r="AC24" s="165" t="e">
        <f t="shared" si="8"/>
        <v>#DIV/0!</v>
      </c>
      <c r="AD24" s="12"/>
      <c r="AE24" s="165" t="e">
        <f t="shared" si="8"/>
        <v>#DIV/0!</v>
      </c>
      <c r="AF24" s="12"/>
      <c r="AG24" s="12"/>
      <c r="AI24" s="132" t="e">
        <f t="shared" si="0"/>
        <v>#DIV/0!</v>
      </c>
      <c r="AK24" s="132" t="e">
        <f t="shared" si="0"/>
        <v>#DIV/0!</v>
      </c>
      <c r="AM24" s="132" t="e">
        <f t="shared" si="0"/>
        <v>#DIV/0!</v>
      </c>
      <c r="AP24" s="132" t="e">
        <f t="shared" si="1"/>
        <v>#DIV/0!</v>
      </c>
      <c r="AR24" s="132" t="e">
        <f t="shared" si="1"/>
        <v>#DIV/0!</v>
      </c>
      <c r="AT24" s="132" t="e">
        <f t="shared" si="1"/>
        <v>#DIV/0!</v>
      </c>
      <c r="AV24" s="132" t="e">
        <f t="shared" si="1"/>
        <v>#DIV/0!</v>
      </c>
      <c r="AX24" s="132" t="e">
        <f t="shared" si="1"/>
        <v>#DIV/0!</v>
      </c>
      <c r="AZ24" s="132" t="e">
        <f t="shared" si="2"/>
        <v>#DIV/0!</v>
      </c>
      <c r="BB24" s="132" t="e">
        <f t="shared" si="3"/>
        <v>#DIV/0!</v>
      </c>
      <c r="BD24" s="132" t="e">
        <f t="shared" si="4"/>
        <v>#DIV/0!</v>
      </c>
      <c r="BF24" s="132" t="e">
        <f t="shared" si="4"/>
        <v>#DIV/0!</v>
      </c>
      <c r="BH24" s="132" t="e">
        <f t="shared" si="4"/>
        <v>#DIV/0!</v>
      </c>
      <c r="BJ24" s="132" t="e">
        <f t="shared" si="4"/>
        <v>#DIV/0!</v>
      </c>
      <c r="BL24" s="132" t="e">
        <f t="shared" si="4"/>
        <v>#DIV/0!</v>
      </c>
      <c r="BN24" s="132" t="e">
        <f t="shared" si="5"/>
        <v>#DIV/0!</v>
      </c>
      <c r="BP24" s="132" t="e">
        <f t="shared" si="6"/>
        <v>#DIV/0!</v>
      </c>
      <c r="BR24" s="132" t="e">
        <f t="shared" si="7"/>
        <v>#DIV/0!</v>
      </c>
    </row>
    <row r="25" spans="1:70" s="10" customFormat="1" ht="15.75" hidden="1" customHeight="1">
      <c r="A25" s="658"/>
      <c r="B25" s="661" t="s">
        <v>180</v>
      </c>
      <c r="C25" s="662" t="e">
        <f ca="1">E25</f>
        <v>#REF!</v>
      </c>
      <c r="D25" s="12"/>
      <c r="E25" s="12" t="e">
        <f ca="1">F25&amp;G25&amp;H25&amp;I25&amp;J25&amp;K25&amp;L25&amp;M25&amp;N25&amp;O25&amp;P25&amp;Q25&amp;R25&amp;S25&amp;T25&amp;U25&amp;V25&amp;#REF!&amp;#REF!</f>
        <v>#REF!</v>
      </c>
      <c r="F25" s="609" t="s">
        <v>181</v>
      </c>
      <c r="G25" s="614" t="str">
        <f ca="1">TEXT(TEXT(TODAY(),"DD")&amp;"."&amp;TEXT(TODAY(),"MM")&amp;"."&amp;TEXT(TODAY(),"YYYY"),"DD.MM.YYYY")</f>
        <v>04.11.2025</v>
      </c>
      <c r="H25" s="609" t="s">
        <v>182</v>
      </c>
      <c r="I25" s="146" t="s">
        <v>183</v>
      </c>
      <c r="J25" s="609" t="s">
        <v>184</v>
      </c>
      <c r="K25" s="614" t="str">
        <f ca="1">TEXT(TEXT(1,"DD")&amp;"."&amp;TEXT(TODAY(),"MM")&amp;"."&amp;TEXT(TODAY(),"YYYY"),"DD.MM.YYYY")</f>
        <v>01.11.2025</v>
      </c>
      <c r="L25" s="609" t="s">
        <v>37</v>
      </c>
      <c r="M25" s="146"/>
      <c r="N25" s="609"/>
      <c r="O25" s="146"/>
      <c r="P25" s="609"/>
      <c r="Q25" s="146"/>
      <c r="R25" s="609"/>
      <c r="S25" s="146"/>
      <c r="T25" s="609"/>
      <c r="U25" s="146"/>
      <c r="V25" s="609"/>
      <c r="W25" s="609"/>
      <c r="X25" s="12"/>
      <c r="Y25" s="165" t="e">
        <f t="shared" si="8"/>
        <v>#DIV/0!</v>
      </c>
      <c r="Z25" s="12"/>
      <c r="AA25" s="165" t="e">
        <f t="shared" si="8"/>
        <v>#DIV/0!</v>
      </c>
      <c r="AB25" s="12"/>
      <c r="AC25" s="165" t="e">
        <f t="shared" si="8"/>
        <v>#DIV/0!</v>
      </c>
      <c r="AD25" s="12"/>
      <c r="AE25" s="165" t="e">
        <f t="shared" si="8"/>
        <v>#DIV/0!</v>
      </c>
      <c r="AF25" s="12"/>
      <c r="AG25" s="12"/>
      <c r="AI25" s="132" t="e">
        <f t="shared" si="0"/>
        <v>#DIV/0!</v>
      </c>
      <c r="AK25" s="132" t="e">
        <f t="shared" si="0"/>
        <v>#DIV/0!</v>
      </c>
      <c r="AM25" s="132" t="e">
        <f t="shared" si="0"/>
        <v>#DIV/0!</v>
      </c>
      <c r="AP25" s="132" t="e">
        <f t="shared" si="1"/>
        <v>#DIV/0!</v>
      </c>
      <c r="AR25" s="132" t="e">
        <f t="shared" si="1"/>
        <v>#DIV/0!</v>
      </c>
      <c r="AT25" s="132" t="e">
        <f t="shared" si="1"/>
        <v>#DIV/0!</v>
      </c>
      <c r="AV25" s="132" t="e">
        <f t="shared" si="1"/>
        <v>#DIV/0!</v>
      </c>
      <c r="AX25" s="132" t="e">
        <f t="shared" si="1"/>
        <v>#DIV/0!</v>
      </c>
      <c r="AZ25" s="132" t="e">
        <f t="shared" si="2"/>
        <v>#DIV/0!</v>
      </c>
      <c r="BB25" s="132" t="e">
        <f t="shared" si="3"/>
        <v>#DIV/0!</v>
      </c>
      <c r="BD25" s="132" t="e">
        <f t="shared" si="4"/>
        <v>#DIV/0!</v>
      </c>
      <c r="BF25" s="132" t="e">
        <f t="shared" si="4"/>
        <v>#DIV/0!</v>
      </c>
      <c r="BH25" s="132" t="e">
        <f t="shared" si="4"/>
        <v>#DIV/0!</v>
      </c>
      <c r="BJ25" s="132" t="e">
        <f t="shared" si="4"/>
        <v>#DIV/0!</v>
      </c>
      <c r="BL25" s="132" t="e">
        <f t="shared" si="4"/>
        <v>#DIV/0!</v>
      </c>
      <c r="BN25" s="132" t="e">
        <f t="shared" si="5"/>
        <v>#DIV/0!</v>
      </c>
      <c r="BP25" s="132" t="e">
        <f t="shared" si="6"/>
        <v>#DIV/0!</v>
      </c>
      <c r="BR25" s="132" t="e">
        <f t="shared" si="7"/>
        <v>#DIV/0!</v>
      </c>
    </row>
    <row r="26" spans="1:70" s="10" customFormat="1" ht="15.75" hidden="1" customHeight="1">
      <c r="A26" s="658"/>
      <c r="B26" s="661" t="s">
        <v>22</v>
      </c>
      <c r="C26" s="662" t="s">
        <v>126</v>
      </c>
      <c r="D26" s="12"/>
      <c r="E26" s="209"/>
      <c r="F26" s="146"/>
      <c r="G26" s="617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609"/>
      <c r="X26" s="12"/>
      <c r="Y26" s="165" t="e">
        <f t="shared" si="8"/>
        <v>#DIV/0!</v>
      </c>
      <c r="Z26" s="12"/>
      <c r="AA26" s="165" t="e">
        <f t="shared" si="8"/>
        <v>#DIV/0!</v>
      </c>
      <c r="AB26" s="12"/>
      <c r="AC26" s="165" t="e">
        <f t="shared" si="8"/>
        <v>#DIV/0!</v>
      </c>
      <c r="AD26" s="12"/>
      <c r="AE26" s="165" t="e">
        <f t="shared" si="8"/>
        <v>#DIV/0!</v>
      </c>
      <c r="AF26" s="12"/>
      <c r="AG26" s="12"/>
      <c r="AI26" s="132" t="e">
        <f t="shared" si="0"/>
        <v>#DIV/0!</v>
      </c>
      <c r="AK26" s="132" t="e">
        <f t="shared" si="0"/>
        <v>#DIV/0!</v>
      </c>
      <c r="AM26" s="132" t="e">
        <f t="shared" si="0"/>
        <v>#DIV/0!</v>
      </c>
      <c r="AP26" s="132" t="e">
        <f t="shared" si="1"/>
        <v>#DIV/0!</v>
      </c>
      <c r="AR26" s="132" t="e">
        <f t="shared" si="1"/>
        <v>#DIV/0!</v>
      </c>
      <c r="AT26" s="132" t="e">
        <f t="shared" si="1"/>
        <v>#DIV/0!</v>
      </c>
      <c r="AV26" s="132" t="e">
        <f t="shared" si="1"/>
        <v>#DIV/0!</v>
      </c>
      <c r="AX26" s="132" t="e">
        <f t="shared" si="1"/>
        <v>#DIV/0!</v>
      </c>
      <c r="AZ26" s="132" t="e">
        <f t="shared" si="2"/>
        <v>#DIV/0!</v>
      </c>
      <c r="BB26" s="132" t="e">
        <f t="shared" si="3"/>
        <v>#DIV/0!</v>
      </c>
      <c r="BD26" s="132" t="e">
        <f t="shared" si="4"/>
        <v>#DIV/0!</v>
      </c>
      <c r="BF26" s="132" t="e">
        <f t="shared" si="4"/>
        <v>#DIV/0!</v>
      </c>
      <c r="BH26" s="132" t="e">
        <f t="shared" si="4"/>
        <v>#DIV/0!</v>
      </c>
      <c r="BJ26" s="132" t="e">
        <f t="shared" si="4"/>
        <v>#DIV/0!</v>
      </c>
      <c r="BL26" s="132" t="e">
        <f t="shared" si="4"/>
        <v>#DIV/0!</v>
      </c>
      <c r="BN26" s="132" t="e">
        <f t="shared" si="5"/>
        <v>#DIV/0!</v>
      </c>
      <c r="BP26" s="132" t="e">
        <f t="shared" si="6"/>
        <v>#DIV/0!</v>
      </c>
      <c r="BR26" s="132" t="e">
        <f t="shared" si="7"/>
        <v>#DIV/0!</v>
      </c>
    </row>
    <row r="27" spans="1:70" s="10" customFormat="1" ht="15.75" hidden="1" customHeight="1">
      <c r="A27" s="658"/>
      <c r="B27" s="661" t="s">
        <v>185</v>
      </c>
      <c r="C27" s="662" t="e">
        <f ca="1">E27</f>
        <v>#REF!</v>
      </c>
      <c r="D27" s="12"/>
      <c r="E27" s="12" t="e">
        <f ca="1">F27&amp;G27&amp;H27&amp;I27&amp;J27&amp;K27&amp;L27&amp;M27&amp;N27&amp;O27&amp;P27&amp;Q27&amp;R27&amp;S27&amp;T27&amp;U27&amp;V27&amp;#REF!&amp;#REF!</f>
        <v>#REF!</v>
      </c>
      <c r="F27" s="609" t="s">
        <v>186</v>
      </c>
      <c r="G27" s="146">
        <v>100</v>
      </c>
      <c r="H27" s="146" t="s">
        <v>187</v>
      </c>
      <c r="I27" s="614" t="str">
        <f ca="1">"01."&amp;MONTH(TODAY())&amp;"."&amp;YEAR(TODAY())</f>
        <v>01.11.2025</v>
      </c>
      <c r="J27" s="146" t="s">
        <v>188</v>
      </c>
      <c r="K27" s="614" t="str">
        <f ca="1">"27."&amp;MONTH(TODAY()+180)&amp;"."&amp;YEAR(TODAY()+180)</f>
        <v>27.5.2026</v>
      </c>
      <c r="L27" s="609" t="s">
        <v>189</v>
      </c>
      <c r="M27" s="146" t="s">
        <v>190</v>
      </c>
      <c r="N27" s="609" t="s">
        <v>37</v>
      </c>
      <c r="O27" s="146"/>
      <c r="P27" s="146"/>
      <c r="Q27" s="146"/>
      <c r="R27" s="146"/>
      <c r="S27" s="146"/>
      <c r="T27" s="146"/>
      <c r="U27" s="146"/>
      <c r="V27" s="146"/>
      <c r="W27" s="609"/>
      <c r="X27" s="12"/>
      <c r="Y27" s="165" t="e">
        <f t="shared" si="8"/>
        <v>#DIV/0!</v>
      </c>
      <c r="Z27" s="12"/>
      <c r="AA27" s="165" t="e">
        <f t="shared" si="8"/>
        <v>#DIV/0!</v>
      </c>
      <c r="AB27" s="12"/>
      <c r="AC27" s="165" t="e">
        <f t="shared" si="8"/>
        <v>#DIV/0!</v>
      </c>
      <c r="AD27" s="12"/>
      <c r="AE27" s="165" t="e">
        <f t="shared" si="8"/>
        <v>#DIV/0!</v>
      </c>
      <c r="AF27" s="12"/>
      <c r="AG27" s="12"/>
      <c r="AI27" s="132" t="e">
        <f t="shared" si="0"/>
        <v>#DIV/0!</v>
      </c>
      <c r="AK27" s="132" t="e">
        <f t="shared" si="0"/>
        <v>#DIV/0!</v>
      </c>
      <c r="AM27" s="132" t="e">
        <f t="shared" si="0"/>
        <v>#DIV/0!</v>
      </c>
      <c r="AP27" s="132" t="e">
        <f t="shared" si="1"/>
        <v>#DIV/0!</v>
      </c>
      <c r="AR27" s="132" t="e">
        <f t="shared" si="1"/>
        <v>#DIV/0!</v>
      </c>
      <c r="AT27" s="132" t="e">
        <f t="shared" si="1"/>
        <v>#DIV/0!</v>
      </c>
      <c r="AV27" s="132" t="e">
        <f t="shared" si="1"/>
        <v>#DIV/0!</v>
      </c>
      <c r="AX27" s="132" t="e">
        <f t="shared" si="1"/>
        <v>#DIV/0!</v>
      </c>
      <c r="AZ27" s="132" t="e">
        <f t="shared" si="2"/>
        <v>#DIV/0!</v>
      </c>
      <c r="BB27" s="132" t="e">
        <f t="shared" si="3"/>
        <v>#DIV/0!</v>
      </c>
      <c r="BD27" s="132" t="e">
        <f t="shared" si="4"/>
        <v>#DIV/0!</v>
      </c>
      <c r="BF27" s="132" t="e">
        <f t="shared" si="4"/>
        <v>#DIV/0!</v>
      </c>
      <c r="BH27" s="132" t="e">
        <f t="shared" si="4"/>
        <v>#DIV/0!</v>
      </c>
      <c r="BJ27" s="132" t="e">
        <f t="shared" si="4"/>
        <v>#DIV/0!</v>
      </c>
      <c r="BL27" s="132" t="e">
        <f t="shared" si="4"/>
        <v>#DIV/0!</v>
      </c>
      <c r="BN27" s="132" t="e">
        <f t="shared" si="5"/>
        <v>#DIV/0!</v>
      </c>
      <c r="BP27" s="132" t="e">
        <f t="shared" si="6"/>
        <v>#DIV/0!</v>
      </c>
      <c r="BR27" s="132" t="e">
        <f t="shared" si="7"/>
        <v>#DIV/0!</v>
      </c>
    </row>
    <row r="28" spans="1:70" s="10" customFormat="1" ht="15.75" hidden="1" customHeight="1">
      <c r="A28" s="658"/>
      <c r="B28" s="661" t="s">
        <v>22</v>
      </c>
      <c r="C28" s="662" t="s">
        <v>126</v>
      </c>
      <c r="D28" s="12"/>
      <c r="E28" s="209"/>
      <c r="F28" s="146"/>
      <c r="G28" s="617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609"/>
      <c r="X28" s="12"/>
      <c r="Y28" s="165" t="e">
        <f t="shared" si="8"/>
        <v>#DIV/0!</v>
      </c>
      <c r="Z28" s="12"/>
      <c r="AA28" s="165" t="e">
        <f t="shared" si="8"/>
        <v>#DIV/0!</v>
      </c>
      <c r="AB28" s="12"/>
      <c r="AC28" s="165" t="e">
        <f t="shared" si="8"/>
        <v>#DIV/0!</v>
      </c>
      <c r="AD28" s="12"/>
      <c r="AE28" s="165" t="e">
        <f t="shared" ref="AE28:AE53" si="10">AD28/($W28)</f>
        <v>#DIV/0!</v>
      </c>
      <c r="AF28" s="12"/>
      <c r="AG28" s="12"/>
      <c r="AI28" s="132" t="e">
        <f t="shared" si="0"/>
        <v>#DIV/0!</v>
      </c>
      <c r="AK28" s="132" t="e">
        <f t="shared" si="0"/>
        <v>#DIV/0!</v>
      </c>
      <c r="AM28" s="132" t="e">
        <f t="shared" si="0"/>
        <v>#DIV/0!</v>
      </c>
      <c r="AP28" s="132" t="e">
        <f t="shared" si="1"/>
        <v>#DIV/0!</v>
      </c>
      <c r="AR28" s="132" t="e">
        <f t="shared" si="1"/>
        <v>#DIV/0!</v>
      </c>
      <c r="AT28" s="132" t="e">
        <f t="shared" si="1"/>
        <v>#DIV/0!</v>
      </c>
      <c r="AV28" s="132" t="e">
        <f t="shared" si="1"/>
        <v>#DIV/0!</v>
      </c>
      <c r="AX28" s="132" t="e">
        <f t="shared" si="1"/>
        <v>#DIV/0!</v>
      </c>
      <c r="AZ28" s="132" t="e">
        <f t="shared" si="2"/>
        <v>#DIV/0!</v>
      </c>
      <c r="BB28" s="132" t="e">
        <f t="shared" si="3"/>
        <v>#DIV/0!</v>
      </c>
      <c r="BD28" s="132" t="e">
        <f t="shared" si="4"/>
        <v>#DIV/0!</v>
      </c>
      <c r="BF28" s="132" t="e">
        <f t="shared" si="4"/>
        <v>#DIV/0!</v>
      </c>
      <c r="BH28" s="132" t="e">
        <f t="shared" si="4"/>
        <v>#DIV/0!</v>
      </c>
      <c r="BJ28" s="132" t="e">
        <f t="shared" si="4"/>
        <v>#DIV/0!</v>
      </c>
      <c r="BL28" s="132" t="e">
        <f t="shared" si="4"/>
        <v>#DIV/0!</v>
      </c>
      <c r="BN28" s="132" t="e">
        <f t="shared" si="5"/>
        <v>#DIV/0!</v>
      </c>
      <c r="BP28" s="132" t="e">
        <f t="shared" si="6"/>
        <v>#DIV/0!</v>
      </c>
      <c r="BR28" s="132" t="e">
        <f t="shared" si="7"/>
        <v>#DIV/0!</v>
      </c>
    </row>
    <row r="29" spans="1:70" s="10" customFormat="1" ht="15.75" hidden="1" customHeight="1">
      <c r="A29" s="658"/>
      <c r="B29" s="661" t="s">
        <v>191</v>
      </c>
      <c r="C29" s="662" t="e">
        <f t="shared" ref="C29:C44" ca="1" si="11">E29</f>
        <v>#REF!</v>
      </c>
      <c r="D29" s="12"/>
      <c r="E29" s="12" t="e">
        <f ca="1">F29&amp;G29&amp;H29&amp;I29&amp;J29&amp;K29&amp;L29&amp;M29&amp;N29&amp;O29&amp;P29&amp;Q29&amp;R29&amp;S29&amp;T29&amp;U29&amp;V29&amp;#REF!&amp;#REF!</f>
        <v>#REF!</v>
      </c>
      <c r="F29" s="609" t="s">
        <v>192</v>
      </c>
      <c r="G29" s="614" t="str">
        <f ca="1">TEXT(TEXT(TODAY(),"DD")&amp;"."&amp;TEXT(TODAY(),"MM")&amp;"."&amp;TEXT(TODAY(),"YYYY"),"DD.MM.YYYY")</f>
        <v>04.11.2025</v>
      </c>
      <c r="H29" s="609" t="s">
        <v>193</v>
      </c>
      <c r="I29" s="614" t="str">
        <f ca="1">TEXT(TEXT(TODAY(),"DD")&amp;"."&amp;TEXT(TODAY(),"MM")&amp;"."&amp;TEXT(TODAY()+360,"YYYY"),"DD.MM.YYYY")</f>
        <v>04.11.2026</v>
      </c>
      <c r="J29" s="609" t="s">
        <v>132</v>
      </c>
      <c r="K29" s="146" t="s">
        <v>133</v>
      </c>
      <c r="L29" s="609" t="s">
        <v>37</v>
      </c>
      <c r="M29" s="146"/>
      <c r="N29" s="609"/>
      <c r="O29" s="146"/>
      <c r="P29" s="609"/>
      <c r="Q29" s="146"/>
      <c r="R29" s="609"/>
      <c r="S29" s="146"/>
      <c r="T29" s="609"/>
      <c r="U29" s="146"/>
      <c r="V29" s="609"/>
      <c r="W29" s="609"/>
      <c r="X29" s="12"/>
      <c r="Y29" s="165" t="e">
        <f t="shared" si="8"/>
        <v>#DIV/0!</v>
      </c>
      <c r="Z29" s="12"/>
      <c r="AA29" s="165" t="e">
        <f t="shared" si="8"/>
        <v>#DIV/0!</v>
      </c>
      <c r="AB29" s="12"/>
      <c r="AC29" s="165" t="e">
        <f t="shared" si="8"/>
        <v>#DIV/0!</v>
      </c>
      <c r="AD29" s="12"/>
      <c r="AE29" s="165" t="e">
        <f t="shared" si="10"/>
        <v>#DIV/0!</v>
      </c>
      <c r="AF29" s="12"/>
      <c r="AG29" s="12"/>
      <c r="AI29" s="132" t="e">
        <f t="shared" si="0"/>
        <v>#DIV/0!</v>
      </c>
      <c r="AK29" s="132" t="e">
        <f t="shared" si="0"/>
        <v>#DIV/0!</v>
      </c>
      <c r="AM29" s="132" t="e">
        <f t="shared" si="0"/>
        <v>#DIV/0!</v>
      </c>
      <c r="AP29" s="132" t="e">
        <f t="shared" si="1"/>
        <v>#DIV/0!</v>
      </c>
      <c r="AR29" s="132" t="e">
        <f t="shared" si="1"/>
        <v>#DIV/0!</v>
      </c>
      <c r="AT29" s="132" t="e">
        <f t="shared" si="1"/>
        <v>#DIV/0!</v>
      </c>
      <c r="AV29" s="132" t="e">
        <f t="shared" si="1"/>
        <v>#DIV/0!</v>
      </c>
      <c r="AX29" s="132" t="e">
        <f t="shared" si="1"/>
        <v>#DIV/0!</v>
      </c>
      <c r="AZ29" s="132" t="e">
        <f t="shared" si="2"/>
        <v>#DIV/0!</v>
      </c>
      <c r="BB29" s="132" t="e">
        <f t="shared" si="3"/>
        <v>#DIV/0!</v>
      </c>
      <c r="BD29" s="132" t="e">
        <f t="shared" si="4"/>
        <v>#DIV/0!</v>
      </c>
      <c r="BF29" s="132" t="e">
        <f t="shared" si="4"/>
        <v>#DIV/0!</v>
      </c>
      <c r="BH29" s="132" t="e">
        <f t="shared" si="4"/>
        <v>#DIV/0!</v>
      </c>
      <c r="BJ29" s="132" t="e">
        <f t="shared" si="4"/>
        <v>#DIV/0!</v>
      </c>
      <c r="BL29" s="132" t="e">
        <f t="shared" si="4"/>
        <v>#DIV/0!</v>
      </c>
      <c r="BN29" s="132" t="e">
        <f t="shared" si="5"/>
        <v>#DIV/0!</v>
      </c>
      <c r="BP29" s="132" t="e">
        <f t="shared" si="6"/>
        <v>#DIV/0!</v>
      </c>
      <c r="BR29" s="132" t="e">
        <f t="shared" si="7"/>
        <v>#DIV/0!</v>
      </c>
    </row>
    <row r="30" spans="1:70" s="10" customFormat="1" ht="15.75" hidden="1" customHeight="1">
      <c r="A30" s="658"/>
      <c r="B30" s="661" t="s">
        <v>22</v>
      </c>
      <c r="C30" s="662" t="s">
        <v>126</v>
      </c>
      <c r="D30" s="12"/>
      <c r="E30" s="209"/>
      <c r="F30" s="146"/>
      <c r="G30" s="648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609"/>
      <c r="X30" s="12"/>
      <c r="Y30" s="165" t="e">
        <f t="shared" si="8"/>
        <v>#DIV/0!</v>
      </c>
      <c r="Z30" s="12"/>
      <c r="AA30" s="165" t="e">
        <f t="shared" si="8"/>
        <v>#DIV/0!</v>
      </c>
      <c r="AB30" s="12"/>
      <c r="AC30" s="165" t="e">
        <f t="shared" si="8"/>
        <v>#DIV/0!</v>
      </c>
      <c r="AD30" s="12"/>
      <c r="AE30" s="165" t="e">
        <f t="shared" si="10"/>
        <v>#DIV/0!</v>
      </c>
      <c r="AF30" s="12"/>
      <c r="AG30" s="12"/>
      <c r="AI30" s="132" t="e">
        <f t="shared" si="0"/>
        <v>#DIV/0!</v>
      </c>
      <c r="AK30" s="132" t="e">
        <f t="shared" si="0"/>
        <v>#DIV/0!</v>
      </c>
      <c r="AM30" s="132" t="e">
        <f t="shared" si="0"/>
        <v>#DIV/0!</v>
      </c>
      <c r="AP30" s="132" t="e">
        <f t="shared" si="1"/>
        <v>#DIV/0!</v>
      </c>
      <c r="AR30" s="132" t="e">
        <f t="shared" si="1"/>
        <v>#DIV/0!</v>
      </c>
      <c r="AT30" s="132" t="e">
        <f t="shared" si="1"/>
        <v>#DIV/0!</v>
      </c>
      <c r="AV30" s="132" t="e">
        <f t="shared" si="1"/>
        <v>#DIV/0!</v>
      </c>
      <c r="AX30" s="132" t="e">
        <f t="shared" si="1"/>
        <v>#DIV/0!</v>
      </c>
      <c r="AZ30" s="132" t="e">
        <f t="shared" si="2"/>
        <v>#DIV/0!</v>
      </c>
      <c r="BB30" s="132" t="e">
        <f t="shared" si="3"/>
        <v>#DIV/0!</v>
      </c>
      <c r="BD30" s="132" t="e">
        <f t="shared" si="4"/>
        <v>#DIV/0!</v>
      </c>
      <c r="BF30" s="132" t="e">
        <f t="shared" si="4"/>
        <v>#DIV/0!</v>
      </c>
      <c r="BH30" s="132" t="e">
        <f t="shared" si="4"/>
        <v>#DIV/0!</v>
      </c>
      <c r="BJ30" s="132" t="e">
        <f t="shared" si="4"/>
        <v>#DIV/0!</v>
      </c>
      <c r="BL30" s="132" t="e">
        <f t="shared" si="4"/>
        <v>#DIV/0!</v>
      </c>
      <c r="BN30" s="132" t="e">
        <f t="shared" si="5"/>
        <v>#DIV/0!</v>
      </c>
      <c r="BP30" s="132" t="e">
        <f t="shared" si="6"/>
        <v>#DIV/0!</v>
      </c>
      <c r="BR30" s="132" t="e">
        <f t="shared" si="7"/>
        <v>#DIV/0!</v>
      </c>
    </row>
    <row r="31" spans="1:70" s="10" customFormat="1" ht="15.75" hidden="1" customHeight="1">
      <c r="A31" s="658"/>
      <c r="B31" s="661" t="s">
        <v>134</v>
      </c>
      <c r="C31" s="662" t="e">
        <f t="shared" si="11"/>
        <v>#REF!</v>
      </c>
      <c r="D31" s="12"/>
      <c r="E31" s="12" t="e">
        <f>F31&amp;G31&amp;H31&amp;I31&amp;J31&amp;K31&amp;L31&amp;M31&amp;N31&amp;O31&amp;P31&amp;Q31&amp;R31&amp;S31&amp;T31&amp;U31&amp;V31&amp;#REF!&amp;#REF!</f>
        <v>#REF!</v>
      </c>
      <c r="F31" s="609" t="s">
        <v>29</v>
      </c>
      <c r="G31" s="617" t="s">
        <v>30</v>
      </c>
      <c r="H31" s="609" t="s">
        <v>31</v>
      </c>
      <c r="I31" s="618" t="s">
        <v>32</v>
      </c>
      <c r="J31" s="609" t="s">
        <v>37</v>
      </c>
      <c r="K31" s="614"/>
      <c r="L31" s="609"/>
      <c r="M31" s="146"/>
      <c r="N31" s="609"/>
      <c r="O31" s="146"/>
      <c r="P31" s="609"/>
      <c r="Q31" s="146"/>
      <c r="R31" s="609"/>
      <c r="S31" s="146"/>
      <c r="T31" s="609"/>
      <c r="U31" s="146"/>
      <c r="V31" s="609"/>
      <c r="W31" s="609"/>
      <c r="X31" s="12"/>
      <c r="Y31" s="165" t="e">
        <f t="shared" si="8"/>
        <v>#DIV/0!</v>
      </c>
      <c r="Z31" s="12"/>
      <c r="AA31" s="165" t="e">
        <f t="shared" si="8"/>
        <v>#DIV/0!</v>
      </c>
      <c r="AB31" s="12"/>
      <c r="AC31" s="165" t="e">
        <f t="shared" si="8"/>
        <v>#DIV/0!</v>
      </c>
      <c r="AD31" s="12"/>
      <c r="AE31" s="165" t="e">
        <f t="shared" si="10"/>
        <v>#DIV/0!</v>
      </c>
      <c r="AF31" s="12"/>
      <c r="AG31" s="12"/>
      <c r="AI31" s="132" t="e">
        <f t="shared" si="0"/>
        <v>#DIV/0!</v>
      </c>
      <c r="AK31" s="132" t="e">
        <f t="shared" si="0"/>
        <v>#DIV/0!</v>
      </c>
      <c r="AM31" s="132" t="e">
        <f t="shared" si="0"/>
        <v>#DIV/0!</v>
      </c>
      <c r="AP31" s="132" t="e">
        <f t="shared" si="1"/>
        <v>#DIV/0!</v>
      </c>
      <c r="AR31" s="132" t="e">
        <f t="shared" si="1"/>
        <v>#DIV/0!</v>
      </c>
      <c r="AT31" s="132" t="e">
        <f t="shared" si="1"/>
        <v>#DIV/0!</v>
      </c>
      <c r="AV31" s="132" t="e">
        <f t="shared" si="1"/>
        <v>#DIV/0!</v>
      </c>
      <c r="AX31" s="132" t="e">
        <f t="shared" si="1"/>
        <v>#DIV/0!</v>
      </c>
      <c r="AZ31" s="132" t="e">
        <f t="shared" si="2"/>
        <v>#DIV/0!</v>
      </c>
      <c r="BB31" s="132" t="e">
        <f t="shared" si="3"/>
        <v>#DIV/0!</v>
      </c>
      <c r="BD31" s="132" t="e">
        <f t="shared" si="4"/>
        <v>#DIV/0!</v>
      </c>
      <c r="BF31" s="132" t="e">
        <f t="shared" si="4"/>
        <v>#DIV/0!</v>
      </c>
      <c r="BH31" s="132" t="e">
        <f t="shared" si="4"/>
        <v>#DIV/0!</v>
      </c>
      <c r="BJ31" s="132" t="e">
        <f t="shared" si="4"/>
        <v>#DIV/0!</v>
      </c>
      <c r="BL31" s="132" t="e">
        <f t="shared" si="4"/>
        <v>#DIV/0!</v>
      </c>
      <c r="BN31" s="132" t="e">
        <f t="shared" si="5"/>
        <v>#DIV/0!</v>
      </c>
      <c r="BP31" s="132" t="e">
        <f t="shared" si="6"/>
        <v>#DIV/0!</v>
      </c>
      <c r="BR31" s="132" t="e">
        <f t="shared" si="7"/>
        <v>#DIV/0!</v>
      </c>
    </row>
    <row r="32" spans="1:70" s="10" customFormat="1" ht="15.75" hidden="1" customHeight="1">
      <c r="A32" s="658"/>
      <c r="B32" s="661" t="s">
        <v>22</v>
      </c>
      <c r="C32" s="662" t="s">
        <v>126</v>
      </c>
      <c r="D32" s="12"/>
      <c r="E32" s="209"/>
      <c r="F32" s="146"/>
      <c r="G32" s="648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609"/>
      <c r="X32" s="12"/>
      <c r="Y32" s="165" t="e">
        <f t="shared" si="8"/>
        <v>#DIV/0!</v>
      </c>
      <c r="Z32" s="12"/>
      <c r="AA32" s="165" t="e">
        <f t="shared" si="8"/>
        <v>#DIV/0!</v>
      </c>
      <c r="AB32" s="12"/>
      <c r="AC32" s="165" t="e">
        <f t="shared" si="8"/>
        <v>#DIV/0!</v>
      </c>
      <c r="AD32" s="12"/>
      <c r="AE32" s="165" t="e">
        <f t="shared" si="10"/>
        <v>#DIV/0!</v>
      </c>
      <c r="AF32" s="12"/>
      <c r="AG32" s="12"/>
      <c r="AI32" s="132" t="e">
        <f t="shared" si="0"/>
        <v>#DIV/0!</v>
      </c>
      <c r="AK32" s="132" t="e">
        <f t="shared" si="0"/>
        <v>#DIV/0!</v>
      </c>
      <c r="AM32" s="132" t="e">
        <f t="shared" si="0"/>
        <v>#DIV/0!</v>
      </c>
      <c r="AP32" s="132" t="e">
        <f t="shared" si="1"/>
        <v>#DIV/0!</v>
      </c>
      <c r="AR32" s="132" t="e">
        <f t="shared" si="1"/>
        <v>#DIV/0!</v>
      </c>
      <c r="AT32" s="132" t="e">
        <f t="shared" si="1"/>
        <v>#DIV/0!</v>
      </c>
      <c r="AV32" s="132" t="e">
        <f t="shared" si="1"/>
        <v>#DIV/0!</v>
      </c>
      <c r="AX32" s="132" t="e">
        <f t="shared" si="1"/>
        <v>#DIV/0!</v>
      </c>
      <c r="AZ32" s="132" t="e">
        <f t="shared" si="2"/>
        <v>#DIV/0!</v>
      </c>
      <c r="BB32" s="132" t="e">
        <f t="shared" si="3"/>
        <v>#DIV/0!</v>
      </c>
      <c r="BD32" s="132" t="e">
        <f t="shared" si="4"/>
        <v>#DIV/0!</v>
      </c>
      <c r="BF32" s="132" t="e">
        <f t="shared" si="4"/>
        <v>#DIV/0!</v>
      </c>
      <c r="BH32" s="132" t="e">
        <f t="shared" si="4"/>
        <v>#DIV/0!</v>
      </c>
      <c r="BJ32" s="132" t="e">
        <f t="shared" si="4"/>
        <v>#DIV/0!</v>
      </c>
      <c r="BL32" s="132" t="e">
        <f t="shared" si="4"/>
        <v>#DIV/0!</v>
      </c>
      <c r="BN32" s="132" t="e">
        <f t="shared" si="5"/>
        <v>#DIV/0!</v>
      </c>
      <c r="BP32" s="132" t="e">
        <f t="shared" si="6"/>
        <v>#DIV/0!</v>
      </c>
      <c r="BR32" s="132" t="e">
        <f t="shared" si="7"/>
        <v>#DIV/0!</v>
      </c>
    </row>
    <row r="33" spans="1:84" s="10" customFormat="1" ht="15.75" hidden="1" customHeight="1">
      <c r="A33" s="658"/>
      <c r="B33" s="661" t="s">
        <v>273</v>
      </c>
      <c r="C33" s="662" t="e">
        <f>E33</f>
        <v>#REF!</v>
      </c>
      <c r="D33" s="12"/>
      <c r="E33" s="12" t="e">
        <f>F33&amp;G33&amp;H33&amp;I33&amp;J33&amp;K33&amp;L33&amp;M33&amp;N33&amp;O33&amp;P33&amp;Q33&amp;R33&amp;S33&amp;T33&amp;U33&amp;V33&amp;#REF!&amp;#REF!</f>
        <v>#REF!</v>
      </c>
      <c r="F33" s="609" t="s">
        <v>159</v>
      </c>
      <c r="G33" s="614" t="str">
        <f>G24</f>
        <v>p.DossierName3</v>
      </c>
      <c r="H33" s="609" t="s">
        <v>198</v>
      </c>
      <c r="I33" s="146" t="s">
        <v>199</v>
      </c>
      <c r="J33" s="609" t="s">
        <v>132</v>
      </c>
      <c r="K33" s="146" t="s">
        <v>133</v>
      </c>
      <c r="L33" s="609" t="s">
        <v>37</v>
      </c>
      <c r="M33" s="146"/>
      <c r="N33" s="609"/>
      <c r="O33" s="146"/>
      <c r="P33" s="609"/>
      <c r="Q33" s="146"/>
      <c r="R33" s="609"/>
      <c r="S33" s="146"/>
      <c r="T33" s="609"/>
      <c r="U33" s="146"/>
      <c r="V33" s="609"/>
      <c r="W33" s="609"/>
      <c r="X33" s="12"/>
      <c r="Y33" s="165" t="e">
        <f t="shared" si="8"/>
        <v>#DIV/0!</v>
      </c>
      <c r="Z33" s="12"/>
      <c r="AA33" s="165" t="e">
        <f t="shared" si="8"/>
        <v>#DIV/0!</v>
      </c>
      <c r="AB33" s="12"/>
      <c r="AC33" s="165" t="e">
        <f t="shared" si="8"/>
        <v>#DIV/0!</v>
      </c>
      <c r="AD33" s="12"/>
      <c r="AE33" s="165" t="e">
        <f t="shared" si="10"/>
        <v>#DIV/0!</v>
      </c>
      <c r="AF33" s="12"/>
      <c r="AG33" s="12"/>
      <c r="AI33" s="132" t="e">
        <f t="shared" si="0"/>
        <v>#DIV/0!</v>
      </c>
      <c r="AK33" s="132" t="e">
        <f t="shared" si="0"/>
        <v>#DIV/0!</v>
      </c>
      <c r="AM33" s="132" t="e">
        <f t="shared" si="0"/>
        <v>#DIV/0!</v>
      </c>
      <c r="AP33" s="132" t="e">
        <f t="shared" si="1"/>
        <v>#DIV/0!</v>
      </c>
      <c r="AR33" s="132" t="e">
        <f t="shared" si="1"/>
        <v>#DIV/0!</v>
      </c>
      <c r="AT33" s="132" t="e">
        <f t="shared" si="1"/>
        <v>#DIV/0!</v>
      </c>
      <c r="AV33" s="132" t="e">
        <f t="shared" si="1"/>
        <v>#DIV/0!</v>
      </c>
      <c r="AX33" s="132" t="e">
        <f t="shared" si="1"/>
        <v>#DIV/0!</v>
      </c>
      <c r="AZ33" s="132" t="e">
        <f t="shared" si="2"/>
        <v>#DIV/0!</v>
      </c>
      <c r="BB33" s="132" t="e">
        <f t="shared" si="3"/>
        <v>#DIV/0!</v>
      </c>
      <c r="BD33" s="132" t="e">
        <f t="shared" si="4"/>
        <v>#DIV/0!</v>
      </c>
      <c r="BF33" s="132" t="e">
        <f t="shared" si="4"/>
        <v>#DIV/0!</v>
      </c>
      <c r="BH33" s="132" t="e">
        <f t="shared" si="4"/>
        <v>#DIV/0!</v>
      </c>
      <c r="BJ33" s="132" t="e">
        <f t="shared" si="4"/>
        <v>#DIV/0!</v>
      </c>
      <c r="BL33" s="132" t="e">
        <f t="shared" si="4"/>
        <v>#DIV/0!</v>
      </c>
      <c r="BN33" s="132" t="e">
        <f t="shared" si="5"/>
        <v>#DIV/0!</v>
      </c>
      <c r="BP33" s="132" t="e">
        <f t="shared" si="6"/>
        <v>#DIV/0!</v>
      </c>
      <c r="BR33" s="132" t="e">
        <f t="shared" si="7"/>
        <v>#DIV/0!</v>
      </c>
    </row>
    <row r="34" spans="1:84" s="10" customFormat="1" ht="15.75" hidden="1" customHeight="1">
      <c r="A34" s="658"/>
      <c r="B34" s="661" t="s">
        <v>134</v>
      </c>
      <c r="C34" s="662" t="e">
        <f t="shared" si="11"/>
        <v>#REF!</v>
      </c>
      <c r="D34" s="12"/>
      <c r="E34" s="12" t="e">
        <f>F34&amp;G34&amp;H34&amp;I34&amp;J34&amp;K34&amp;L34&amp;M34&amp;N34&amp;O34&amp;P34&amp;Q34&amp;R34&amp;S34&amp;T34&amp;U34&amp;V34&amp;#REF!&amp;#REF!</f>
        <v>#REF!</v>
      </c>
      <c r="F34" s="609" t="s">
        <v>29</v>
      </c>
      <c r="G34" s="617" t="s">
        <v>195</v>
      </c>
      <c r="H34" s="609" t="s">
        <v>31</v>
      </c>
      <c r="I34" s="618" t="s">
        <v>196</v>
      </c>
      <c r="J34" s="609" t="s">
        <v>37</v>
      </c>
      <c r="K34" s="614"/>
      <c r="L34" s="609"/>
      <c r="M34" s="146"/>
      <c r="N34" s="609"/>
      <c r="O34" s="146"/>
      <c r="P34" s="609"/>
      <c r="Q34" s="146"/>
      <c r="R34" s="609"/>
      <c r="S34" s="146"/>
      <c r="T34" s="609"/>
      <c r="U34" s="146"/>
      <c r="V34" s="609"/>
      <c r="W34" s="609"/>
      <c r="X34" s="12"/>
      <c r="Y34" s="165" t="e">
        <f t="shared" si="8"/>
        <v>#DIV/0!</v>
      </c>
      <c r="Z34" s="12"/>
      <c r="AA34" s="165" t="e">
        <f t="shared" si="8"/>
        <v>#DIV/0!</v>
      </c>
      <c r="AB34" s="12"/>
      <c r="AC34" s="165" t="e">
        <f t="shared" si="8"/>
        <v>#DIV/0!</v>
      </c>
      <c r="AD34" s="12"/>
      <c r="AE34" s="165" t="e">
        <f t="shared" si="10"/>
        <v>#DIV/0!</v>
      </c>
      <c r="AF34" s="12"/>
      <c r="AG34" s="12"/>
      <c r="AI34" s="132" t="e">
        <f t="shared" si="0"/>
        <v>#DIV/0!</v>
      </c>
      <c r="AK34" s="132" t="e">
        <f t="shared" si="0"/>
        <v>#DIV/0!</v>
      </c>
      <c r="AM34" s="132" t="e">
        <f t="shared" si="0"/>
        <v>#DIV/0!</v>
      </c>
      <c r="AP34" s="132" t="e">
        <f t="shared" si="1"/>
        <v>#DIV/0!</v>
      </c>
      <c r="AR34" s="132" t="e">
        <f t="shared" si="1"/>
        <v>#DIV/0!</v>
      </c>
      <c r="AT34" s="132" t="e">
        <f t="shared" si="1"/>
        <v>#DIV/0!</v>
      </c>
      <c r="AV34" s="132" t="e">
        <f t="shared" si="1"/>
        <v>#DIV/0!</v>
      </c>
      <c r="AX34" s="132" t="e">
        <f t="shared" si="1"/>
        <v>#DIV/0!</v>
      </c>
      <c r="AZ34" s="132" t="e">
        <f t="shared" si="2"/>
        <v>#DIV/0!</v>
      </c>
      <c r="BB34" s="132" t="e">
        <f t="shared" si="3"/>
        <v>#DIV/0!</v>
      </c>
      <c r="BD34" s="132" t="e">
        <f t="shared" si="4"/>
        <v>#DIV/0!</v>
      </c>
      <c r="BF34" s="132" t="e">
        <f t="shared" si="4"/>
        <v>#DIV/0!</v>
      </c>
      <c r="BH34" s="132" t="e">
        <f t="shared" si="4"/>
        <v>#DIV/0!</v>
      </c>
      <c r="BJ34" s="132" t="e">
        <f t="shared" si="4"/>
        <v>#DIV/0!</v>
      </c>
      <c r="BL34" s="132" t="e">
        <f t="shared" si="4"/>
        <v>#DIV/0!</v>
      </c>
      <c r="BN34" s="132" t="e">
        <f t="shared" si="5"/>
        <v>#DIV/0!</v>
      </c>
      <c r="BP34" s="132" t="e">
        <f t="shared" ref="BP34:BP53" si="12">BO34/$AJ34</f>
        <v>#DIV/0!</v>
      </c>
      <c r="BR34" s="132" t="e">
        <f t="shared" si="7"/>
        <v>#DIV/0!</v>
      </c>
    </row>
    <row r="35" spans="1:84" s="10" customFormat="1" ht="15.75" hidden="1" customHeight="1">
      <c r="A35" s="658"/>
      <c r="B35" s="661" t="s">
        <v>22</v>
      </c>
      <c r="C35" s="662" t="s">
        <v>70</v>
      </c>
      <c r="D35" s="12"/>
      <c r="E35" s="209"/>
      <c r="F35" s="146"/>
      <c r="G35" s="648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609"/>
      <c r="X35" s="12"/>
      <c r="Y35" s="165" t="e">
        <f t="shared" si="8"/>
        <v>#DIV/0!</v>
      </c>
      <c r="Z35" s="12"/>
      <c r="AA35" s="165" t="e">
        <f t="shared" si="8"/>
        <v>#DIV/0!</v>
      </c>
      <c r="AB35" s="12"/>
      <c r="AC35" s="165" t="e">
        <f t="shared" si="8"/>
        <v>#DIV/0!</v>
      </c>
      <c r="AD35" s="12"/>
      <c r="AE35" s="165" t="e">
        <f t="shared" si="10"/>
        <v>#DIV/0!</v>
      </c>
      <c r="AF35" s="12"/>
      <c r="AG35" s="12"/>
      <c r="AI35" s="132" t="e">
        <f t="shared" si="0"/>
        <v>#DIV/0!</v>
      </c>
      <c r="AK35" s="132" t="e">
        <f t="shared" si="0"/>
        <v>#DIV/0!</v>
      </c>
      <c r="AM35" s="132" t="e">
        <f t="shared" si="0"/>
        <v>#DIV/0!</v>
      </c>
      <c r="AP35" s="132" t="e">
        <f t="shared" si="1"/>
        <v>#DIV/0!</v>
      </c>
      <c r="AR35" s="132" t="e">
        <f t="shared" si="1"/>
        <v>#DIV/0!</v>
      </c>
      <c r="AT35" s="132" t="e">
        <f t="shared" si="1"/>
        <v>#DIV/0!</v>
      </c>
      <c r="AV35" s="132" t="e">
        <f t="shared" si="1"/>
        <v>#DIV/0!</v>
      </c>
      <c r="AX35" s="132" t="e">
        <f t="shared" si="1"/>
        <v>#DIV/0!</v>
      </c>
      <c r="AZ35" s="132" t="e">
        <f t="shared" si="2"/>
        <v>#DIV/0!</v>
      </c>
      <c r="BB35" s="132" t="e">
        <f t="shared" si="3"/>
        <v>#DIV/0!</v>
      </c>
      <c r="BD35" s="132" t="e">
        <f t="shared" si="4"/>
        <v>#DIV/0!</v>
      </c>
      <c r="BF35" s="132" t="e">
        <f t="shared" si="4"/>
        <v>#DIV/0!</v>
      </c>
      <c r="BH35" s="132" t="e">
        <f t="shared" si="4"/>
        <v>#DIV/0!</v>
      </c>
      <c r="BJ35" s="132" t="e">
        <f t="shared" si="4"/>
        <v>#DIV/0!</v>
      </c>
      <c r="BL35" s="132" t="e">
        <f t="shared" si="4"/>
        <v>#DIV/0!</v>
      </c>
      <c r="BN35" s="132" t="e">
        <f t="shared" si="5"/>
        <v>#DIV/0!</v>
      </c>
      <c r="BP35" s="132" t="e">
        <f t="shared" si="12"/>
        <v>#DIV/0!</v>
      </c>
      <c r="BR35" s="132" t="e">
        <f t="shared" si="7"/>
        <v>#DIV/0!</v>
      </c>
    </row>
    <row r="36" spans="1:84" s="10" customFormat="1" ht="15.75" hidden="1" customHeight="1">
      <c r="A36" s="658"/>
      <c r="B36" s="661" t="s">
        <v>273</v>
      </c>
      <c r="C36" s="662" t="e">
        <f t="shared" si="11"/>
        <v>#REF!</v>
      </c>
      <c r="D36" s="12"/>
      <c r="E36" s="12" t="e">
        <f>F36&amp;G36&amp;H36&amp;I36&amp;J36&amp;K36&amp;L36&amp;M36&amp;N36&amp;O36&amp;P36&amp;Q36&amp;R36&amp;S36&amp;T36&amp;U36&amp;V36&amp;#REF!&amp;#REF!</f>
        <v>#REF!</v>
      </c>
      <c r="F36" s="609" t="s">
        <v>159</v>
      </c>
      <c r="G36" s="614" t="str">
        <f>G33</f>
        <v>p.DossierName3</v>
      </c>
      <c r="H36" s="609" t="s">
        <v>198</v>
      </c>
      <c r="I36" s="146" t="s">
        <v>136</v>
      </c>
      <c r="J36" s="609" t="s">
        <v>132</v>
      </c>
      <c r="K36" s="609" t="s">
        <v>137</v>
      </c>
      <c r="L36" s="609" t="s">
        <v>37</v>
      </c>
      <c r="M36" s="146"/>
      <c r="N36" s="609"/>
      <c r="O36" s="146"/>
      <c r="P36" s="609"/>
      <c r="Q36" s="146"/>
      <c r="R36" s="609"/>
      <c r="S36" s="146"/>
      <c r="T36" s="609"/>
      <c r="U36" s="146"/>
      <c r="V36" s="609"/>
      <c r="W36" s="609"/>
      <c r="X36" s="12"/>
      <c r="Y36" s="165" t="e">
        <f t="shared" si="8"/>
        <v>#DIV/0!</v>
      </c>
      <c r="Z36" s="12"/>
      <c r="AA36" s="165" t="e">
        <f t="shared" si="8"/>
        <v>#DIV/0!</v>
      </c>
      <c r="AB36" s="12"/>
      <c r="AC36" s="165" t="e">
        <f t="shared" si="8"/>
        <v>#DIV/0!</v>
      </c>
      <c r="AD36" s="12"/>
      <c r="AE36" s="165" t="e">
        <f t="shared" si="10"/>
        <v>#DIV/0!</v>
      </c>
      <c r="AF36" s="12"/>
      <c r="AG36" s="12"/>
      <c r="AI36" s="132" t="e">
        <f t="shared" si="0"/>
        <v>#DIV/0!</v>
      </c>
      <c r="AK36" s="132" t="e">
        <f t="shared" si="0"/>
        <v>#DIV/0!</v>
      </c>
      <c r="AM36" s="132" t="e">
        <f t="shared" si="0"/>
        <v>#DIV/0!</v>
      </c>
      <c r="AP36" s="132" t="e">
        <f t="shared" si="1"/>
        <v>#DIV/0!</v>
      </c>
      <c r="AR36" s="132" t="e">
        <f t="shared" si="1"/>
        <v>#DIV/0!</v>
      </c>
      <c r="AT36" s="132" t="e">
        <f t="shared" si="1"/>
        <v>#DIV/0!</v>
      </c>
      <c r="AV36" s="132" t="e">
        <f t="shared" si="1"/>
        <v>#DIV/0!</v>
      </c>
      <c r="AX36" s="132" t="e">
        <f t="shared" si="1"/>
        <v>#DIV/0!</v>
      </c>
      <c r="AZ36" s="132" t="e">
        <f t="shared" si="2"/>
        <v>#DIV/0!</v>
      </c>
      <c r="BB36" s="132" t="e">
        <f t="shared" si="3"/>
        <v>#DIV/0!</v>
      </c>
      <c r="BD36" s="132" t="e">
        <f t="shared" si="4"/>
        <v>#DIV/0!</v>
      </c>
      <c r="BF36" s="132" t="e">
        <f t="shared" si="4"/>
        <v>#DIV/0!</v>
      </c>
      <c r="BH36" s="132" t="e">
        <f t="shared" si="4"/>
        <v>#DIV/0!</v>
      </c>
      <c r="BJ36" s="132" t="e">
        <f t="shared" si="4"/>
        <v>#DIV/0!</v>
      </c>
      <c r="BL36" s="132" t="e">
        <f t="shared" si="4"/>
        <v>#DIV/0!</v>
      </c>
      <c r="BN36" s="132" t="e">
        <f t="shared" si="5"/>
        <v>#DIV/0!</v>
      </c>
      <c r="BP36" s="132" t="e">
        <f t="shared" si="12"/>
        <v>#DIV/0!</v>
      </c>
      <c r="BR36" s="132" t="e">
        <f t="shared" si="7"/>
        <v>#DIV/0!</v>
      </c>
    </row>
    <row r="37" spans="1:84" s="10" customFormat="1" ht="15.75" hidden="1" customHeight="1">
      <c r="A37" s="658"/>
      <c r="B37" s="661" t="s">
        <v>134</v>
      </c>
      <c r="C37" s="662" t="e">
        <f t="shared" si="11"/>
        <v>#REF!</v>
      </c>
      <c r="D37" s="12"/>
      <c r="E37" s="12" t="e">
        <f>F37&amp;G37&amp;H37&amp;I37&amp;J37&amp;K37&amp;L37&amp;M37&amp;N37&amp;O37&amp;P37&amp;Q37&amp;R37&amp;S37&amp;T37&amp;U37&amp;V37&amp;#REF!&amp;#REF!</f>
        <v>#REF!</v>
      </c>
      <c r="F37" s="609" t="s">
        <v>29</v>
      </c>
      <c r="G37" s="617" t="s">
        <v>30</v>
      </c>
      <c r="H37" s="609" t="s">
        <v>31</v>
      </c>
      <c r="I37" s="618" t="s">
        <v>32</v>
      </c>
      <c r="J37" s="609" t="s">
        <v>37</v>
      </c>
      <c r="K37" s="614"/>
      <c r="L37" s="609"/>
      <c r="M37" s="146"/>
      <c r="N37" s="609"/>
      <c r="O37" s="146"/>
      <c r="P37" s="609"/>
      <c r="Q37" s="146"/>
      <c r="R37" s="609"/>
      <c r="S37" s="146"/>
      <c r="T37" s="609"/>
      <c r="U37" s="146"/>
      <c r="V37" s="609"/>
      <c r="W37" s="609"/>
      <c r="X37" s="12"/>
      <c r="Y37" s="165" t="e">
        <f t="shared" si="8"/>
        <v>#DIV/0!</v>
      </c>
      <c r="Z37" s="12"/>
      <c r="AA37" s="165" t="e">
        <f t="shared" si="8"/>
        <v>#DIV/0!</v>
      </c>
      <c r="AB37" s="12"/>
      <c r="AC37" s="165" t="e">
        <f t="shared" si="8"/>
        <v>#DIV/0!</v>
      </c>
      <c r="AD37" s="12"/>
      <c r="AE37" s="165" t="e">
        <f t="shared" si="10"/>
        <v>#DIV/0!</v>
      </c>
      <c r="AF37" s="12"/>
      <c r="AG37" s="12"/>
      <c r="AI37" s="132" t="e">
        <f t="shared" si="0"/>
        <v>#DIV/0!</v>
      </c>
      <c r="AK37" s="132" t="e">
        <f t="shared" si="0"/>
        <v>#DIV/0!</v>
      </c>
      <c r="AM37" s="132" t="e">
        <f t="shared" si="0"/>
        <v>#DIV/0!</v>
      </c>
      <c r="AP37" s="132" t="e">
        <f t="shared" si="1"/>
        <v>#DIV/0!</v>
      </c>
      <c r="AR37" s="132" t="e">
        <f t="shared" si="1"/>
        <v>#DIV/0!</v>
      </c>
      <c r="AT37" s="132" t="e">
        <f t="shared" si="1"/>
        <v>#DIV/0!</v>
      </c>
      <c r="AV37" s="132" t="e">
        <f t="shared" si="1"/>
        <v>#DIV/0!</v>
      </c>
      <c r="AX37" s="132" t="e">
        <f t="shared" si="1"/>
        <v>#DIV/0!</v>
      </c>
      <c r="AZ37" s="132" t="e">
        <f t="shared" si="2"/>
        <v>#DIV/0!</v>
      </c>
      <c r="BB37" s="132" t="e">
        <f t="shared" si="3"/>
        <v>#DIV/0!</v>
      </c>
      <c r="BD37" s="132" t="e">
        <f t="shared" si="4"/>
        <v>#DIV/0!</v>
      </c>
      <c r="BF37" s="132" t="e">
        <f t="shared" si="4"/>
        <v>#DIV/0!</v>
      </c>
      <c r="BH37" s="132" t="e">
        <f t="shared" si="4"/>
        <v>#DIV/0!</v>
      </c>
      <c r="BJ37" s="132" t="e">
        <f t="shared" si="4"/>
        <v>#DIV/0!</v>
      </c>
      <c r="BL37" s="132" t="e">
        <f t="shared" si="4"/>
        <v>#DIV/0!</v>
      </c>
      <c r="BN37" s="132" t="e">
        <f t="shared" si="5"/>
        <v>#DIV/0!</v>
      </c>
      <c r="BP37" s="132" t="e">
        <f t="shared" si="12"/>
        <v>#DIV/0!</v>
      </c>
      <c r="BR37" s="132" t="e">
        <f t="shared" si="7"/>
        <v>#DIV/0!</v>
      </c>
    </row>
    <row r="38" spans="1:84" s="10" customFormat="1" ht="15.75" hidden="1" customHeight="1">
      <c r="A38" s="658"/>
      <c r="B38" s="662" t="s">
        <v>274</v>
      </c>
      <c r="C38" s="662" t="e">
        <f>E38</f>
        <v>#REF!</v>
      </c>
      <c r="D38" s="12"/>
      <c r="E38" s="12" t="e">
        <f>F38&amp;G38&amp;H38&amp;I38&amp;J38&amp;K38&amp;L38&amp;M38&amp;N38&amp;O38&amp;P38&amp;Q38&amp;R38&amp;S38&amp;T38&amp;U38&amp;V38&amp;#REF!&amp;#REF!</f>
        <v>#REF!</v>
      </c>
      <c r="F38" s="609" t="s">
        <v>128</v>
      </c>
      <c r="G38" s="614" t="str">
        <f>G36</f>
        <v>p.DossierName3</v>
      </c>
      <c r="H38" s="609" t="s">
        <v>275</v>
      </c>
      <c r="I38" s="613" t="s">
        <v>243</v>
      </c>
      <c r="J38" s="609" t="s">
        <v>202</v>
      </c>
      <c r="K38" s="614" t="s">
        <v>203</v>
      </c>
      <c r="L38" s="609" t="s">
        <v>37</v>
      </c>
      <c r="M38" s="146"/>
      <c r="N38" s="609"/>
      <c r="O38" s="609"/>
      <c r="P38" s="146"/>
      <c r="Q38" s="146"/>
      <c r="R38" s="146"/>
      <c r="S38" s="146"/>
      <c r="T38" s="146"/>
      <c r="U38" s="146"/>
      <c r="V38" s="146"/>
      <c r="W38" s="609"/>
      <c r="X38" s="12"/>
      <c r="Y38" s="165" t="e">
        <f t="shared" si="8"/>
        <v>#DIV/0!</v>
      </c>
      <c r="Z38" s="12"/>
      <c r="AA38" s="165" t="e">
        <f t="shared" si="8"/>
        <v>#DIV/0!</v>
      </c>
      <c r="AB38" s="12"/>
      <c r="AC38" s="165" t="e">
        <f t="shared" si="8"/>
        <v>#DIV/0!</v>
      </c>
      <c r="AD38" s="12"/>
      <c r="AE38" s="165" t="e">
        <f t="shared" si="10"/>
        <v>#DIV/0!</v>
      </c>
      <c r="AF38" s="12"/>
      <c r="AG38" s="12"/>
      <c r="AI38" s="132" t="e">
        <f t="shared" si="0"/>
        <v>#DIV/0!</v>
      </c>
      <c r="AK38" s="132" t="e">
        <f t="shared" si="0"/>
        <v>#DIV/0!</v>
      </c>
      <c r="AM38" s="132" t="e">
        <f t="shared" si="0"/>
        <v>#DIV/0!</v>
      </c>
      <c r="AP38" s="132" t="e">
        <f t="shared" si="1"/>
        <v>#DIV/0!</v>
      </c>
      <c r="AR38" s="132" t="e">
        <f t="shared" si="1"/>
        <v>#DIV/0!</v>
      </c>
      <c r="AT38" s="132" t="e">
        <f t="shared" si="1"/>
        <v>#DIV/0!</v>
      </c>
      <c r="AV38" s="132" t="e">
        <f t="shared" si="1"/>
        <v>#DIV/0!</v>
      </c>
      <c r="AX38" s="132" t="e">
        <f t="shared" si="1"/>
        <v>#DIV/0!</v>
      </c>
      <c r="AZ38" s="132" t="e">
        <f t="shared" si="2"/>
        <v>#DIV/0!</v>
      </c>
      <c r="BB38" s="132" t="e">
        <f t="shared" si="3"/>
        <v>#DIV/0!</v>
      </c>
      <c r="BD38" s="132" t="e">
        <f t="shared" si="4"/>
        <v>#DIV/0!</v>
      </c>
      <c r="BF38" s="132" t="e">
        <f t="shared" si="4"/>
        <v>#DIV/0!</v>
      </c>
      <c r="BH38" s="132" t="e">
        <f t="shared" si="4"/>
        <v>#DIV/0!</v>
      </c>
      <c r="BJ38" s="132" t="e">
        <f t="shared" si="4"/>
        <v>#DIV/0!</v>
      </c>
      <c r="BL38" s="132" t="e">
        <f t="shared" si="4"/>
        <v>#DIV/0!</v>
      </c>
      <c r="BN38" s="132" t="e">
        <f t="shared" si="5"/>
        <v>#DIV/0!</v>
      </c>
      <c r="BP38" s="132" t="e">
        <f t="shared" si="12"/>
        <v>#DIV/0!</v>
      </c>
      <c r="BR38" s="132" t="e">
        <f t="shared" si="7"/>
        <v>#DIV/0!</v>
      </c>
    </row>
    <row r="39" spans="1:84" s="10" customFormat="1" ht="15.75" hidden="1" customHeight="1">
      <c r="A39" s="658"/>
      <c r="B39" s="662" t="s">
        <v>274</v>
      </c>
      <c r="C39" s="662" t="e">
        <f>E39</f>
        <v>#REF!</v>
      </c>
      <c r="D39" s="12"/>
      <c r="E39" s="12" t="e">
        <f>F39&amp;G39&amp;H39&amp;I39&amp;J39&amp;K39&amp;L39&amp;M39&amp;N39&amp;O39&amp;P39&amp;Q39&amp;R39&amp;S39&amp;T39&amp;U39&amp;V39&amp;#REF!&amp;#REF!</f>
        <v>#REF!</v>
      </c>
      <c r="F39" s="609" t="s">
        <v>128</v>
      </c>
      <c r="G39" s="614" t="str">
        <f t="shared" ref="G39:G44" si="13">G38</f>
        <v>p.DossierName3</v>
      </c>
      <c r="H39" s="609" t="s">
        <v>275</v>
      </c>
      <c r="I39" s="613" t="s">
        <v>242</v>
      </c>
      <c r="J39" s="609" t="s">
        <v>202</v>
      </c>
      <c r="K39" s="614" t="s">
        <v>203</v>
      </c>
      <c r="L39" s="609" t="s">
        <v>37</v>
      </c>
      <c r="M39" s="146"/>
      <c r="N39" s="609"/>
      <c r="O39" s="609"/>
      <c r="P39" s="146"/>
      <c r="Q39" s="146"/>
      <c r="R39" s="146"/>
      <c r="S39" s="146"/>
      <c r="T39" s="146"/>
      <c r="U39" s="146"/>
      <c r="V39" s="146"/>
      <c r="W39" s="609"/>
      <c r="X39" s="12"/>
      <c r="Y39" s="165" t="e">
        <f t="shared" si="8"/>
        <v>#DIV/0!</v>
      </c>
      <c r="Z39" s="12"/>
      <c r="AA39" s="165" t="e">
        <f t="shared" si="8"/>
        <v>#DIV/0!</v>
      </c>
      <c r="AB39" s="12"/>
      <c r="AC39" s="165" t="e">
        <f t="shared" si="8"/>
        <v>#DIV/0!</v>
      </c>
      <c r="AD39" s="12"/>
      <c r="AE39" s="165" t="e">
        <f t="shared" si="10"/>
        <v>#DIV/0!</v>
      </c>
      <c r="AF39" s="12"/>
      <c r="AG39" s="12"/>
      <c r="AI39" s="132" t="e">
        <f t="shared" si="0"/>
        <v>#DIV/0!</v>
      </c>
      <c r="AK39" s="132" t="e">
        <f t="shared" si="0"/>
        <v>#DIV/0!</v>
      </c>
      <c r="AM39" s="132" t="e">
        <f t="shared" si="0"/>
        <v>#DIV/0!</v>
      </c>
      <c r="AP39" s="132" t="e">
        <f t="shared" si="1"/>
        <v>#DIV/0!</v>
      </c>
      <c r="AR39" s="132" t="e">
        <f t="shared" si="1"/>
        <v>#DIV/0!</v>
      </c>
      <c r="AT39" s="132" t="e">
        <f t="shared" si="1"/>
        <v>#DIV/0!</v>
      </c>
      <c r="AV39" s="132" t="e">
        <f t="shared" si="1"/>
        <v>#DIV/0!</v>
      </c>
      <c r="AX39" s="132" t="e">
        <f t="shared" si="1"/>
        <v>#DIV/0!</v>
      </c>
      <c r="AZ39" s="132" t="e">
        <f t="shared" si="2"/>
        <v>#DIV/0!</v>
      </c>
      <c r="BB39" s="132" t="e">
        <f t="shared" si="3"/>
        <v>#DIV/0!</v>
      </c>
      <c r="BD39" s="132" t="e">
        <f t="shared" si="4"/>
        <v>#DIV/0!</v>
      </c>
      <c r="BF39" s="132" t="e">
        <f t="shared" si="4"/>
        <v>#DIV/0!</v>
      </c>
      <c r="BH39" s="132" t="e">
        <f t="shared" si="4"/>
        <v>#DIV/0!</v>
      </c>
      <c r="BJ39" s="132" t="e">
        <f t="shared" si="4"/>
        <v>#DIV/0!</v>
      </c>
      <c r="BL39" s="132" t="e">
        <f t="shared" si="4"/>
        <v>#DIV/0!</v>
      </c>
      <c r="BN39" s="132" t="e">
        <f t="shared" si="5"/>
        <v>#DIV/0!</v>
      </c>
      <c r="BP39" s="132" t="e">
        <f t="shared" si="12"/>
        <v>#DIV/0!</v>
      </c>
      <c r="BR39" s="132" t="e">
        <f t="shared" si="7"/>
        <v>#DIV/0!</v>
      </c>
    </row>
    <row r="40" spans="1:84" s="10" customFormat="1" ht="15.75" hidden="1" customHeight="1">
      <c r="A40" s="658"/>
      <c r="B40" s="662" t="s">
        <v>274</v>
      </c>
      <c r="C40" s="662" t="e">
        <f>E40</f>
        <v>#REF!</v>
      </c>
      <c r="D40" s="12"/>
      <c r="E40" s="12" t="e">
        <f>F40&amp;G40&amp;H40&amp;I40&amp;J40&amp;K40&amp;L40&amp;M40&amp;N40&amp;O40&amp;P40&amp;Q40&amp;R40&amp;S40&amp;T40&amp;U40&amp;V40&amp;#REF!&amp;#REF!</f>
        <v>#REF!</v>
      </c>
      <c r="F40" s="609" t="s">
        <v>128</v>
      </c>
      <c r="G40" s="614" t="str">
        <f t="shared" si="13"/>
        <v>p.DossierName3</v>
      </c>
      <c r="H40" s="609" t="s">
        <v>275</v>
      </c>
      <c r="I40" s="613" t="s">
        <v>241</v>
      </c>
      <c r="J40" s="609" t="s">
        <v>202</v>
      </c>
      <c r="K40" s="614" t="s">
        <v>203</v>
      </c>
      <c r="L40" s="609" t="s">
        <v>37</v>
      </c>
      <c r="M40" s="146"/>
      <c r="N40" s="609"/>
      <c r="O40" s="609"/>
      <c r="P40" s="146"/>
      <c r="Q40" s="146"/>
      <c r="R40" s="146"/>
      <c r="S40" s="146"/>
      <c r="T40" s="146"/>
      <c r="U40" s="146"/>
      <c r="V40" s="146"/>
      <c r="W40" s="609"/>
      <c r="X40" s="12"/>
      <c r="Y40" s="165" t="e">
        <f t="shared" si="8"/>
        <v>#DIV/0!</v>
      </c>
      <c r="Z40" s="12"/>
      <c r="AA40" s="165" t="e">
        <f t="shared" si="8"/>
        <v>#DIV/0!</v>
      </c>
      <c r="AB40" s="12"/>
      <c r="AC40" s="165" t="e">
        <f t="shared" si="8"/>
        <v>#DIV/0!</v>
      </c>
      <c r="AD40" s="12"/>
      <c r="AE40" s="165" t="e">
        <f t="shared" si="10"/>
        <v>#DIV/0!</v>
      </c>
      <c r="AF40" s="12"/>
      <c r="AG40" s="12"/>
      <c r="AI40" s="132" t="e">
        <f t="shared" si="0"/>
        <v>#DIV/0!</v>
      </c>
      <c r="AK40" s="132" t="e">
        <f t="shared" si="0"/>
        <v>#DIV/0!</v>
      </c>
      <c r="AM40" s="132" t="e">
        <f t="shared" si="0"/>
        <v>#DIV/0!</v>
      </c>
      <c r="AP40" s="132" t="e">
        <f t="shared" si="1"/>
        <v>#DIV/0!</v>
      </c>
      <c r="AR40" s="132" t="e">
        <f t="shared" si="1"/>
        <v>#DIV/0!</v>
      </c>
      <c r="AT40" s="132" t="e">
        <f t="shared" si="1"/>
        <v>#DIV/0!</v>
      </c>
      <c r="AV40" s="132" t="e">
        <f t="shared" si="1"/>
        <v>#DIV/0!</v>
      </c>
      <c r="AX40" s="132" t="e">
        <f t="shared" si="1"/>
        <v>#DIV/0!</v>
      </c>
      <c r="AZ40" s="132" t="e">
        <f t="shared" si="2"/>
        <v>#DIV/0!</v>
      </c>
      <c r="BB40" s="132" t="e">
        <f t="shared" si="3"/>
        <v>#DIV/0!</v>
      </c>
      <c r="BD40" s="132" t="e">
        <f t="shared" si="4"/>
        <v>#DIV/0!</v>
      </c>
      <c r="BF40" s="132" t="e">
        <f t="shared" si="4"/>
        <v>#DIV/0!</v>
      </c>
      <c r="BH40" s="132" t="e">
        <f t="shared" si="4"/>
        <v>#DIV/0!</v>
      </c>
      <c r="BJ40" s="132" t="e">
        <f t="shared" si="4"/>
        <v>#DIV/0!</v>
      </c>
      <c r="BL40" s="132" t="e">
        <f t="shared" si="4"/>
        <v>#DIV/0!</v>
      </c>
      <c r="BN40" s="132" t="e">
        <f t="shared" si="5"/>
        <v>#DIV/0!</v>
      </c>
      <c r="BP40" s="132" t="e">
        <f t="shared" si="12"/>
        <v>#DIV/0!</v>
      </c>
      <c r="BR40" s="132" t="e">
        <f t="shared" si="7"/>
        <v>#DIV/0!</v>
      </c>
    </row>
    <row r="41" spans="1:84" s="10" customFormat="1" ht="15.75" hidden="1" customHeight="1">
      <c r="A41" s="658"/>
      <c r="B41" s="662" t="s">
        <v>274</v>
      </c>
      <c r="C41" s="662" t="e">
        <f t="shared" si="11"/>
        <v>#REF!</v>
      </c>
      <c r="D41" s="12"/>
      <c r="E41" s="12" t="e">
        <f>F41&amp;G41&amp;H41&amp;I41&amp;J41&amp;K41&amp;L41&amp;M41&amp;N41&amp;O41&amp;P41&amp;Q41&amp;R41&amp;S41&amp;T41&amp;U41&amp;V41&amp;#REF!&amp;#REF!</f>
        <v>#REF!</v>
      </c>
      <c r="F41" s="609" t="s">
        <v>128</v>
      </c>
      <c r="G41" s="614" t="str">
        <f t="shared" si="13"/>
        <v>p.DossierName3</v>
      </c>
      <c r="H41" s="609" t="s">
        <v>275</v>
      </c>
      <c r="I41" s="613" t="s">
        <v>276</v>
      </c>
      <c r="J41" s="609" t="s">
        <v>202</v>
      </c>
      <c r="K41" s="614" t="s">
        <v>203</v>
      </c>
      <c r="L41" s="609" t="s">
        <v>37</v>
      </c>
      <c r="M41" s="146"/>
      <c r="N41" s="609"/>
      <c r="O41" s="609"/>
      <c r="P41" s="146"/>
      <c r="Q41" s="146"/>
      <c r="R41" s="146"/>
      <c r="S41" s="146"/>
      <c r="T41" s="146"/>
      <c r="U41" s="146"/>
      <c r="V41" s="146"/>
      <c r="W41" s="609"/>
      <c r="X41" s="12"/>
      <c r="Y41" s="165" t="e">
        <f t="shared" si="8"/>
        <v>#DIV/0!</v>
      </c>
      <c r="Z41" s="12"/>
      <c r="AA41" s="165" t="e">
        <f t="shared" si="8"/>
        <v>#DIV/0!</v>
      </c>
      <c r="AB41" s="12"/>
      <c r="AC41" s="165" t="e">
        <f t="shared" si="8"/>
        <v>#DIV/0!</v>
      </c>
      <c r="AD41" s="12"/>
      <c r="AE41" s="165" t="e">
        <f t="shared" si="10"/>
        <v>#DIV/0!</v>
      </c>
      <c r="AF41" s="12"/>
      <c r="AG41" s="12"/>
      <c r="AI41" s="132" t="e">
        <f t="shared" si="0"/>
        <v>#DIV/0!</v>
      </c>
      <c r="AK41" s="132" t="e">
        <f t="shared" si="0"/>
        <v>#DIV/0!</v>
      </c>
      <c r="AM41" s="132" t="e">
        <f t="shared" si="0"/>
        <v>#DIV/0!</v>
      </c>
      <c r="AP41" s="132" t="e">
        <f t="shared" si="1"/>
        <v>#DIV/0!</v>
      </c>
      <c r="AR41" s="132" t="e">
        <f t="shared" si="1"/>
        <v>#DIV/0!</v>
      </c>
      <c r="AT41" s="132" t="e">
        <f t="shared" si="1"/>
        <v>#DIV/0!</v>
      </c>
      <c r="AV41" s="132" t="e">
        <f t="shared" si="1"/>
        <v>#DIV/0!</v>
      </c>
      <c r="AX41" s="132" t="e">
        <f t="shared" si="1"/>
        <v>#DIV/0!</v>
      </c>
      <c r="AZ41" s="132" t="e">
        <f t="shared" si="2"/>
        <v>#DIV/0!</v>
      </c>
      <c r="BB41" s="132" t="e">
        <f t="shared" si="3"/>
        <v>#DIV/0!</v>
      </c>
      <c r="BD41" s="132" t="e">
        <f t="shared" si="4"/>
        <v>#DIV/0!</v>
      </c>
      <c r="BF41" s="132" t="e">
        <f t="shared" si="4"/>
        <v>#DIV/0!</v>
      </c>
      <c r="BH41" s="132" t="e">
        <f t="shared" si="4"/>
        <v>#DIV/0!</v>
      </c>
      <c r="BJ41" s="132" t="e">
        <f t="shared" si="4"/>
        <v>#DIV/0!</v>
      </c>
      <c r="BL41" s="132" t="e">
        <f t="shared" si="4"/>
        <v>#DIV/0!</v>
      </c>
      <c r="BN41" s="132" t="e">
        <f t="shared" si="5"/>
        <v>#DIV/0!</v>
      </c>
      <c r="BP41" s="132" t="e">
        <f t="shared" si="12"/>
        <v>#DIV/0!</v>
      </c>
      <c r="BR41" s="132" t="e">
        <f t="shared" si="7"/>
        <v>#DIV/0!</v>
      </c>
    </row>
    <row r="42" spans="1:84" s="10" customFormat="1" ht="15.75" hidden="1" customHeight="1">
      <c r="A42" s="658"/>
      <c r="B42" s="662" t="s">
        <v>274</v>
      </c>
      <c r="C42" s="662" t="e">
        <f t="shared" si="11"/>
        <v>#REF!</v>
      </c>
      <c r="D42" s="12"/>
      <c r="E42" s="12" t="e">
        <f>F42&amp;G42&amp;H42&amp;I42&amp;J42&amp;K42&amp;L42&amp;M42&amp;N42&amp;O42&amp;P42&amp;Q42&amp;R42&amp;S42&amp;T42&amp;U42&amp;V42&amp;#REF!&amp;#REF!</f>
        <v>#REF!</v>
      </c>
      <c r="F42" s="609" t="s">
        <v>128</v>
      </c>
      <c r="G42" s="614" t="str">
        <f t="shared" si="13"/>
        <v>p.DossierName3</v>
      </c>
      <c r="H42" s="609" t="s">
        <v>275</v>
      </c>
      <c r="I42" s="613" t="s">
        <v>277</v>
      </c>
      <c r="J42" s="609" t="s">
        <v>202</v>
      </c>
      <c r="K42" s="614" t="s">
        <v>203</v>
      </c>
      <c r="L42" s="609" t="s">
        <v>37</v>
      </c>
      <c r="M42" s="146"/>
      <c r="N42" s="609"/>
      <c r="O42" s="609"/>
      <c r="P42" s="146"/>
      <c r="Q42" s="146"/>
      <c r="R42" s="146"/>
      <c r="S42" s="146"/>
      <c r="T42" s="146"/>
      <c r="U42" s="146"/>
      <c r="V42" s="146"/>
      <c r="W42" s="609"/>
      <c r="X42" s="12"/>
      <c r="Y42" s="165" t="e">
        <f t="shared" si="8"/>
        <v>#DIV/0!</v>
      </c>
      <c r="Z42" s="12"/>
      <c r="AA42" s="165" t="e">
        <f t="shared" si="8"/>
        <v>#DIV/0!</v>
      </c>
      <c r="AB42" s="12"/>
      <c r="AC42" s="165" t="e">
        <f t="shared" si="8"/>
        <v>#DIV/0!</v>
      </c>
      <c r="AD42" s="12"/>
      <c r="AE42" s="165" t="e">
        <f t="shared" si="10"/>
        <v>#DIV/0!</v>
      </c>
      <c r="AF42" s="12"/>
      <c r="AG42" s="12"/>
      <c r="AI42" s="132" t="e">
        <f t="shared" si="0"/>
        <v>#DIV/0!</v>
      </c>
      <c r="AK42" s="132" t="e">
        <f t="shared" si="0"/>
        <v>#DIV/0!</v>
      </c>
      <c r="AM42" s="132" t="e">
        <f t="shared" si="0"/>
        <v>#DIV/0!</v>
      </c>
      <c r="AP42" s="132" t="e">
        <f t="shared" si="1"/>
        <v>#DIV/0!</v>
      </c>
      <c r="AR42" s="132" t="e">
        <f t="shared" si="1"/>
        <v>#DIV/0!</v>
      </c>
      <c r="AT42" s="132" t="e">
        <f t="shared" si="1"/>
        <v>#DIV/0!</v>
      </c>
      <c r="AV42" s="132" t="e">
        <f t="shared" si="1"/>
        <v>#DIV/0!</v>
      </c>
      <c r="AX42" s="132" t="e">
        <f t="shared" si="1"/>
        <v>#DIV/0!</v>
      </c>
      <c r="AZ42" s="132" t="e">
        <f t="shared" si="2"/>
        <v>#DIV/0!</v>
      </c>
      <c r="BB42" s="132" t="e">
        <f t="shared" si="3"/>
        <v>#DIV/0!</v>
      </c>
      <c r="BD42" s="132" t="e">
        <f t="shared" si="4"/>
        <v>#DIV/0!</v>
      </c>
      <c r="BF42" s="132" t="e">
        <f t="shared" si="4"/>
        <v>#DIV/0!</v>
      </c>
      <c r="BH42" s="132" t="e">
        <f t="shared" si="4"/>
        <v>#DIV/0!</v>
      </c>
      <c r="BJ42" s="132" t="e">
        <f t="shared" si="4"/>
        <v>#DIV/0!</v>
      </c>
      <c r="BL42" s="132" t="e">
        <f t="shared" si="4"/>
        <v>#DIV/0!</v>
      </c>
      <c r="BN42" s="132" t="e">
        <f t="shared" si="5"/>
        <v>#DIV/0!</v>
      </c>
      <c r="BP42" s="132" t="e">
        <f t="shared" si="12"/>
        <v>#DIV/0!</v>
      </c>
      <c r="BR42" s="132" t="e">
        <f t="shared" si="7"/>
        <v>#DIV/0!</v>
      </c>
    </row>
    <row r="43" spans="1:84" s="10" customFormat="1" ht="15.75" hidden="1" customHeight="1">
      <c r="A43" s="658"/>
      <c r="B43" s="662" t="s">
        <v>274</v>
      </c>
      <c r="C43" s="662" t="e">
        <f t="shared" si="11"/>
        <v>#REF!</v>
      </c>
      <c r="D43" s="12"/>
      <c r="E43" s="12" t="e">
        <f>F43&amp;G43&amp;H43&amp;I43&amp;J43&amp;K43&amp;L43&amp;M43&amp;N43&amp;O43&amp;P43&amp;Q43&amp;R43&amp;S43&amp;T43&amp;U43&amp;V43&amp;#REF!&amp;#REF!</f>
        <v>#REF!</v>
      </c>
      <c r="F43" s="609" t="s">
        <v>128</v>
      </c>
      <c r="G43" s="614" t="str">
        <f t="shared" si="13"/>
        <v>p.DossierName3</v>
      </c>
      <c r="H43" s="609" t="s">
        <v>275</v>
      </c>
      <c r="I43" s="613" t="s">
        <v>278</v>
      </c>
      <c r="J43" s="609" t="s">
        <v>202</v>
      </c>
      <c r="K43" s="614" t="s">
        <v>203</v>
      </c>
      <c r="L43" s="609" t="s">
        <v>37</v>
      </c>
      <c r="M43" s="146"/>
      <c r="N43" s="609"/>
      <c r="O43" s="609"/>
      <c r="P43" s="146"/>
      <c r="Q43" s="146"/>
      <c r="R43" s="146"/>
      <c r="S43" s="146"/>
      <c r="T43" s="146"/>
      <c r="U43" s="146"/>
      <c r="V43" s="146"/>
      <c r="W43" s="609"/>
      <c r="X43" s="12"/>
      <c r="Y43" s="165" t="e">
        <f t="shared" si="8"/>
        <v>#DIV/0!</v>
      </c>
      <c r="Z43" s="12"/>
      <c r="AA43" s="165" t="e">
        <f t="shared" si="8"/>
        <v>#DIV/0!</v>
      </c>
      <c r="AB43" s="12"/>
      <c r="AC43" s="165" t="e">
        <f t="shared" si="8"/>
        <v>#DIV/0!</v>
      </c>
      <c r="AD43" s="12"/>
      <c r="AE43" s="165" t="e">
        <f t="shared" si="10"/>
        <v>#DIV/0!</v>
      </c>
      <c r="AF43" s="12"/>
      <c r="AG43" s="12"/>
      <c r="AI43" s="132" t="e">
        <f t="shared" si="0"/>
        <v>#DIV/0!</v>
      </c>
      <c r="AK43" s="132" t="e">
        <f t="shared" si="0"/>
        <v>#DIV/0!</v>
      </c>
      <c r="AM43" s="132" t="e">
        <f t="shared" si="0"/>
        <v>#DIV/0!</v>
      </c>
      <c r="AP43" s="132" t="e">
        <f t="shared" si="1"/>
        <v>#DIV/0!</v>
      </c>
      <c r="AR43" s="132" t="e">
        <f t="shared" si="1"/>
        <v>#DIV/0!</v>
      </c>
      <c r="AT43" s="132" t="e">
        <f t="shared" si="1"/>
        <v>#DIV/0!</v>
      </c>
      <c r="AV43" s="132" t="e">
        <f t="shared" si="1"/>
        <v>#DIV/0!</v>
      </c>
      <c r="AX43" s="132" t="e">
        <f t="shared" si="1"/>
        <v>#DIV/0!</v>
      </c>
      <c r="AZ43" s="132" t="e">
        <f t="shared" si="2"/>
        <v>#DIV/0!</v>
      </c>
      <c r="BB43" s="132" t="e">
        <f t="shared" si="3"/>
        <v>#DIV/0!</v>
      </c>
      <c r="BD43" s="132" t="e">
        <f t="shared" si="4"/>
        <v>#DIV/0!</v>
      </c>
      <c r="BF43" s="132" t="e">
        <f t="shared" si="4"/>
        <v>#DIV/0!</v>
      </c>
      <c r="BH43" s="132" t="e">
        <f t="shared" si="4"/>
        <v>#DIV/0!</v>
      </c>
      <c r="BJ43" s="132" t="e">
        <f t="shared" si="4"/>
        <v>#DIV/0!</v>
      </c>
      <c r="BL43" s="132" t="e">
        <f t="shared" si="4"/>
        <v>#DIV/0!</v>
      </c>
      <c r="BN43" s="132" t="e">
        <f t="shared" si="5"/>
        <v>#DIV/0!</v>
      </c>
      <c r="BP43" s="132" t="e">
        <f t="shared" si="12"/>
        <v>#DIV/0!</v>
      </c>
      <c r="BR43" s="132" t="e">
        <f t="shared" si="7"/>
        <v>#DIV/0!</v>
      </c>
    </row>
    <row r="44" spans="1:84" s="10" customFormat="1" ht="15.75" hidden="1" customHeight="1">
      <c r="A44" s="658"/>
      <c r="B44" s="662" t="s">
        <v>274</v>
      </c>
      <c r="C44" s="662" t="e">
        <f t="shared" si="11"/>
        <v>#REF!</v>
      </c>
      <c r="D44" s="12"/>
      <c r="E44" s="12" t="e">
        <f>F44&amp;G44&amp;H44&amp;I44&amp;J44&amp;K44&amp;L44&amp;M44&amp;N44&amp;O44&amp;P44&amp;Q44&amp;R44&amp;S44&amp;T44&amp;U44&amp;V44&amp;#REF!&amp;#REF!</f>
        <v>#REF!</v>
      </c>
      <c r="F44" s="609" t="s">
        <v>128</v>
      </c>
      <c r="G44" s="614" t="str">
        <f t="shared" si="13"/>
        <v>p.DossierName3</v>
      </c>
      <c r="H44" s="609" t="s">
        <v>275</v>
      </c>
      <c r="I44" s="613" t="s">
        <v>244</v>
      </c>
      <c r="J44" s="609" t="s">
        <v>202</v>
      </c>
      <c r="K44" s="614" t="s">
        <v>203</v>
      </c>
      <c r="L44" s="609" t="s">
        <v>37</v>
      </c>
      <c r="M44" s="146"/>
      <c r="N44" s="609"/>
      <c r="O44" s="609"/>
      <c r="P44" s="146"/>
      <c r="Q44" s="146"/>
      <c r="R44" s="146"/>
      <c r="S44" s="146"/>
      <c r="T44" s="146"/>
      <c r="U44" s="146"/>
      <c r="V44" s="146"/>
      <c r="W44" s="609"/>
      <c r="X44" s="12"/>
      <c r="Y44" s="165" t="e">
        <f t="shared" si="8"/>
        <v>#DIV/0!</v>
      </c>
      <c r="Z44" s="12"/>
      <c r="AA44" s="165" t="e">
        <f t="shared" si="8"/>
        <v>#DIV/0!</v>
      </c>
      <c r="AB44" s="12"/>
      <c r="AC44" s="165" t="e">
        <f t="shared" si="8"/>
        <v>#DIV/0!</v>
      </c>
      <c r="AD44" s="12"/>
      <c r="AE44" s="165" t="e">
        <f t="shared" si="10"/>
        <v>#DIV/0!</v>
      </c>
      <c r="AF44" s="12"/>
      <c r="AG44" s="12"/>
      <c r="AI44" s="132" t="e">
        <f t="shared" si="0"/>
        <v>#DIV/0!</v>
      </c>
      <c r="AK44" s="132" t="e">
        <f t="shared" si="0"/>
        <v>#DIV/0!</v>
      </c>
      <c r="AM44" s="132" t="e">
        <f t="shared" si="0"/>
        <v>#DIV/0!</v>
      </c>
      <c r="AP44" s="132" t="e">
        <f t="shared" si="1"/>
        <v>#DIV/0!</v>
      </c>
      <c r="AR44" s="132" t="e">
        <f t="shared" si="1"/>
        <v>#DIV/0!</v>
      </c>
      <c r="AT44" s="132" t="e">
        <f t="shared" si="1"/>
        <v>#DIV/0!</v>
      </c>
      <c r="AV44" s="132" t="e">
        <f t="shared" si="1"/>
        <v>#DIV/0!</v>
      </c>
      <c r="AX44" s="132" t="e">
        <f t="shared" si="1"/>
        <v>#DIV/0!</v>
      </c>
      <c r="AZ44" s="132" t="e">
        <f t="shared" si="2"/>
        <v>#DIV/0!</v>
      </c>
      <c r="BB44" s="132" t="e">
        <f t="shared" si="3"/>
        <v>#DIV/0!</v>
      </c>
      <c r="BD44" s="132" t="e">
        <f t="shared" si="4"/>
        <v>#DIV/0!</v>
      </c>
      <c r="BF44" s="132" t="e">
        <f t="shared" si="4"/>
        <v>#DIV/0!</v>
      </c>
      <c r="BH44" s="132" t="e">
        <f t="shared" si="4"/>
        <v>#DIV/0!</v>
      </c>
      <c r="BJ44" s="132" t="e">
        <f t="shared" si="4"/>
        <v>#DIV/0!</v>
      </c>
      <c r="BL44" s="132" t="e">
        <f t="shared" si="4"/>
        <v>#DIV/0!</v>
      </c>
      <c r="BN44" s="132" t="e">
        <f t="shared" si="5"/>
        <v>#DIV/0!</v>
      </c>
      <c r="BP44" s="132" t="e">
        <f t="shared" si="12"/>
        <v>#DIV/0!</v>
      </c>
      <c r="BR44" s="132" t="e">
        <f t="shared" si="7"/>
        <v>#DIV/0!</v>
      </c>
    </row>
    <row r="45" spans="1:84" s="10" customFormat="1" ht="26.25" customHeight="1" thickBot="1">
      <c r="A45" s="658">
        <v>4</v>
      </c>
      <c r="B45" s="662" t="s">
        <v>205</v>
      </c>
      <c r="C45" s="662" t="str">
        <f ca="1">E45</f>
        <v>{"haftungsType":"Einseitige Solidarhaftung erfassen","haftungDurch":`${p.FamilyName3}, ${p.ManFirstName3}`,"haftungVon":"01.11.2025","haftungBis":"31.12.2025","haftungFuer":`${p.FamilyName3}, ${p.WomanFirstName3}`,"person1":"","person2":""}</v>
      </c>
      <c r="D45" s="12"/>
      <c r="E45" s="12" t="str">
        <f ca="1">F45&amp;G45&amp;H45&amp;I45&amp;J45&amp;K45&amp;L45&amp;M45&amp;N45&amp;O45&amp;P45&amp;Q45&amp;R45&amp;S45&amp;T45&amp;U45&amp;V45</f>
        <v>{"haftungsType":"Einseitige Solidarhaftung erfassen","haftungDurch":`${p.FamilyName3}, ${p.ManFirstName3}`,"haftungVon":"01.11.2025","haftungBis":"31.12.2025","haftungFuer":`${p.FamilyName3}, ${p.WomanFirstName3}`,"person1":"","person2":""}</v>
      </c>
      <c r="F45" s="146" t="s">
        <v>206</v>
      </c>
      <c r="G45" s="146" t="s">
        <v>207</v>
      </c>
      <c r="H45" s="146" t="s">
        <v>208</v>
      </c>
      <c r="I45" s="146" t="str">
        <f>I22</f>
        <v>${p.FamilyName3}, ${p.ManFirstName3}</v>
      </c>
      <c r="J45" s="146" t="s">
        <v>209</v>
      </c>
      <c r="K45" s="615" t="str">
        <f ca="1">"01."&amp;TEXT(TODAY(),"MM")&amp;"."&amp;TEXT(TODAY(),"YYYY")</f>
        <v>01.11.2025</v>
      </c>
      <c r="L45" s="611" t="s">
        <v>210</v>
      </c>
      <c r="M45" s="615" t="str">
        <f ca="1">"31.12."&amp;TEXT(TODAY(),"YYYY")</f>
        <v>31.12.2025</v>
      </c>
      <c r="N45" s="146" t="s">
        <v>211</v>
      </c>
      <c r="O45" s="146" t="str">
        <f>"${"&amp;$G$4&amp;"}, ${"&amp;$H$61&amp;"}"</f>
        <v>${p.FamilyName3}, ${p.WomanFirstName3}</v>
      </c>
      <c r="P45" s="146" t="s">
        <v>212</v>
      </c>
      <c r="Q45" s="614"/>
      <c r="R45" s="146" t="s">
        <v>213</v>
      </c>
      <c r="S45" s="146"/>
      <c r="T45" s="146" t="s">
        <v>37</v>
      </c>
      <c r="U45" s="146"/>
      <c r="V45" s="146"/>
      <c r="W45" s="146">
        <v>0</v>
      </c>
      <c r="X45" s="12">
        <v>0</v>
      </c>
      <c r="Y45" s="165" t="e">
        <f t="shared" si="8"/>
        <v>#DIV/0!</v>
      </c>
      <c r="Z45" s="12">
        <v>0</v>
      </c>
      <c r="AA45" s="165" t="e">
        <f t="shared" si="8"/>
        <v>#DIV/0!</v>
      </c>
      <c r="AB45" s="12">
        <v>6169</v>
      </c>
      <c r="AC45" s="165" t="e">
        <f t="shared" si="8"/>
        <v>#DIV/0!</v>
      </c>
      <c r="AD45" s="12">
        <v>6135</v>
      </c>
      <c r="AE45" s="165">
        <f>AD45/($AB45)</f>
        <v>0.99448857189171669</v>
      </c>
      <c r="AF45" s="12">
        <v>6081</v>
      </c>
      <c r="AG45" s="12">
        <v>7040</v>
      </c>
      <c r="AH45" s="2">
        <v>0</v>
      </c>
      <c r="AI45" s="132">
        <f t="shared" si="0"/>
        <v>0</v>
      </c>
      <c r="AJ45" s="2">
        <v>3831</v>
      </c>
      <c r="AK45" s="132">
        <f t="shared" si="0"/>
        <v>1</v>
      </c>
      <c r="AL45" s="2">
        <v>4026</v>
      </c>
      <c r="AM45" s="132">
        <f t="shared" si="0"/>
        <v>1.0509005481597493</v>
      </c>
      <c r="AO45" s="10">
        <v>4498</v>
      </c>
      <c r="AP45" s="132">
        <f t="shared" si="1"/>
        <v>1.1741059775515532</v>
      </c>
      <c r="AQ45" s="10">
        <v>4533</v>
      </c>
      <c r="AR45" s="132">
        <f t="shared" si="1"/>
        <v>1.1832419733750978</v>
      </c>
      <c r="AS45" s="10">
        <v>4436</v>
      </c>
      <c r="AT45" s="132">
        <f t="shared" si="1"/>
        <v>1.1579222135212739</v>
      </c>
      <c r="AU45" s="10">
        <v>4325</v>
      </c>
      <c r="AV45" s="132">
        <f t="shared" si="1"/>
        <v>1.1289480553380318</v>
      </c>
      <c r="AW45" s="10">
        <v>4457</v>
      </c>
      <c r="AX45" s="132">
        <f t="shared" si="1"/>
        <v>1.1634038110154006</v>
      </c>
      <c r="AY45" s="10">
        <v>3898</v>
      </c>
      <c r="AZ45" s="132">
        <f t="shared" si="2"/>
        <v>1.0174889062907857</v>
      </c>
      <c r="BA45" s="10">
        <v>4496</v>
      </c>
      <c r="BB45" s="132">
        <f t="shared" si="3"/>
        <v>1.1735839206473506</v>
      </c>
      <c r="BC45" s="10">
        <v>4032</v>
      </c>
      <c r="BD45" s="132">
        <f t="shared" si="4"/>
        <v>1.0524667188723571</v>
      </c>
      <c r="BE45" s="10">
        <v>4115</v>
      </c>
      <c r="BF45" s="132">
        <f t="shared" si="4"/>
        <v>1.0741320803967633</v>
      </c>
      <c r="BG45" s="10">
        <v>3858</v>
      </c>
      <c r="BH45" s="132">
        <f t="shared" si="4"/>
        <v>1.0070477682067345</v>
      </c>
      <c r="BI45" s="10">
        <v>4445</v>
      </c>
      <c r="BJ45" s="132">
        <f t="shared" si="4"/>
        <v>1.1602714695901852</v>
      </c>
      <c r="BK45" s="10">
        <v>3976</v>
      </c>
      <c r="BL45" s="132">
        <f t="shared" si="4"/>
        <v>1.0378491255546856</v>
      </c>
      <c r="BM45" s="10">
        <v>6634</v>
      </c>
      <c r="BN45" s="132">
        <f t="shared" si="5"/>
        <v>1.7316627512398852</v>
      </c>
      <c r="BO45" s="10">
        <v>6974</v>
      </c>
      <c r="BP45" s="132">
        <f t="shared" si="12"/>
        <v>1.8204124249543201</v>
      </c>
      <c r="BQ45" s="10">
        <v>7845</v>
      </c>
      <c r="BR45" s="132">
        <f t="shared" si="7"/>
        <v>2.047768206734534</v>
      </c>
      <c r="BS45" s="10">
        <v>4865</v>
      </c>
      <c r="BU45" s="10">
        <v>4313</v>
      </c>
      <c r="BW45" s="10">
        <v>4563</v>
      </c>
      <c r="BY45" s="10">
        <v>4477</v>
      </c>
      <c r="CA45" s="10">
        <v>4969</v>
      </c>
      <c r="CC45" s="10">
        <v>270</v>
      </c>
      <c r="CE45" s="3975">
        <v>0</v>
      </c>
      <c r="CF45" s="3976" t="s">
        <v>1720</v>
      </c>
    </row>
    <row r="46" spans="1:84" s="10" customFormat="1" ht="30" customHeight="1" thickBot="1">
      <c r="A46" s="658">
        <v>5</v>
      </c>
      <c r="B46" s="662" t="s">
        <v>205</v>
      </c>
      <c r="C46" s="662" t="str">
        <f ca="1">E46</f>
        <v>{"haftungsType":"Einzelhaftung erfassen","haftungDurch":`${p.FamilyName3}, ${p.ManFirstName3}`,"haftungVon":"01.11.2025","haftungBis":"31.12.2025","haftungFuer":`${p.FamilyName3}, ${p.GirlFirstName3}`,"person1":"","person2":""}</v>
      </c>
      <c r="D46" s="12"/>
      <c r="E46" s="12" t="str">
        <f ca="1">F46&amp;G46&amp;H46&amp;I46&amp;J46&amp;K46&amp;L46&amp;M46&amp;N46&amp;O46&amp;P46&amp;Q46&amp;R46&amp;S46&amp;T46&amp;U46&amp;V46</f>
        <v>{"haftungsType":"Einzelhaftung erfassen","haftungDurch":`${p.FamilyName3}, ${p.ManFirstName3}`,"haftungVon":"01.11.2025","haftungBis":"31.12.2025","haftungFuer":`${p.FamilyName3}, ${p.GirlFirstName3}`,"person1":"","person2":""}</v>
      </c>
      <c r="F46" s="146" t="s">
        <v>206</v>
      </c>
      <c r="G46" s="146" t="s">
        <v>214</v>
      </c>
      <c r="H46" s="146" t="s">
        <v>208</v>
      </c>
      <c r="I46" s="146" t="str">
        <f>I22</f>
        <v>${p.FamilyName3}, ${p.ManFirstName3}</v>
      </c>
      <c r="J46" s="146" t="s">
        <v>209</v>
      </c>
      <c r="K46" s="615" t="str">
        <f ca="1">"01."&amp;TEXT(TODAY(),"MM")&amp;"."&amp;TEXT(TODAY(),"YYYY")</f>
        <v>01.11.2025</v>
      </c>
      <c r="L46" s="611" t="s">
        <v>210</v>
      </c>
      <c r="M46" s="615" t="str">
        <f ca="1">"31.12."&amp;TEXT(TODAY(),"YYYY")</f>
        <v>31.12.2025</v>
      </c>
      <c r="N46" s="146" t="s">
        <v>211</v>
      </c>
      <c r="O46" s="146" t="str">
        <f>"${"&amp;$G$4&amp;"}, ${"&amp;$H$62&amp;"}"</f>
        <v>${p.FamilyName3}, ${p.GirlFirstName3}</v>
      </c>
      <c r="P46" s="146" t="s">
        <v>212</v>
      </c>
      <c r="Q46" s="614"/>
      <c r="R46" s="146" t="s">
        <v>213</v>
      </c>
      <c r="S46" s="146"/>
      <c r="T46" s="146" t="s">
        <v>37</v>
      </c>
      <c r="U46" s="146"/>
      <c r="V46" s="146"/>
      <c r="W46" s="146">
        <v>359</v>
      </c>
      <c r="X46" s="12">
        <v>277</v>
      </c>
      <c r="Y46" s="165">
        <f t="shared" si="8"/>
        <v>0.77158774373259054</v>
      </c>
      <c r="Z46" s="12">
        <v>658</v>
      </c>
      <c r="AA46" s="165">
        <f t="shared" si="8"/>
        <v>1.8328690807799444</v>
      </c>
      <c r="AB46" s="12">
        <v>5413</v>
      </c>
      <c r="AC46" s="165">
        <f t="shared" si="8"/>
        <v>15.07799442896936</v>
      </c>
      <c r="AD46" s="12">
        <v>5389</v>
      </c>
      <c r="AE46" s="165">
        <f t="shared" si="10"/>
        <v>15.011142061281337</v>
      </c>
      <c r="AF46" s="12">
        <v>5304</v>
      </c>
      <c r="AG46" s="12">
        <v>4684</v>
      </c>
      <c r="AH46" s="2">
        <v>320</v>
      </c>
      <c r="AI46" s="132">
        <f t="shared" si="0"/>
        <v>0.12260536398467432</v>
      </c>
      <c r="AJ46" s="2">
        <v>2610</v>
      </c>
      <c r="AK46" s="132">
        <f t="shared" si="0"/>
        <v>1</v>
      </c>
      <c r="AL46" s="2">
        <v>3309</v>
      </c>
      <c r="AM46" s="132">
        <f t="shared" si="0"/>
        <v>1.2678160919540229</v>
      </c>
      <c r="AO46" s="10">
        <v>3029</v>
      </c>
      <c r="AP46" s="132">
        <f t="shared" si="1"/>
        <v>1.1605363984674328</v>
      </c>
      <c r="AQ46" s="10">
        <v>2980</v>
      </c>
      <c r="AR46" s="132">
        <f t="shared" si="1"/>
        <v>1.1417624521072798</v>
      </c>
      <c r="AS46" s="10">
        <v>2926</v>
      </c>
      <c r="AT46" s="132">
        <f t="shared" si="1"/>
        <v>1.1210727969348659</v>
      </c>
      <c r="AU46" s="10">
        <v>2932</v>
      </c>
      <c r="AV46" s="132">
        <f t="shared" si="1"/>
        <v>1.1233716475095785</v>
      </c>
      <c r="AW46" s="10">
        <v>3095</v>
      </c>
      <c r="AX46" s="132">
        <f t="shared" si="1"/>
        <v>1.185823754789272</v>
      </c>
      <c r="AY46" s="10">
        <v>2990</v>
      </c>
      <c r="AZ46" s="132">
        <f t="shared" si="2"/>
        <v>1.1455938697318007</v>
      </c>
      <c r="BA46" s="10">
        <v>3165</v>
      </c>
      <c r="BB46" s="132">
        <f t="shared" si="3"/>
        <v>1.2126436781609196</v>
      </c>
      <c r="BC46" s="10">
        <v>2797</v>
      </c>
      <c r="BD46" s="132">
        <f t="shared" si="4"/>
        <v>1.071647509578544</v>
      </c>
      <c r="BE46" s="10">
        <v>3310</v>
      </c>
      <c r="BF46" s="132">
        <f t="shared" si="4"/>
        <v>1.2681992337164751</v>
      </c>
      <c r="BG46" s="10">
        <v>2791</v>
      </c>
      <c r="BH46" s="132">
        <f t="shared" si="4"/>
        <v>1.0693486590038315</v>
      </c>
      <c r="BI46" s="10">
        <v>3135</v>
      </c>
      <c r="BJ46" s="132">
        <f t="shared" si="4"/>
        <v>1.2011494252873562</v>
      </c>
      <c r="BK46" s="10">
        <v>2586</v>
      </c>
      <c r="BL46" s="132">
        <f t="shared" si="4"/>
        <v>0.99080459770114937</v>
      </c>
      <c r="BM46" s="10">
        <v>4200</v>
      </c>
      <c r="BN46" s="132">
        <f t="shared" si="5"/>
        <v>1.6091954022988506</v>
      </c>
      <c r="BO46" s="10">
        <v>3890</v>
      </c>
      <c r="BP46" s="132">
        <f t="shared" si="12"/>
        <v>1.4904214559386972</v>
      </c>
      <c r="BQ46" s="10">
        <v>2969</v>
      </c>
      <c r="BR46" s="132">
        <f t="shared" si="7"/>
        <v>1.1375478927203064</v>
      </c>
      <c r="BS46" s="10">
        <v>2576</v>
      </c>
      <c r="BU46" s="10">
        <v>4245</v>
      </c>
      <c r="BW46" s="10">
        <v>2502</v>
      </c>
      <c r="BY46" s="10">
        <v>2457</v>
      </c>
      <c r="CA46" s="10">
        <v>3334</v>
      </c>
      <c r="CE46" s="10">
        <v>780</v>
      </c>
      <c r="CF46" s="10" t="s">
        <v>1718</v>
      </c>
    </row>
    <row r="47" spans="1:84" s="10" customFormat="1" ht="15.75" customHeight="1">
      <c r="A47" s="658">
        <v>7</v>
      </c>
      <c r="B47" s="662" t="s">
        <v>216</v>
      </c>
      <c r="C47" s="662"/>
      <c r="D47" s="12"/>
      <c r="E47" s="12"/>
      <c r="F47" s="609"/>
      <c r="G47" s="146"/>
      <c r="H47" s="609"/>
      <c r="I47" s="146"/>
      <c r="J47" s="609"/>
      <c r="K47" s="146"/>
      <c r="L47" s="609"/>
      <c r="M47" s="613"/>
      <c r="N47" s="609"/>
      <c r="O47" s="609"/>
      <c r="P47" s="609"/>
      <c r="Q47" s="614"/>
      <c r="R47" s="609"/>
      <c r="S47" s="146"/>
      <c r="T47" s="146"/>
      <c r="U47" s="146"/>
      <c r="V47" s="609"/>
      <c r="W47" s="609"/>
      <c r="X47" s="12"/>
      <c r="Y47" s="165" t="e">
        <f t="shared" si="8"/>
        <v>#DIV/0!</v>
      </c>
      <c r="Z47" s="12"/>
      <c r="AA47" s="165" t="e">
        <f t="shared" si="8"/>
        <v>#DIV/0!</v>
      </c>
      <c r="AB47" s="12">
        <v>205</v>
      </c>
      <c r="AC47" s="165" t="e">
        <f t="shared" si="8"/>
        <v>#DIV/0!</v>
      </c>
      <c r="AD47" s="12">
        <v>201</v>
      </c>
      <c r="AE47" s="165" t="e">
        <f t="shared" si="10"/>
        <v>#DIV/0!</v>
      </c>
      <c r="AF47" s="12">
        <v>185</v>
      </c>
      <c r="AG47" s="12">
        <v>106</v>
      </c>
      <c r="AI47" s="132">
        <f t="shared" si="0"/>
        <v>0</v>
      </c>
      <c r="AJ47" s="2">
        <v>216</v>
      </c>
      <c r="AK47" s="132">
        <f t="shared" si="0"/>
        <v>1</v>
      </c>
      <c r="AL47" s="2">
        <v>168</v>
      </c>
      <c r="AM47" s="132">
        <f t="shared" si="0"/>
        <v>0.77777777777777779</v>
      </c>
      <c r="AO47" s="10">
        <v>265</v>
      </c>
      <c r="AP47" s="132">
        <f t="shared" si="1"/>
        <v>1.2268518518518519</v>
      </c>
      <c r="AQ47" s="10">
        <v>252</v>
      </c>
      <c r="AR47" s="132">
        <f t="shared" si="1"/>
        <v>1.1666666666666667</v>
      </c>
      <c r="AS47" s="10">
        <v>288</v>
      </c>
      <c r="AT47" s="132">
        <f t="shared" si="1"/>
        <v>1.3333333333333333</v>
      </c>
      <c r="AU47" s="10">
        <v>276</v>
      </c>
      <c r="AV47" s="132">
        <f t="shared" si="1"/>
        <v>1.2777777777777777</v>
      </c>
      <c r="AW47" s="10">
        <v>251</v>
      </c>
      <c r="AX47" s="132">
        <f t="shared" si="1"/>
        <v>1.162037037037037</v>
      </c>
      <c r="AY47" s="10">
        <v>286</v>
      </c>
      <c r="AZ47" s="132">
        <f t="shared" si="2"/>
        <v>1.3240740740740742</v>
      </c>
      <c r="BA47" s="10">
        <v>293</v>
      </c>
      <c r="BB47" s="132">
        <f t="shared" si="3"/>
        <v>1.3564814814814814</v>
      </c>
      <c r="BC47" s="10">
        <v>208</v>
      </c>
      <c r="BD47" s="132">
        <f t="shared" si="4"/>
        <v>0.96296296296296291</v>
      </c>
      <c r="BE47" s="10">
        <v>239</v>
      </c>
      <c r="BF47" s="132">
        <f t="shared" si="4"/>
        <v>1.1064814814814814</v>
      </c>
      <c r="BG47" s="10">
        <v>231</v>
      </c>
      <c r="BH47" s="132">
        <f t="shared" si="4"/>
        <v>1.0694444444444444</v>
      </c>
      <c r="BI47" s="10">
        <v>216</v>
      </c>
      <c r="BJ47" s="132">
        <f t="shared" si="4"/>
        <v>1</v>
      </c>
      <c r="BK47" s="10">
        <v>231</v>
      </c>
      <c r="BL47" s="132">
        <f t="shared" si="4"/>
        <v>1.0694444444444444</v>
      </c>
      <c r="BM47" s="10">
        <v>195</v>
      </c>
      <c r="BN47" s="132">
        <f t="shared" si="5"/>
        <v>0.90277777777777779</v>
      </c>
      <c r="BO47" s="10">
        <v>148</v>
      </c>
      <c r="BP47" s="132">
        <f t="shared" si="12"/>
        <v>0.68518518518518523</v>
      </c>
      <c r="BQ47" s="10">
        <v>393</v>
      </c>
      <c r="BR47" s="132">
        <f t="shared" si="7"/>
        <v>1.8194444444444444</v>
      </c>
      <c r="BS47" s="10">
        <v>349</v>
      </c>
      <c r="BU47" s="10">
        <v>243</v>
      </c>
      <c r="BW47" s="10">
        <v>270</v>
      </c>
      <c r="BY47" s="10">
        <v>259</v>
      </c>
      <c r="CA47" s="10">
        <v>202</v>
      </c>
    </row>
    <row r="48" spans="1:84" s="10" customFormat="1" ht="15.75" customHeight="1" thickBot="1">
      <c r="A48" s="658">
        <v>9</v>
      </c>
      <c r="B48" s="663" t="s">
        <v>139</v>
      </c>
      <c r="C48" s="662" t="str">
        <f t="shared" ref="C48:C53" si="14">E48</f>
        <v>{"searchDossierOrKlient":p.DossierName3,"resultType":"Dossiers"}</v>
      </c>
      <c r="D48" s="2"/>
      <c r="E48" s="12" t="str">
        <f t="shared" ref="E48:E54" si="15">F48&amp;G48&amp;H48&amp;I48&amp;J48&amp;K48&amp;L48&amp;M48&amp;N48&amp;O48&amp;P48&amp;Q48&amp;R48&amp;S48&amp;T48&amp;U48&amp;V48</f>
        <v>{"searchDossierOrKlient":p.DossierName3,"resultType":"Dossiers"}</v>
      </c>
      <c r="F48" s="609" t="s">
        <v>140</v>
      </c>
      <c r="G48" s="649" t="str">
        <f>G44</f>
        <v>p.DossierName3</v>
      </c>
      <c r="H48" s="609" t="s">
        <v>141</v>
      </c>
      <c r="I48" s="611" t="s">
        <v>142</v>
      </c>
      <c r="J48" s="609" t="s">
        <v>37</v>
      </c>
      <c r="K48" s="611"/>
      <c r="L48" s="609"/>
      <c r="M48" s="611"/>
      <c r="N48" s="609"/>
      <c r="O48" s="611"/>
      <c r="P48" s="609"/>
      <c r="Q48" s="611"/>
      <c r="R48" s="609"/>
      <c r="S48" s="611"/>
      <c r="T48" s="609"/>
      <c r="U48" s="611"/>
      <c r="V48" s="609"/>
      <c r="W48" s="609"/>
      <c r="X48" s="2"/>
      <c r="Y48" s="165" t="e">
        <f t="shared" si="8"/>
        <v>#DIV/0!</v>
      </c>
      <c r="Z48" s="2"/>
      <c r="AA48" s="165" t="e">
        <f t="shared" si="8"/>
        <v>#DIV/0!</v>
      </c>
      <c r="AB48" s="2">
        <v>10881</v>
      </c>
      <c r="AC48" s="165" t="e">
        <f t="shared" si="8"/>
        <v>#DIV/0!</v>
      </c>
      <c r="AD48" s="2">
        <v>11053</v>
      </c>
      <c r="AE48" s="165" t="e">
        <f t="shared" si="10"/>
        <v>#DIV/0!</v>
      </c>
      <c r="AF48" s="2">
        <v>10700</v>
      </c>
      <c r="AG48" s="2">
        <v>2652</v>
      </c>
      <c r="AI48" s="132">
        <f t="shared" si="0"/>
        <v>0</v>
      </c>
      <c r="AJ48" s="2">
        <v>6090</v>
      </c>
      <c r="AK48" s="132">
        <f t="shared" si="0"/>
        <v>1</v>
      </c>
      <c r="AL48" s="2">
        <v>5668</v>
      </c>
      <c r="AM48" s="132">
        <f t="shared" si="0"/>
        <v>0.93070607553366169</v>
      </c>
      <c r="AO48" s="10">
        <v>6718</v>
      </c>
      <c r="AP48" s="132">
        <f t="shared" si="1"/>
        <v>1.10311986863711</v>
      </c>
      <c r="AQ48" s="10">
        <v>6618</v>
      </c>
      <c r="AR48" s="132">
        <f t="shared" si="1"/>
        <v>1.0866995073891625</v>
      </c>
      <c r="AS48" s="10">
        <v>6610</v>
      </c>
      <c r="AT48" s="132">
        <f t="shared" si="1"/>
        <v>1.0853858784893267</v>
      </c>
      <c r="AU48" s="10">
        <v>6747</v>
      </c>
      <c r="AV48" s="132">
        <f t="shared" si="1"/>
        <v>1.1078817733990147</v>
      </c>
      <c r="AW48" s="10">
        <v>6663</v>
      </c>
      <c r="AX48" s="132">
        <f t="shared" si="1"/>
        <v>1.0940886699507388</v>
      </c>
      <c r="AY48" s="10">
        <v>6630</v>
      </c>
      <c r="AZ48" s="132">
        <f t="shared" si="2"/>
        <v>1.0886699507389161</v>
      </c>
      <c r="BA48" s="10">
        <v>6519</v>
      </c>
      <c r="BB48" s="132">
        <f t="shared" si="3"/>
        <v>1.0704433497536945</v>
      </c>
      <c r="BC48" s="10">
        <v>6017</v>
      </c>
      <c r="BD48" s="132">
        <f t="shared" si="4"/>
        <v>0.98801313628899834</v>
      </c>
      <c r="BE48" s="10">
        <v>5701</v>
      </c>
      <c r="BF48" s="132">
        <f t="shared" si="4"/>
        <v>0.93612479474548438</v>
      </c>
      <c r="BG48" s="10">
        <v>3238</v>
      </c>
      <c r="BH48" s="132">
        <f t="shared" si="4"/>
        <v>0.53169129720853858</v>
      </c>
      <c r="BI48" s="10">
        <v>3066</v>
      </c>
      <c r="BJ48" s="132">
        <f t="shared" si="4"/>
        <v>0.50344827586206897</v>
      </c>
      <c r="BK48" s="10">
        <v>3520</v>
      </c>
      <c r="BL48" s="132">
        <f t="shared" si="4"/>
        <v>0.57799671592775037</v>
      </c>
      <c r="BM48" s="10">
        <v>6066</v>
      </c>
      <c r="BN48" s="132">
        <f t="shared" si="5"/>
        <v>0.99605911330049257</v>
      </c>
      <c r="BO48" s="10">
        <v>5496</v>
      </c>
      <c r="BP48" s="132">
        <f t="shared" si="12"/>
        <v>0.90246305418719208</v>
      </c>
      <c r="BQ48" s="10">
        <v>5533</v>
      </c>
      <c r="BR48" s="132">
        <f t="shared" si="7"/>
        <v>0.90853858784893271</v>
      </c>
      <c r="BS48" s="10">
        <v>5526</v>
      </c>
      <c r="BU48" s="10">
        <v>6968</v>
      </c>
      <c r="BW48" s="10">
        <v>8598</v>
      </c>
      <c r="BY48" s="10">
        <v>5190</v>
      </c>
      <c r="CA48" s="10">
        <v>8190</v>
      </c>
    </row>
    <row r="49" spans="1:79" s="10" customFormat="1" ht="19.5" customHeight="1" thickBot="1">
      <c r="A49" s="658">
        <v>10</v>
      </c>
      <c r="B49" s="662" t="s">
        <v>217</v>
      </c>
      <c r="C49" s="662" t="str">
        <f t="shared" si="14"/>
        <v>{"dossierInstitution":p.DossierName3,"freigegebeneZahlungen":"3"}</v>
      </c>
      <c r="D49" s="2"/>
      <c r="E49" s="12" t="str">
        <f t="shared" si="15"/>
        <v>{"dossierInstitution":p.DossierName3,"freigegebeneZahlungen":"3"}</v>
      </c>
      <c r="F49" s="619" t="s">
        <v>128</v>
      </c>
      <c r="G49" s="649" t="str">
        <f>G48</f>
        <v>p.DossierName3</v>
      </c>
      <c r="H49" s="609" t="s">
        <v>218</v>
      </c>
      <c r="I49" s="4216">
        <v>3</v>
      </c>
      <c r="J49" s="609" t="s">
        <v>37</v>
      </c>
      <c r="K49" s="611"/>
      <c r="L49" s="609"/>
      <c r="M49" s="611"/>
      <c r="N49" s="609"/>
      <c r="O49" s="611"/>
      <c r="P49" s="609"/>
      <c r="Q49" s="611"/>
      <c r="R49" s="609"/>
      <c r="S49" s="611"/>
      <c r="T49" s="609"/>
      <c r="U49" s="611"/>
      <c r="V49" s="609"/>
      <c r="W49" s="609"/>
      <c r="X49" s="2"/>
      <c r="Y49" s="165" t="e">
        <f t="shared" si="8"/>
        <v>#DIV/0!</v>
      </c>
      <c r="Z49" s="2"/>
      <c r="AA49" s="165" t="e">
        <f t="shared" si="8"/>
        <v>#DIV/0!</v>
      </c>
      <c r="AB49" s="2">
        <v>0</v>
      </c>
      <c r="AC49" s="165" t="e">
        <f t="shared" si="8"/>
        <v>#DIV/0!</v>
      </c>
      <c r="AD49" s="2">
        <v>0</v>
      </c>
      <c r="AE49" s="165" t="e">
        <f t="shared" si="10"/>
        <v>#DIV/0!</v>
      </c>
      <c r="AF49" s="2">
        <v>0</v>
      </c>
      <c r="AG49" s="2">
        <v>12921</v>
      </c>
      <c r="AI49" s="132">
        <f t="shared" si="0"/>
        <v>0</v>
      </c>
      <c r="AJ49" s="2">
        <v>8821</v>
      </c>
      <c r="AK49" s="132">
        <f t="shared" si="0"/>
        <v>1</v>
      </c>
      <c r="AL49" s="2">
        <v>8291</v>
      </c>
      <c r="AM49" s="132">
        <f t="shared" si="0"/>
        <v>0.93991610928466163</v>
      </c>
      <c r="AO49" s="10">
        <v>8820</v>
      </c>
      <c r="AP49" s="132">
        <f t="shared" si="1"/>
        <v>0.99988663416846157</v>
      </c>
      <c r="AQ49" s="10">
        <v>8849</v>
      </c>
      <c r="AR49" s="132">
        <f t="shared" si="1"/>
        <v>1.0031742432830746</v>
      </c>
      <c r="AS49" s="10">
        <v>8806</v>
      </c>
      <c r="AT49" s="132">
        <f t="shared" si="1"/>
        <v>0.99829951252692439</v>
      </c>
      <c r="AU49" s="10">
        <v>8886</v>
      </c>
      <c r="AV49" s="132">
        <f t="shared" si="1"/>
        <v>1.0073687790499943</v>
      </c>
      <c r="AW49" s="10">
        <v>8800</v>
      </c>
      <c r="AX49" s="132">
        <f t="shared" ref="AX49:AX53" si="16">AW49/$AJ49</f>
        <v>0.99761931753769417</v>
      </c>
      <c r="AY49" s="10">
        <v>8825</v>
      </c>
      <c r="AZ49" s="132">
        <f t="shared" si="2"/>
        <v>1.0004534633261535</v>
      </c>
      <c r="BA49" s="10">
        <v>8643</v>
      </c>
      <c r="BB49" s="132">
        <f t="shared" si="3"/>
        <v>0.97982088198616935</v>
      </c>
      <c r="BC49" s="10">
        <v>8682</v>
      </c>
      <c r="BD49" s="132">
        <f t="shared" si="4"/>
        <v>0.98424214941616595</v>
      </c>
      <c r="BE49" s="10">
        <v>8128</v>
      </c>
      <c r="BF49" s="132">
        <f t="shared" si="4"/>
        <v>0.92143747874390658</v>
      </c>
      <c r="BG49" s="10">
        <v>5736</v>
      </c>
      <c r="BH49" s="132">
        <f t="shared" si="4"/>
        <v>0.6502664097041152</v>
      </c>
      <c r="BI49" s="10">
        <v>5676</v>
      </c>
      <c r="BJ49" s="132">
        <f t="shared" si="4"/>
        <v>0.64346445981181277</v>
      </c>
      <c r="BK49" s="10">
        <v>5591</v>
      </c>
      <c r="BL49" s="132">
        <f t="shared" ref="BL49:BL53" si="17">BK49/$AJ49</f>
        <v>0.63382836413105093</v>
      </c>
      <c r="BM49" s="1934">
        <v>0</v>
      </c>
      <c r="BN49" s="132">
        <f t="shared" si="5"/>
        <v>0</v>
      </c>
      <c r="BO49" s="1996">
        <v>0</v>
      </c>
      <c r="BP49" s="132">
        <f t="shared" si="12"/>
        <v>0</v>
      </c>
      <c r="BQ49" s="10">
        <v>10136</v>
      </c>
      <c r="BR49" s="132">
        <f t="shared" si="7"/>
        <v>1.1490760684729622</v>
      </c>
      <c r="BS49" s="10">
        <v>8429</v>
      </c>
      <c r="BU49" s="2922">
        <v>0</v>
      </c>
      <c r="BV49" s="2923" t="s">
        <v>1474</v>
      </c>
      <c r="BW49" s="10">
        <v>7395</v>
      </c>
      <c r="BY49" s="10">
        <v>8786</v>
      </c>
      <c r="CA49" s="10">
        <v>7498</v>
      </c>
    </row>
    <row r="50" spans="1:79" s="10" customFormat="1" ht="15.75" customHeight="1">
      <c r="A50" s="658">
        <v>11</v>
      </c>
      <c r="B50" s="661" t="s">
        <v>134</v>
      </c>
      <c r="C50" s="662" t="str">
        <f t="shared" si="14"/>
        <v>{"username":"Bern.Buchhalter@diartis.ch","password":"HBcc73+ppTX42?E."}</v>
      </c>
      <c r="D50" s="2"/>
      <c r="E50" s="12" t="str">
        <f t="shared" si="15"/>
        <v>{"username":"Bern.Buchhalter@diartis.ch","password":"HBcc73+ppTX42?E."}</v>
      </c>
      <c r="F50" s="609" t="s">
        <v>29</v>
      </c>
      <c r="G50" s="611" t="s">
        <v>219</v>
      </c>
      <c r="H50" s="609" t="s">
        <v>31</v>
      </c>
      <c r="I50" s="611" t="s">
        <v>220</v>
      </c>
      <c r="J50" s="609" t="s">
        <v>37</v>
      </c>
      <c r="L50" s="609"/>
      <c r="M50" s="611"/>
      <c r="N50" s="609"/>
      <c r="O50" s="611"/>
      <c r="P50" s="609"/>
      <c r="Q50" s="611"/>
      <c r="R50" s="609"/>
      <c r="S50" s="611"/>
      <c r="T50" s="609"/>
      <c r="U50" s="611"/>
      <c r="V50" s="609"/>
      <c r="W50" s="609"/>
      <c r="X50" s="2"/>
      <c r="Y50" s="165" t="e">
        <f t="shared" si="8"/>
        <v>#DIV/0!</v>
      </c>
      <c r="Z50" s="2"/>
      <c r="AA50" s="165" t="e">
        <f t="shared" si="8"/>
        <v>#DIV/0!</v>
      </c>
      <c r="AB50" s="2">
        <v>351</v>
      </c>
      <c r="AC50" s="165" t="e">
        <f t="shared" si="8"/>
        <v>#DIV/0!</v>
      </c>
      <c r="AD50" s="2">
        <v>643</v>
      </c>
      <c r="AE50" s="165" t="e">
        <f t="shared" si="10"/>
        <v>#DIV/0!</v>
      </c>
      <c r="AF50" s="2">
        <v>4579</v>
      </c>
      <c r="AG50" s="2">
        <v>4445</v>
      </c>
      <c r="AI50" s="132">
        <f t="shared" si="0"/>
        <v>0</v>
      </c>
      <c r="AJ50" s="2">
        <v>10032</v>
      </c>
      <c r="AK50" s="132">
        <f t="shared" si="0"/>
        <v>1</v>
      </c>
      <c r="AL50" s="2">
        <v>9286</v>
      </c>
      <c r="AM50" s="132">
        <f t="shared" si="0"/>
        <v>0.92563795853269537</v>
      </c>
      <c r="AO50" s="10">
        <v>9677</v>
      </c>
      <c r="AP50" s="132">
        <f t="shared" si="1"/>
        <v>0.96461323763955342</v>
      </c>
      <c r="AQ50" s="10">
        <v>9665</v>
      </c>
      <c r="AR50" s="132">
        <f t="shared" si="1"/>
        <v>0.96341706539074956</v>
      </c>
      <c r="AS50" s="10">
        <v>8947</v>
      </c>
      <c r="AT50" s="132">
        <f t="shared" si="1"/>
        <v>0.89184609250398728</v>
      </c>
      <c r="AU50" s="10">
        <v>9845</v>
      </c>
      <c r="AV50" s="132">
        <f t="shared" si="1"/>
        <v>0.98135964912280704</v>
      </c>
      <c r="AW50" s="10">
        <v>9602</v>
      </c>
      <c r="AX50" s="132">
        <f t="shared" si="16"/>
        <v>0.95713716108452951</v>
      </c>
      <c r="AY50" s="10">
        <v>9808</v>
      </c>
      <c r="AZ50" s="132">
        <f t="shared" si="2"/>
        <v>0.97767145135566191</v>
      </c>
      <c r="BA50" s="10">
        <v>9828</v>
      </c>
      <c r="BB50" s="132">
        <f t="shared" si="3"/>
        <v>0.97966507177033491</v>
      </c>
      <c r="BC50" s="10">
        <v>9512</v>
      </c>
      <c r="BD50" s="132">
        <f t="shared" si="4"/>
        <v>0.94816586921850077</v>
      </c>
      <c r="BE50" s="10">
        <v>9802</v>
      </c>
      <c r="BF50" s="132">
        <f t="shared" si="4"/>
        <v>0.97707336523125998</v>
      </c>
      <c r="BG50" s="10">
        <v>9623</v>
      </c>
      <c r="BH50" s="132">
        <f t="shared" si="4"/>
        <v>0.95923046251993616</v>
      </c>
      <c r="BI50" s="10">
        <v>9596</v>
      </c>
      <c r="BJ50" s="132">
        <f t="shared" si="4"/>
        <v>0.95653907496012758</v>
      </c>
      <c r="BK50" s="10">
        <v>9808</v>
      </c>
      <c r="BL50" s="132">
        <f t="shared" si="17"/>
        <v>0.97767145135566191</v>
      </c>
      <c r="BM50" s="10">
        <v>9139</v>
      </c>
      <c r="BN50" s="132">
        <f t="shared" si="5"/>
        <v>0.91098484848484851</v>
      </c>
      <c r="BO50" s="10">
        <v>10227</v>
      </c>
      <c r="BP50" s="132">
        <f t="shared" si="12"/>
        <v>1.0194377990430623</v>
      </c>
      <c r="BQ50" s="10">
        <v>9756</v>
      </c>
      <c r="BR50" s="132">
        <f t="shared" si="7"/>
        <v>0.97248803827751196</v>
      </c>
      <c r="BS50" s="10">
        <v>12563</v>
      </c>
      <c r="BU50" s="10">
        <v>188</v>
      </c>
      <c r="BW50" s="10">
        <v>12247</v>
      </c>
      <c r="BY50" s="10">
        <v>11321</v>
      </c>
      <c r="CA50" s="10">
        <v>12991</v>
      </c>
    </row>
    <row r="51" spans="1:79" s="10" customFormat="1" ht="15.75" customHeight="1">
      <c r="A51" s="658">
        <v>13</v>
      </c>
      <c r="B51" s="663" t="s">
        <v>139</v>
      </c>
      <c r="C51" s="662" t="str">
        <f t="shared" si="14"/>
        <v>{"searchDossierOrKlient":p.DossierName3,"resultType":"Dossiers"}</v>
      </c>
      <c r="D51" s="2"/>
      <c r="E51" s="12" t="str">
        <f t="shared" si="15"/>
        <v>{"searchDossierOrKlient":p.DossierName3,"resultType":"Dossiers"}</v>
      </c>
      <c r="F51" s="609" t="s">
        <v>140</v>
      </c>
      <c r="G51" s="649" t="str">
        <f>G49</f>
        <v>p.DossierName3</v>
      </c>
      <c r="H51" s="609" t="s">
        <v>141</v>
      </c>
      <c r="I51" s="611" t="s">
        <v>142</v>
      </c>
      <c r="J51" s="609" t="s">
        <v>37</v>
      </c>
      <c r="K51" s="611"/>
      <c r="L51" s="609"/>
      <c r="M51" s="611"/>
      <c r="N51" s="609"/>
      <c r="O51" s="611"/>
      <c r="P51" s="609"/>
      <c r="Q51" s="611"/>
      <c r="R51" s="609"/>
      <c r="S51" s="611"/>
      <c r="T51" s="609"/>
      <c r="U51" s="611"/>
      <c r="V51" s="609"/>
      <c r="W51" s="609"/>
      <c r="X51" s="2"/>
      <c r="Y51" s="165" t="e">
        <f t="shared" si="8"/>
        <v>#DIV/0!</v>
      </c>
      <c r="Z51" s="2"/>
      <c r="AA51" s="165" t="e">
        <f t="shared" si="8"/>
        <v>#DIV/0!</v>
      </c>
      <c r="AB51" s="2"/>
      <c r="AC51" s="165" t="e">
        <f t="shared" si="8"/>
        <v>#DIV/0!</v>
      </c>
      <c r="AD51" s="2"/>
      <c r="AE51" s="165" t="e">
        <f t="shared" si="10"/>
        <v>#DIV/0!</v>
      </c>
      <c r="AF51" s="2">
        <v>10661</v>
      </c>
      <c r="AG51" s="2">
        <v>2517</v>
      </c>
      <c r="AI51" s="132">
        <f t="shared" si="0"/>
        <v>0</v>
      </c>
      <c r="AJ51" s="2">
        <v>5685</v>
      </c>
      <c r="AK51" s="132">
        <f t="shared" si="0"/>
        <v>1</v>
      </c>
      <c r="AL51" s="2">
        <v>6401</v>
      </c>
      <c r="AM51" s="132">
        <f t="shared" si="0"/>
        <v>1.1259454705364995</v>
      </c>
      <c r="AO51" s="10">
        <v>5870</v>
      </c>
      <c r="AP51" s="132">
        <f t="shared" si="1"/>
        <v>1.032541776605101</v>
      </c>
      <c r="AQ51" s="10">
        <v>6097</v>
      </c>
      <c r="AR51" s="132">
        <f t="shared" si="1"/>
        <v>1.0724714160070361</v>
      </c>
      <c r="AS51" s="10">
        <v>5849</v>
      </c>
      <c r="AT51" s="132">
        <f t="shared" si="1"/>
        <v>1.0288478452066843</v>
      </c>
      <c r="AU51" s="10">
        <v>6035</v>
      </c>
      <c r="AV51" s="132">
        <f t="shared" si="1"/>
        <v>1.0615655233069481</v>
      </c>
      <c r="AW51" s="10">
        <v>6041</v>
      </c>
      <c r="AX51" s="132">
        <f t="shared" si="16"/>
        <v>1.0626209322779243</v>
      </c>
      <c r="AY51" s="10">
        <v>5912</v>
      </c>
      <c r="AZ51" s="132">
        <f t="shared" si="2"/>
        <v>1.0399296394019348</v>
      </c>
      <c r="BA51" s="10">
        <v>5922</v>
      </c>
      <c r="BB51" s="132">
        <f t="shared" si="3"/>
        <v>1.0416886543535619</v>
      </c>
      <c r="BC51" s="10">
        <v>5851</v>
      </c>
      <c r="BD51" s="132">
        <f t="shared" si="4"/>
        <v>1.0291996481970096</v>
      </c>
      <c r="BE51" s="10">
        <v>5343</v>
      </c>
      <c r="BF51" s="132">
        <f t="shared" si="4"/>
        <v>0.93984168865435358</v>
      </c>
      <c r="BG51" s="10">
        <v>2728</v>
      </c>
      <c r="BH51" s="132">
        <f t="shared" si="4"/>
        <v>0.47985927880386986</v>
      </c>
      <c r="BI51" s="10">
        <v>2674</v>
      </c>
      <c r="BJ51" s="132">
        <f t="shared" si="4"/>
        <v>0.47036059806508357</v>
      </c>
      <c r="BK51" s="10">
        <v>3299</v>
      </c>
      <c r="BL51" s="132">
        <f t="shared" si="17"/>
        <v>0.58029903254177662</v>
      </c>
      <c r="BM51" s="10">
        <v>8702</v>
      </c>
      <c r="BN51" s="132">
        <f t="shared" si="5"/>
        <v>1.5306948109058927</v>
      </c>
      <c r="BO51" s="10">
        <v>5317</v>
      </c>
      <c r="BP51" s="132">
        <f t="shared" si="12"/>
        <v>0.93526824978012313</v>
      </c>
      <c r="BQ51" s="10">
        <v>6403</v>
      </c>
      <c r="BR51" s="132">
        <f t="shared" si="7"/>
        <v>1.1262972735268251</v>
      </c>
      <c r="BS51" s="10">
        <v>4469</v>
      </c>
      <c r="BW51" s="10">
        <v>4438</v>
      </c>
      <c r="BY51" s="10">
        <v>4482</v>
      </c>
      <c r="CA51" s="10">
        <v>4237</v>
      </c>
    </row>
    <row r="52" spans="1:79" s="10" customFormat="1" ht="18.75" customHeight="1">
      <c r="A52" s="658">
        <v>14</v>
      </c>
      <c r="B52" s="661" t="s">
        <v>221</v>
      </c>
      <c r="C52" s="662" t="str">
        <f t="shared" si="14"/>
        <v>{"bisValutaDatum":"31.12.2026","dossier":p.DossierName3,"checkZahlungTotal":"9’146.00"}</v>
      </c>
      <c r="D52" s="90"/>
      <c r="E52" s="45" t="str">
        <f t="shared" si="15"/>
        <v>{"bisValutaDatum":"31.12.2026","dossier":p.DossierName3,"checkZahlungTotal":"9’146.00"}</v>
      </c>
      <c r="F52" s="92" t="s">
        <v>222</v>
      </c>
      <c r="G52" s="90" t="s">
        <v>327</v>
      </c>
      <c r="H52" s="609" t="s">
        <v>224</v>
      </c>
      <c r="I52" s="614" t="str">
        <f>G48</f>
        <v>p.DossierName3</v>
      </c>
      <c r="J52" s="609" t="s">
        <v>279</v>
      </c>
      <c r="K52" s="4203" t="s">
        <v>1759</v>
      </c>
      <c r="L52" s="609" t="s">
        <v>37</v>
      </c>
      <c r="M52" s="611"/>
      <c r="N52" s="609"/>
      <c r="O52" s="611"/>
      <c r="P52" s="609"/>
      <c r="Q52" s="611"/>
      <c r="R52" s="609"/>
      <c r="S52" s="611"/>
      <c r="T52" s="609"/>
      <c r="U52" s="611"/>
      <c r="V52" s="609"/>
      <c r="W52" s="609"/>
      <c r="X52" s="90"/>
      <c r="Y52" s="156" t="e">
        <f t="shared" si="8"/>
        <v>#DIV/0!</v>
      </c>
      <c r="Z52" s="90"/>
      <c r="AA52" s="156" t="e">
        <f t="shared" si="8"/>
        <v>#DIV/0!</v>
      </c>
      <c r="AB52" s="90"/>
      <c r="AC52" s="156" t="e">
        <f t="shared" si="8"/>
        <v>#DIV/0!</v>
      </c>
      <c r="AD52" s="90"/>
      <c r="AE52" s="156" t="e">
        <f t="shared" si="10"/>
        <v>#DIV/0!</v>
      </c>
      <c r="AF52" s="90">
        <v>0</v>
      </c>
      <c r="AG52" s="90">
        <v>0</v>
      </c>
      <c r="AI52" s="14">
        <f t="shared" si="0"/>
        <v>0</v>
      </c>
      <c r="AJ52" s="2">
        <v>7817</v>
      </c>
      <c r="AK52" s="14">
        <f t="shared" si="0"/>
        <v>1</v>
      </c>
      <c r="AL52" s="2">
        <v>0</v>
      </c>
      <c r="AM52" s="14">
        <f t="shared" si="0"/>
        <v>0</v>
      </c>
      <c r="AO52" s="10">
        <v>8528</v>
      </c>
      <c r="AP52" s="14">
        <f t="shared" si="1"/>
        <v>1.0909556095688884</v>
      </c>
      <c r="AQ52" s="10">
        <v>8526</v>
      </c>
      <c r="AR52" s="14">
        <f t="shared" si="1"/>
        <v>1.0906997569400025</v>
      </c>
      <c r="AS52" s="10">
        <v>8544</v>
      </c>
      <c r="AT52" s="14">
        <f t="shared" si="1"/>
        <v>1.0930024305999744</v>
      </c>
      <c r="AU52" s="10">
        <v>8325</v>
      </c>
      <c r="AV52" s="14">
        <f t="shared" si="1"/>
        <v>1.0649865677369834</v>
      </c>
      <c r="AW52" s="10">
        <v>9128</v>
      </c>
      <c r="AX52" s="14">
        <f t="shared" si="16"/>
        <v>1.1677113982346168</v>
      </c>
      <c r="AY52" s="10">
        <v>8572</v>
      </c>
      <c r="AZ52" s="14">
        <f t="shared" si="2"/>
        <v>1.0965843674043751</v>
      </c>
      <c r="BA52" s="10">
        <v>8788</v>
      </c>
      <c r="BB52" s="14">
        <f t="shared" si="3"/>
        <v>1.1242164513240374</v>
      </c>
      <c r="BC52" s="10">
        <v>7035</v>
      </c>
      <c r="BD52" s="14">
        <f t="shared" si="4"/>
        <v>0.8999616221056671</v>
      </c>
      <c r="BE52" s="10">
        <v>8407</v>
      </c>
      <c r="BF52" s="14">
        <f t="shared" si="4"/>
        <v>1.0754765255212997</v>
      </c>
      <c r="BG52" s="1503">
        <v>0</v>
      </c>
      <c r="BH52" s="14">
        <f t="shared" si="4"/>
        <v>0</v>
      </c>
      <c r="BI52" s="10">
        <v>8319</v>
      </c>
      <c r="BJ52" s="14">
        <f t="shared" si="4"/>
        <v>1.0642190098503261</v>
      </c>
      <c r="BK52" s="10">
        <v>8384</v>
      </c>
      <c r="BL52" s="14">
        <f t="shared" si="17"/>
        <v>1.0725342202891135</v>
      </c>
      <c r="BM52" s="1935">
        <v>0</v>
      </c>
      <c r="BN52" s="14">
        <f t="shared" si="5"/>
        <v>0</v>
      </c>
      <c r="BO52" s="1997">
        <v>0</v>
      </c>
      <c r="BP52" s="14">
        <f t="shared" si="12"/>
        <v>0</v>
      </c>
      <c r="BQ52" s="10">
        <v>9389</v>
      </c>
      <c r="BR52" s="14">
        <f t="shared" si="7"/>
        <v>1.2011001663042087</v>
      </c>
      <c r="BS52" s="10">
        <v>8871</v>
      </c>
      <c r="BW52" s="3110">
        <v>0</v>
      </c>
      <c r="BX52" s="3111" t="s">
        <v>1505</v>
      </c>
      <c r="BY52" s="3292">
        <v>0</v>
      </c>
      <c r="BZ52" s="3293" t="s">
        <v>1505</v>
      </c>
      <c r="CA52" s="10">
        <v>12092</v>
      </c>
    </row>
    <row r="53" spans="1:79" s="10" customFormat="1" ht="15.75" customHeight="1">
      <c r="A53" s="658">
        <v>16</v>
      </c>
      <c r="B53" s="659" t="s">
        <v>229</v>
      </c>
      <c r="C53" s="662" t="str">
        <f t="shared" si="14"/>
        <v>{"dossier":p.DossierName3,"ausgefuehrteZahlungen":"3"}</v>
      </c>
      <c r="D53" s="38"/>
      <c r="E53" s="45" t="str">
        <f t="shared" si="15"/>
        <v>{"dossier":p.DossierName3,"ausgefuehrteZahlungen":"3"}</v>
      </c>
      <c r="F53" s="611" t="s">
        <v>159</v>
      </c>
      <c r="G53" s="611" t="str">
        <f>G60</f>
        <v>p.DossierName3</v>
      </c>
      <c r="H53" s="611" t="s">
        <v>230</v>
      </c>
      <c r="I53" s="4216">
        <v>3</v>
      </c>
      <c r="J53" s="611" t="s">
        <v>37</v>
      </c>
      <c r="K53" s="611"/>
      <c r="L53" s="611"/>
      <c r="M53" s="611"/>
      <c r="N53" s="611"/>
      <c r="O53" s="625"/>
      <c r="P53" s="611"/>
      <c r="Q53" s="611"/>
      <c r="R53" s="611"/>
      <c r="S53" s="611"/>
      <c r="T53" s="611"/>
      <c r="U53" s="611"/>
      <c r="V53" s="611"/>
      <c r="W53" s="611"/>
      <c r="X53" s="2"/>
      <c r="Y53" s="156" t="e">
        <f t="shared" si="8"/>
        <v>#DIV/0!</v>
      </c>
      <c r="Z53" s="2"/>
      <c r="AA53" s="156" t="e">
        <f t="shared" si="8"/>
        <v>#DIV/0!</v>
      </c>
      <c r="AB53" s="2"/>
      <c r="AC53" s="156" t="e">
        <f t="shared" si="8"/>
        <v>#DIV/0!</v>
      </c>
      <c r="AD53" s="2"/>
      <c r="AE53" s="156" t="e">
        <f t="shared" si="10"/>
        <v>#DIV/0!</v>
      </c>
      <c r="AF53" s="2"/>
      <c r="AG53" s="2">
        <v>8347</v>
      </c>
      <c r="AI53" s="14">
        <f t="shared" si="0"/>
        <v>0</v>
      </c>
      <c r="AJ53" s="2">
        <v>7033</v>
      </c>
      <c r="AK53" s="14">
        <f t="shared" si="0"/>
        <v>1</v>
      </c>
      <c r="AL53" s="2">
        <v>6289</v>
      </c>
      <c r="AM53" s="14">
        <f t="shared" si="0"/>
        <v>0.89421299587658187</v>
      </c>
      <c r="AO53" s="10">
        <v>6914</v>
      </c>
      <c r="AP53" s="14">
        <f t="shared" si="1"/>
        <v>0.9830797668135931</v>
      </c>
      <c r="AQ53" s="10">
        <v>7370</v>
      </c>
      <c r="AR53" s="14">
        <f t="shared" si="1"/>
        <v>1.0479169628892364</v>
      </c>
      <c r="AS53" s="10">
        <v>7142</v>
      </c>
      <c r="AT53" s="14">
        <f t="shared" si="1"/>
        <v>1.0154983648514149</v>
      </c>
      <c r="AU53" s="10">
        <v>7041</v>
      </c>
      <c r="AV53" s="14">
        <f t="shared" si="1"/>
        <v>1.0011374946679938</v>
      </c>
      <c r="AW53" s="10">
        <v>7021</v>
      </c>
      <c r="AX53" s="14">
        <f t="shared" si="16"/>
        <v>0.99829375799800935</v>
      </c>
      <c r="AY53" s="10">
        <v>7115</v>
      </c>
      <c r="AZ53" s="14">
        <f t="shared" si="2"/>
        <v>1.011659320346936</v>
      </c>
      <c r="BA53" s="10">
        <v>7187</v>
      </c>
      <c r="BB53" s="14">
        <f t="shared" si="3"/>
        <v>1.0218967723588797</v>
      </c>
      <c r="BC53" s="10">
        <v>6777</v>
      </c>
      <c r="BD53" s="14">
        <f t="shared" si="4"/>
        <v>0.96360017062420023</v>
      </c>
      <c r="BE53" s="10">
        <v>6480</v>
      </c>
      <c r="BF53" s="14">
        <f t="shared" si="4"/>
        <v>0.92137068107493247</v>
      </c>
      <c r="BG53" s="10">
        <v>3749</v>
      </c>
      <c r="BH53" s="14">
        <f t="shared" si="4"/>
        <v>0.53305843878856818</v>
      </c>
      <c r="BI53" s="10">
        <v>5008</v>
      </c>
      <c r="BJ53" s="14">
        <f t="shared" si="4"/>
        <v>0.71207166216408357</v>
      </c>
      <c r="BK53" s="10">
        <v>4733</v>
      </c>
      <c r="BL53" s="14">
        <f t="shared" si="17"/>
        <v>0.67297028295179862</v>
      </c>
      <c r="BM53" s="1936">
        <v>0</v>
      </c>
      <c r="BN53" s="14">
        <f t="shared" si="5"/>
        <v>0</v>
      </c>
      <c r="BO53" s="1998">
        <v>0</v>
      </c>
      <c r="BP53" s="14">
        <f t="shared" si="12"/>
        <v>0</v>
      </c>
      <c r="BQ53" s="10">
        <v>7265</v>
      </c>
      <c r="BR53" s="14">
        <f t="shared" si="7"/>
        <v>1.0329873453718186</v>
      </c>
      <c r="BS53" s="10">
        <v>6398</v>
      </c>
      <c r="BW53" s="10">
        <v>6372</v>
      </c>
      <c r="BY53" s="10">
        <v>5342</v>
      </c>
      <c r="CA53" s="10">
        <v>5998</v>
      </c>
    </row>
    <row r="54" spans="1:79" ht="15.75" customHeight="1">
      <c r="A54" s="49"/>
      <c r="B54" s="137" t="s">
        <v>134</v>
      </c>
      <c r="C54" s="88" t="s">
        <v>138</v>
      </c>
      <c r="E54" s="45" t="str">
        <f t="shared" si="15"/>
        <v>{"username":"Bern.Sachbearbeiterin@diartis.ch","password":"XXxa22?pdTA66-S@"}</v>
      </c>
      <c r="F54" s="609" t="s">
        <v>29</v>
      </c>
      <c r="G54" s="611" t="s">
        <v>30</v>
      </c>
      <c r="H54" s="609" t="s">
        <v>31</v>
      </c>
      <c r="I54" s="611" t="s">
        <v>32</v>
      </c>
      <c r="J54" s="609" t="s">
        <v>37</v>
      </c>
      <c r="K54" s="3668"/>
      <c r="Y54" s="165"/>
      <c r="AA54" s="165"/>
      <c r="AC54" s="165"/>
      <c r="AE54" s="165"/>
      <c r="AI54" s="165"/>
      <c r="AK54" s="165"/>
      <c r="AM54" s="165"/>
      <c r="AP54" s="165"/>
      <c r="AR54" s="165"/>
      <c r="AT54" s="165"/>
      <c r="AV54" s="165"/>
      <c r="AX54" s="165"/>
      <c r="AZ54" s="165"/>
      <c r="BB54" s="165"/>
      <c r="BD54" s="165"/>
      <c r="BF54" s="165"/>
      <c r="BH54" s="165"/>
      <c r="BJ54" s="165"/>
      <c r="BL54" s="165"/>
      <c r="BN54" s="165"/>
      <c r="BP54" s="165"/>
      <c r="BR54" s="165"/>
    </row>
    <row r="55" spans="1:79" ht="16.5" customHeight="1" thickBot="1">
      <c r="B55" s="54"/>
      <c r="C55" s="38"/>
      <c r="E55" s="2"/>
      <c r="Y55" s="165"/>
      <c r="AA55" s="165"/>
      <c r="AC55" s="165"/>
      <c r="AE55" s="165"/>
      <c r="AI55" s="165"/>
      <c r="AK55" s="165"/>
      <c r="AM55" s="165"/>
      <c r="AP55" s="165"/>
      <c r="AR55" s="165"/>
      <c r="AT55" s="165"/>
      <c r="AV55" s="165"/>
      <c r="AX55" s="165"/>
      <c r="AZ55" s="165"/>
      <c r="BB55" s="165"/>
      <c r="BD55" s="165"/>
      <c r="BF55" s="165"/>
      <c r="BH55" s="165"/>
      <c r="BJ55" s="165"/>
      <c r="BL55" s="165"/>
      <c r="BN55" s="165"/>
      <c r="BP55" s="165"/>
      <c r="BR55" s="165"/>
    </row>
    <row r="56" spans="1:79" ht="15.75" customHeight="1" thickBot="1">
      <c r="B56" s="179"/>
      <c r="C56" s="38"/>
      <c r="E56" s="2"/>
      <c r="Y56" s="165"/>
      <c r="AA56" s="165"/>
      <c r="AC56" s="165"/>
      <c r="AE56" s="165"/>
      <c r="AI56" s="165"/>
      <c r="AK56" s="165"/>
      <c r="AM56" s="165"/>
      <c r="AP56" s="165"/>
      <c r="AR56" s="165"/>
      <c r="AT56" s="165"/>
      <c r="AV56" s="165"/>
      <c r="AX56" s="165"/>
      <c r="AZ56" s="165"/>
      <c r="BB56" s="165"/>
      <c r="BD56" s="165"/>
      <c r="BF56" s="165"/>
      <c r="BH56" s="165"/>
      <c r="BJ56" s="165"/>
      <c r="BL56" s="165"/>
      <c r="BN56" s="165"/>
      <c r="BP56" s="165"/>
      <c r="BR56" s="165"/>
    </row>
    <row r="57" spans="1:79" ht="15.75" customHeight="1">
      <c r="B57" s="18" t="s">
        <v>235</v>
      </c>
      <c r="C57" s="38"/>
      <c r="E57" s="2"/>
      <c r="Y57" s="165"/>
      <c r="AA57" s="165"/>
      <c r="AC57" s="165"/>
      <c r="AE57" s="165"/>
      <c r="AI57" s="165"/>
      <c r="AK57" s="165"/>
      <c r="AM57" s="165"/>
      <c r="AP57" s="165"/>
      <c r="AR57" s="165"/>
      <c r="AT57" s="165"/>
      <c r="AV57" s="165"/>
      <c r="AX57" s="165"/>
      <c r="AZ57" s="165"/>
      <c r="BB57" s="165"/>
      <c r="BD57" s="165"/>
      <c r="BF57" s="165"/>
      <c r="BH57" s="165"/>
      <c r="BJ57" s="165"/>
      <c r="BL57" s="165"/>
      <c r="BN57" s="165"/>
      <c r="BP57" s="165"/>
      <c r="BR57" s="165"/>
    </row>
    <row r="58" spans="1:79" ht="15.75" customHeight="1">
      <c r="B58" s="2" t="s">
        <v>233</v>
      </c>
      <c r="C58" s="38"/>
      <c r="E58" s="2"/>
      <c r="Y58" s="165"/>
      <c r="AA58" s="165"/>
      <c r="AC58" s="165"/>
      <c r="AE58" s="165"/>
      <c r="AI58" s="165"/>
      <c r="AK58" s="165"/>
      <c r="AM58" s="165"/>
      <c r="AP58" s="165"/>
      <c r="AR58" s="165"/>
      <c r="AT58" s="165"/>
      <c r="AV58" s="165"/>
      <c r="AX58" s="165"/>
      <c r="AZ58" s="165"/>
      <c r="BB58" s="165"/>
      <c r="BD58" s="165"/>
      <c r="BF58" s="165"/>
      <c r="BH58" s="165"/>
      <c r="BJ58" s="165"/>
      <c r="BL58" s="165"/>
      <c r="BN58" s="165"/>
      <c r="BP58" s="165"/>
      <c r="BR58" s="165"/>
    </row>
    <row r="59" spans="1:79" ht="15.75" customHeight="1">
      <c r="B59" s="2" t="s">
        <v>234</v>
      </c>
      <c r="C59" s="38"/>
      <c r="E59" s="2"/>
    </row>
    <row r="60" spans="1:79" ht="20.25" customHeight="1">
      <c r="B60" s="18" t="s">
        <v>235</v>
      </c>
      <c r="C60" s="38"/>
      <c r="E60" s="2"/>
      <c r="F60" s="609" t="s">
        <v>236</v>
      </c>
      <c r="G60" s="611" t="str">
        <f>"p.DossierName"&amp;G65</f>
        <v>p.DossierName3</v>
      </c>
      <c r="H60" s="611" t="str">
        <f>"p.ManFirstName"&amp;G65</f>
        <v>p.ManFirstName3</v>
      </c>
      <c r="I60" s="611" t="str">
        <f>"p.AHVNumber"&amp;G67</f>
        <v>p.AHVNumber9</v>
      </c>
      <c r="J60" s="614" t="str">
        <f>"p.BirthdayAdult"&amp;G65</f>
        <v>p.BirthdayAdult3</v>
      </c>
    </row>
    <row r="61" spans="1:79" ht="15.75" customHeight="1">
      <c r="B61" s="2" t="s">
        <v>233</v>
      </c>
      <c r="C61" s="38"/>
      <c r="E61" s="2"/>
      <c r="F61" s="609" t="s">
        <v>237</v>
      </c>
      <c r="G61" s="611" t="str">
        <f>"p.FamilyName"&amp;G65</f>
        <v>p.FamilyName3</v>
      </c>
      <c r="H61" s="611" t="str">
        <f>"p.WomanFirstName"&amp;G65</f>
        <v>p.WomanFirstName3</v>
      </c>
      <c r="I61" s="611" t="str">
        <f>"p.AHVNumber"&amp;G67+1</f>
        <v>p.AHVNumber10</v>
      </c>
      <c r="J61" s="614" t="str">
        <f>"p.BirthdayAdult"&amp;G66</f>
        <v>p.BirthdayAdult4</v>
      </c>
    </row>
    <row r="62" spans="1:79" ht="15.75" customHeight="1">
      <c r="C62" s="38"/>
      <c r="E62" s="2"/>
      <c r="F62" s="609" t="s">
        <v>238</v>
      </c>
      <c r="G62" s="611" t="str">
        <f>G61</f>
        <v>p.FamilyName3</v>
      </c>
      <c r="H62" s="611" t="str">
        <f>"p.GirlFirstName"&amp;G65</f>
        <v>p.GirlFirstName3</v>
      </c>
      <c r="I62" s="611" t="str">
        <f>"p.AHVNumber"&amp;G67+2</f>
        <v>p.AHVNumber11</v>
      </c>
      <c r="J62" s="614" t="str">
        <f>"p.BirthdayKid"&amp;G65</f>
        <v>p.BirthdayKid3</v>
      </c>
    </row>
    <row r="63" spans="1:79" ht="15.75" customHeight="1">
      <c r="C63" s="38"/>
      <c r="E63" s="2"/>
      <c r="H63" s="611" t="str">
        <f>"p.ManFirstName"&amp;G66</f>
        <v>p.ManFirstName4</v>
      </c>
      <c r="I63" s="611" t="str">
        <f>"p.AHVNumber"&amp;G67+3</f>
        <v>p.AHVNumber12</v>
      </c>
      <c r="J63" s="614" t="str">
        <f>"p.BirthdayKid"&amp;G66</f>
        <v>p.BirthdayKid4</v>
      </c>
    </row>
    <row r="64" spans="1:79" ht="15" customHeight="1">
      <c r="C64" s="38"/>
      <c r="E64" s="2"/>
    </row>
    <row r="65" spans="3:15" ht="15.75" customHeight="1">
      <c r="C65" s="38"/>
      <c r="E65" s="2"/>
      <c r="G65" s="611">
        <v>3</v>
      </c>
      <c r="K65" s="4203" t="s">
        <v>1759</v>
      </c>
    </row>
    <row r="66" spans="3:15" ht="15.75" customHeight="1">
      <c r="C66" s="38"/>
      <c r="E66" s="2"/>
      <c r="G66" s="611">
        <f>G65+1</f>
        <v>4</v>
      </c>
      <c r="K66" s="163" t="s">
        <v>1761</v>
      </c>
    </row>
    <row r="67" spans="3:15" ht="15.75" customHeight="1">
      <c r="C67" s="38"/>
      <c r="E67" s="2"/>
      <c r="G67" s="611">
        <f>G65*4-4+1</f>
        <v>9</v>
      </c>
      <c r="K67" s="4217" t="s">
        <v>1759</v>
      </c>
      <c r="L67" s="609">
        <v>3</v>
      </c>
      <c r="M67" s="611">
        <f>O67*1/L67</f>
        <v>3048.6666666666665</v>
      </c>
      <c r="N67" s="609" t="e">
        <f>K67*1</f>
        <v>#VALUE!</v>
      </c>
      <c r="O67" s="4217">
        <v>9146</v>
      </c>
    </row>
    <row r="68" spans="3:15" ht="14.25" customHeight="1">
      <c r="K68" s="3667" t="s">
        <v>1570</v>
      </c>
      <c r="L68" s="609">
        <v>4</v>
      </c>
      <c r="M68" s="611">
        <f>O68*1/L68</f>
        <v>3304.75</v>
      </c>
      <c r="O68" s="3667">
        <v>13219</v>
      </c>
    </row>
    <row r="69" spans="3:15" ht="14.25" customHeight="1">
      <c r="K69" s="3667" t="s">
        <v>1571</v>
      </c>
      <c r="L69" s="609">
        <v>4</v>
      </c>
      <c r="M69" s="611">
        <f t="shared" ref="M69:M71" si="18">O69*1/L69</f>
        <v>3727.5</v>
      </c>
      <c r="O69" s="3667">
        <v>14910</v>
      </c>
    </row>
    <row r="70" spans="3:15" ht="9.75" customHeight="1">
      <c r="K70" s="3667" t="s">
        <v>1570</v>
      </c>
      <c r="L70" s="609">
        <v>5</v>
      </c>
      <c r="M70" s="611">
        <f t="shared" si="18"/>
        <v>2643.8</v>
      </c>
      <c r="O70" s="3667">
        <v>13219</v>
      </c>
    </row>
    <row r="71" spans="3:15" ht="15.75" customHeight="1" thickBot="1">
      <c r="E71" s="168"/>
      <c r="K71" s="3667" t="s">
        <v>1571</v>
      </c>
      <c r="L71" s="609">
        <v>5</v>
      </c>
      <c r="M71" s="611">
        <f t="shared" si="18"/>
        <v>2982</v>
      </c>
      <c r="O71" s="3667">
        <v>14910</v>
      </c>
    </row>
    <row r="72" spans="3:15" ht="15.75" customHeight="1" thickBot="1">
      <c r="F72" s="4204"/>
      <c r="G72" s="4205"/>
      <c r="H72" s="4206"/>
      <c r="I72" s="4205"/>
      <c r="J72" s="4206"/>
      <c r="K72" s="4218" t="s">
        <v>1761</v>
      </c>
      <c r="L72" s="4218"/>
      <c r="M72" s="4219"/>
    </row>
    <row r="73" spans="3:15" ht="15.75" customHeight="1" thickTop="1">
      <c r="F73" s="4207"/>
      <c r="G73" s="4208"/>
      <c r="H73" s="4209"/>
      <c r="I73" s="4208"/>
      <c r="J73" s="4209"/>
      <c r="K73" s="4210"/>
    </row>
    <row r="74" spans="3:15" ht="15.75" customHeight="1">
      <c r="F74" s="4207"/>
      <c r="G74" s="4211" t="s">
        <v>1760</v>
      </c>
      <c r="H74" s="4209"/>
      <c r="I74" s="4208"/>
      <c r="J74" s="4209"/>
      <c r="K74" s="4210"/>
    </row>
    <row r="75" spans="3:15" ht="15.75" customHeight="1">
      <c r="F75" s="4207"/>
      <c r="G75" s="4208"/>
      <c r="H75" s="4209"/>
      <c r="I75" s="4208"/>
      <c r="J75" s="4209"/>
      <c r="K75" s="4210"/>
    </row>
    <row r="76" spans="3:15" ht="15.75" customHeight="1">
      <c r="F76" s="4207"/>
      <c r="G76" s="4208"/>
      <c r="H76" s="4209"/>
      <c r="I76" s="4208"/>
      <c r="J76" s="4209"/>
      <c r="K76" s="4210"/>
    </row>
    <row r="77" spans="3:15" ht="15.75" customHeight="1">
      <c r="F77" s="4207"/>
      <c r="G77" s="4208"/>
      <c r="H77" s="4209"/>
      <c r="I77" s="4208"/>
      <c r="J77" s="4209"/>
      <c r="K77" s="4210"/>
    </row>
    <row r="78" spans="3:15" ht="15.75" customHeight="1">
      <c r="F78" s="4207"/>
      <c r="G78" s="4208"/>
      <c r="H78" s="4209"/>
      <c r="I78" s="4208"/>
      <c r="J78" s="4209"/>
      <c r="K78" s="4210"/>
    </row>
    <row r="79" spans="3:15" ht="15.75" customHeight="1">
      <c r="F79" s="4207"/>
      <c r="G79" s="4208"/>
      <c r="H79" s="4209"/>
      <c r="I79" s="4208"/>
      <c r="J79" s="4209"/>
      <c r="K79" s="4210"/>
    </row>
    <row r="80" spans="3:15" ht="15.75" customHeight="1" thickBot="1">
      <c r="F80" s="4212"/>
      <c r="G80" s="4213"/>
      <c r="H80" s="4214"/>
      <c r="I80" s="4213"/>
      <c r="J80" s="4214"/>
      <c r="K80" s="4215"/>
    </row>
  </sheetData>
  <conditionalFormatting sqref="Y2:Y143 AA2:AA143 AC2:AC143 AE2:AE143 AI2:AI53 AM2:AM53">
    <cfRule type="colorScale" priority="5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I54:AI143">
    <cfRule type="colorScale" priority="4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2:AK53">
    <cfRule type="colorScale" priority="4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54:AK143">
    <cfRule type="colorScale" priority="4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54:AM143">
    <cfRule type="colorScale" priority="3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P2:AP53">
    <cfRule type="colorScale" priority="3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P54:AP143">
    <cfRule type="colorScale" priority="3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R2:AR53">
    <cfRule type="colorScale" priority="3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R54:AR143">
    <cfRule type="colorScale" priority="3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T2:AT53">
    <cfRule type="colorScale" priority="3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T54:AT143">
    <cfRule type="colorScale" priority="3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V2:AV53">
    <cfRule type="colorScale" priority="3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V54:AV143">
    <cfRule type="colorScale" priority="3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X2:AX53">
    <cfRule type="colorScale" priority="3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X54:AX143">
    <cfRule type="colorScale" priority="2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2:AZ53">
    <cfRule type="colorScale" priority="2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54:AZ143">
    <cfRule type="colorScale" priority="2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53">
    <cfRule type="colorScale" priority="2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54:BB143">
    <cfRule type="colorScale" priority="2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53">
    <cfRule type="colorScale" priority="2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54:BD143">
    <cfRule type="colorScale" priority="2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53">
    <cfRule type="colorScale" priority="2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54:BF143">
    <cfRule type="colorScale" priority="2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H2:BH53">
    <cfRule type="colorScale" priority="2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H54:BH143">
    <cfRule type="colorScale" priority="1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J2:BJ53">
    <cfRule type="colorScale" priority="1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J54:BJ143">
    <cfRule type="colorScale" priority="1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2:BL53">
    <cfRule type="colorScale" priority="1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54:BL143">
    <cfRule type="colorScale" priority="1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2:BN53">
    <cfRule type="colorScale" priority="1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54:BN143">
    <cfRule type="colorScale" priority="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2:BP53">
    <cfRule type="colorScale" priority="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54:BP143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2:BR53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54:BR143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G2" r:id="rId1" xr:uid="{00000000-0004-0000-0500-000000000000}"/>
    <hyperlink ref="K6" r:id="rId2" xr:uid="{00000000-0004-0000-0500-000001000000}"/>
    <hyperlink ref="G13" r:id="rId3" xr:uid="{00000000-0004-0000-0500-000002000000}"/>
    <hyperlink ref="I13" r:id="rId4" xr:uid="{00000000-0004-0000-0500-000003000000}"/>
    <hyperlink ref="G15" r:id="rId5" xr:uid="{00000000-0004-0000-0500-000004000000}"/>
    <hyperlink ref="I15" r:id="rId6" xr:uid="{00000000-0004-0000-0500-000005000000}"/>
    <hyperlink ref="G31" r:id="rId7" xr:uid="{00000000-0004-0000-0500-000006000000}"/>
    <hyperlink ref="I31" r:id="rId8" xr:uid="{00000000-0004-0000-0500-000007000000}"/>
    <hyperlink ref="G34" r:id="rId9" xr:uid="{00000000-0004-0000-0500-000008000000}"/>
    <hyperlink ref="I34" r:id="rId10" xr:uid="{00000000-0004-0000-0500-000009000000}"/>
    <hyperlink ref="G37" r:id="rId11" xr:uid="{00000000-0004-0000-0500-00000A000000}"/>
    <hyperlink ref="I37" r:id="rId12" xr:uid="{00000000-0004-0000-0500-00000B000000}"/>
    <hyperlink ref="G54" r:id="rId13" xr:uid="{00000000-0004-0000-0500-00000C000000}"/>
    <hyperlink ref="I54" r:id="rId14" xr:uid="{00000000-0004-0000-0500-00000D000000}"/>
  </hyperlinks>
  <pageMargins left="0.7" right="0.7" top="0.75" bottom="0.75" header="0.3" footer="0.3"/>
  <pageSetup paperSize="9" orientation="portrait" useFirstPageNumber="1" horizontalDpi="4294967295" verticalDpi="4294967295" r:id="rId1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DG143"/>
  <sheetViews>
    <sheetView zoomScale="85" zoomScaleNormal="85" workbookViewId="0">
      <selection activeCell="B23" sqref="B23"/>
    </sheetView>
  </sheetViews>
  <sheetFormatPr defaultColWidth="9.140625" defaultRowHeight="15.75" customHeight="1"/>
  <cols>
    <col min="1" max="1" width="9" style="450" customWidth="1"/>
    <col min="2" max="2" width="53.140625" style="96" customWidth="1"/>
    <col min="3" max="3" width="82.28515625" style="4" customWidth="1"/>
    <col min="4" max="4" width="7.140625" style="4" customWidth="1"/>
    <col min="5" max="5" width="9.7109375" style="4" customWidth="1"/>
    <col min="6" max="6" width="12.28515625" style="610" customWidth="1"/>
    <col min="7" max="7" width="15.42578125" style="36" customWidth="1"/>
    <col min="8" max="8" width="15.42578125" style="610" customWidth="1"/>
    <col min="9" max="9" width="38.140625" style="36" customWidth="1"/>
    <col min="10" max="10" width="15.42578125" style="610" customWidth="1"/>
    <col min="11" max="11" width="8.7109375" style="36" customWidth="1"/>
    <col min="12" max="12" width="8.7109375" style="610" customWidth="1"/>
    <col min="13" max="13" width="8.7109375" style="36" customWidth="1"/>
    <col min="14" max="14" width="9.140625" style="610" customWidth="1"/>
    <col min="15" max="15" width="12.42578125" style="36" customWidth="1"/>
    <col min="16" max="16" width="9.140625" style="610" customWidth="1"/>
    <col min="17" max="17" width="16.140625" style="36" customWidth="1"/>
    <col min="18" max="18" width="9.140625" style="610" customWidth="1"/>
    <col min="19" max="19" width="9.140625" style="36" customWidth="1"/>
    <col min="20" max="20" width="9.140625" style="610" customWidth="1"/>
    <col min="21" max="21" width="40.7109375" style="36" customWidth="1"/>
    <col min="22" max="22" width="9.140625" style="610" customWidth="1"/>
    <col min="23" max="23" width="9.140625" style="36" customWidth="1"/>
    <col min="24" max="27" width="9.140625" style="4" customWidth="1"/>
    <col min="28" max="28" width="30" style="4" customWidth="1"/>
    <col min="29" max="33" width="1.28515625" style="4" customWidth="1"/>
    <col min="34" max="34" width="18.7109375" style="4" customWidth="1"/>
    <col min="35" max="35" width="10.7109375" style="4" customWidth="1"/>
    <col min="36" max="36" width="9" style="12" customWidth="1"/>
    <col min="37" max="37" width="9.85546875" style="4" customWidth="1"/>
    <col min="38" max="38" width="5.85546875" style="12" customWidth="1"/>
    <col min="39" max="39" width="9.28515625" style="4" customWidth="1"/>
    <col min="40" max="40" width="5.85546875" style="12" customWidth="1"/>
    <col min="41" max="41" width="10" style="4" customWidth="1"/>
    <col min="42" max="42" width="5.85546875" style="12" customWidth="1"/>
    <col min="43" max="43" width="10.7109375" style="4" customWidth="1"/>
    <col min="44" max="44" width="5.85546875" style="12" customWidth="1"/>
    <col min="45" max="45" width="9.85546875" style="4" customWidth="1"/>
    <col min="46" max="46" width="5.85546875" style="12" customWidth="1"/>
    <col min="47" max="47" width="9.42578125" style="4" customWidth="1"/>
    <col min="48" max="48" width="5.85546875" style="12" customWidth="1"/>
    <col min="49" max="49" width="10" style="4" customWidth="1"/>
    <col min="50" max="50" width="5.85546875" style="12" customWidth="1"/>
    <col min="51" max="51" width="13.85546875" style="4" customWidth="1"/>
    <col min="52" max="52" width="5.85546875" style="12" customWidth="1"/>
    <col min="53" max="53" width="10" style="4" customWidth="1"/>
    <col min="54" max="54" width="5.85546875" style="12" customWidth="1"/>
    <col min="55" max="55" width="8.140625" style="4" customWidth="1"/>
    <col min="56" max="56" width="5.85546875" style="12" customWidth="1"/>
    <col min="57" max="57" width="11.85546875" style="4" customWidth="1"/>
    <col min="58" max="58" width="5.85546875" style="12" customWidth="1"/>
    <col min="59" max="59" width="11.7109375" style="4" customWidth="1"/>
    <col min="60" max="60" width="5.85546875" style="12" customWidth="1"/>
    <col min="61" max="62" width="20" style="4" customWidth="1"/>
    <col min="63" max="63" width="5.85546875" style="12" customWidth="1"/>
    <col min="64" max="64" width="20" style="4" customWidth="1"/>
    <col min="65" max="65" width="5.85546875" style="12" customWidth="1"/>
    <col min="66" max="66" width="20" style="4" customWidth="1"/>
    <col min="67" max="67" width="5.85546875" style="12" customWidth="1"/>
    <col min="68" max="68" width="20" style="4" customWidth="1"/>
    <col min="69" max="69" width="5.85546875" style="12" customWidth="1"/>
    <col min="70" max="70" width="20" style="4" customWidth="1"/>
    <col min="71" max="71" width="5.85546875" style="12" customWidth="1"/>
    <col min="72" max="72" width="20" style="4" customWidth="1"/>
    <col min="73" max="73" width="5.85546875" style="12" customWidth="1"/>
    <col min="74" max="74" width="9.140625" style="4"/>
    <col min="75" max="75" width="20" style="4" customWidth="1"/>
    <col min="76" max="76" width="50" style="4" customWidth="1"/>
    <col min="77" max="77" width="20" style="4" customWidth="1"/>
    <col min="78" max="78" width="50" style="4" customWidth="1"/>
    <col min="79" max="79" width="20" style="4" customWidth="1"/>
    <col min="80" max="80" width="50" style="4" customWidth="1"/>
    <col min="81" max="81" width="20" style="4" customWidth="1"/>
    <col min="82" max="82" width="50" style="4" customWidth="1"/>
    <col min="83" max="83" width="20" style="4" customWidth="1"/>
    <col min="84" max="84" width="50" style="4" customWidth="1"/>
    <col min="85" max="85" width="20" style="4" customWidth="1"/>
    <col min="86" max="86" width="50" style="4" customWidth="1"/>
    <col min="87" max="87" width="20" style="4" customWidth="1"/>
    <col min="88" max="88" width="50" style="4" customWidth="1"/>
    <col min="89" max="16384" width="9.140625" style="4"/>
  </cols>
  <sheetData>
    <row r="1" spans="1:88" ht="17.25" customHeight="1">
      <c r="A1" s="3655" t="s">
        <v>0</v>
      </c>
      <c r="B1" s="189" t="s">
        <v>60</v>
      </c>
      <c r="C1" s="190" t="s">
        <v>61</v>
      </c>
      <c r="D1" s="188" t="s">
        <v>3</v>
      </c>
      <c r="E1" s="191"/>
      <c r="F1" s="36" t="s">
        <v>328</v>
      </c>
      <c r="G1" s="2558">
        <f>5*60*1000*SpeedFaktor</f>
        <v>300000</v>
      </c>
      <c r="H1" s="36">
        <v>10</v>
      </c>
      <c r="J1" s="36"/>
      <c r="L1" s="36"/>
      <c r="N1" s="36"/>
      <c r="P1" s="36"/>
      <c r="R1" s="36"/>
      <c r="T1" s="36"/>
      <c r="V1" s="36"/>
      <c r="AH1" s="2" t="s">
        <v>5</v>
      </c>
      <c r="AI1" s="2" t="s">
        <v>329</v>
      </c>
      <c r="AJ1" s="24" t="s">
        <v>8</v>
      </c>
      <c r="AK1" s="2" t="s">
        <v>282</v>
      </c>
      <c r="AL1" s="24" t="s">
        <v>8</v>
      </c>
      <c r="AM1" s="2" t="s">
        <v>9</v>
      </c>
      <c r="AN1" s="24" t="s">
        <v>8</v>
      </c>
      <c r="AO1" s="2" t="s">
        <v>324</v>
      </c>
      <c r="AP1" s="24" t="s">
        <v>8</v>
      </c>
      <c r="AQ1" s="2" t="s">
        <v>10</v>
      </c>
      <c r="AR1" s="24" t="s">
        <v>8</v>
      </c>
      <c r="AS1" s="2" t="s">
        <v>11</v>
      </c>
      <c r="AT1" s="24" t="s">
        <v>8</v>
      </c>
      <c r="AU1" s="4" t="s">
        <v>12</v>
      </c>
      <c r="AV1" s="24" t="s">
        <v>8</v>
      </c>
      <c r="AW1" s="4" t="s">
        <v>13</v>
      </c>
      <c r="AX1" s="24" t="s">
        <v>8</v>
      </c>
      <c r="AY1" s="4" t="s">
        <v>65</v>
      </c>
      <c r="AZ1" s="24" t="s">
        <v>8</v>
      </c>
      <c r="BA1" s="4" t="s">
        <v>15</v>
      </c>
      <c r="BB1" s="24" t="s">
        <v>8</v>
      </c>
      <c r="BC1" s="4" t="s">
        <v>17</v>
      </c>
      <c r="BD1" s="24" t="s">
        <v>8</v>
      </c>
      <c r="BE1" s="4" t="s">
        <v>1285</v>
      </c>
      <c r="BF1" s="24" t="s">
        <v>8</v>
      </c>
      <c r="BG1" s="4" t="s">
        <v>1286</v>
      </c>
      <c r="BH1" s="24" t="s">
        <v>8</v>
      </c>
      <c r="BI1" s="494" t="s">
        <v>1303</v>
      </c>
      <c r="BJ1" s="1999" t="s">
        <v>1391</v>
      </c>
      <c r="BK1" s="24" t="s">
        <v>8</v>
      </c>
      <c r="BL1" s="2017" t="s">
        <v>1394</v>
      </c>
      <c r="BM1" s="24" t="s">
        <v>8</v>
      </c>
      <c r="BN1" s="2046" t="s">
        <v>1397</v>
      </c>
      <c r="BO1" s="24" t="s">
        <v>8</v>
      </c>
      <c r="BP1" s="2240" t="s">
        <v>1421</v>
      </c>
      <c r="BQ1" s="24" t="s">
        <v>8</v>
      </c>
      <c r="BR1" s="2405" t="s">
        <v>1430</v>
      </c>
      <c r="BS1" s="24" t="s">
        <v>8</v>
      </c>
      <c r="BT1" s="2568" t="s">
        <v>1442</v>
      </c>
      <c r="BU1" s="24" t="s">
        <v>8</v>
      </c>
      <c r="BW1" s="2750" t="s">
        <v>1460</v>
      </c>
      <c r="BX1" s="2751" t="s">
        <v>572</v>
      </c>
      <c r="BY1" s="2924" t="s">
        <v>1472</v>
      </c>
      <c r="BZ1" s="2925" t="s">
        <v>572</v>
      </c>
      <c r="CA1" s="3112" t="s">
        <v>1492</v>
      </c>
      <c r="CB1" s="3113" t="s">
        <v>572</v>
      </c>
      <c r="CC1" s="3294" t="s">
        <v>1503</v>
      </c>
      <c r="CD1" s="3295" t="s">
        <v>572</v>
      </c>
      <c r="CE1" s="3464" t="s">
        <v>1519</v>
      </c>
      <c r="CF1" s="3465" t="s">
        <v>572</v>
      </c>
      <c r="CG1" s="3752" t="s">
        <v>1666</v>
      </c>
      <c r="CH1" s="3753" t="s">
        <v>572</v>
      </c>
      <c r="CI1" s="3977" t="s">
        <v>1717</v>
      </c>
      <c r="CJ1" s="3978" t="s">
        <v>572</v>
      </c>
    </row>
    <row r="2" spans="1:88" s="96" customFormat="1" ht="15.75" customHeight="1">
      <c r="A2" s="777">
        <v>1</v>
      </c>
      <c r="B2" s="589" t="s">
        <v>21</v>
      </c>
      <c r="C2" s="590" t="str">
        <f>'001a'!B59</f>
        <v>{"url":p.aventisURL}</v>
      </c>
      <c r="D2" s="13"/>
      <c r="E2" s="193" t="str">
        <f>F2&amp;G2&amp;H2&amp;I2&amp;J2&amp;K2&amp;L2&amp;M2&amp;N2&amp;O2&amp;P2&amp;Q2&amp;R2&amp;S2&amp;T2&amp;U2&amp;V2&amp;W2&amp;X2</f>
        <v>{"url":"https://dev.aventis.swiss"}</v>
      </c>
      <c r="F2" s="610" t="s">
        <v>67</v>
      </c>
      <c r="G2" s="632" t="s">
        <v>68</v>
      </c>
      <c r="H2" s="610" t="s">
        <v>37</v>
      </c>
      <c r="I2" s="611"/>
      <c r="J2" s="610"/>
      <c r="K2" s="611"/>
      <c r="L2" s="610"/>
      <c r="M2" s="611"/>
      <c r="N2" s="610"/>
      <c r="O2" s="611"/>
      <c r="P2" s="610"/>
      <c r="Q2" s="611"/>
      <c r="R2" s="610"/>
      <c r="S2" s="611"/>
      <c r="T2" s="610"/>
      <c r="U2" s="611"/>
      <c r="V2" s="610"/>
      <c r="W2" s="611"/>
      <c r="X2" s="13"/>
      <c r="Y2" s="13"/>
      <c r="Z2" s="193"/>
      <c r="AA2" s="193"/>
      <c r="AB2" s="193"/>
      <c r="AC2" s="193"/>
      <c r="AD2" s="13"/>
      <c r="AE2" s="13"/>
      <c r="AF2" s="13"/>
      <c r="AG2" s="13"/>
      <c r="AH2" s="13"/>
      <c r="AI2" s="13">
        <v>1622</v>
      </c>
      <c r="AJ2" s="156">
        <f>AI2/($AI2)</f>
        <v>1</v>
      </c>
      <c r="AK2" s="13">
        <v>1739</v>
      </c>
      <c r="AL2" s="156">
        <f>AK2/($AI2)</f>
        <v>1.0721331689272504</v>
      </c>
      <c r="AM2" s="13">
        <v>2088</v>
      </c>
      <c r="AN2" s="156">
        <f>AM2/($AI2)</f>
        <v>1.2872996300863131</v>
      </c>
      <c r="AO2" s="13">
        <v>1593</v>
      </c>
      <c r="AP2" s="156">
        <f>AO2/($AI2)</f>
        <v>0.98212083847102338</v>
      </c>
      <c r="AQ2" s="13">
        <v>1864</v>
      </c>
      <c r="AR2" s="156">
        <f>AQ2/($AI2)</f>
        <v>1.1491985203452528</v>
      </c>
      <c r="AS2" s="13">
        <v>1782</v>
      </c>
      <c r="AT2" s="156">
        <f>AS2/($AI2)</f>
        <v>1.0986436498150431</v>
      </c>
      <c r="AU2" s="13">
        <v>1263</v>
      </c>
      <c r="AV2" s="156">
        <f>AU2/($AI2)</f>
        <v>0.77866831072749687</v>
      </c>
      <c r="AW2" s="13">
        <v>1583</v>
      </c>
      <c r="AX2" s="156">
        <f>AW2/($AI2)</f>
        <v>0.97595561035758327</v>
      </c>
      <c r="AY2" s="13">
        <v>1663</v>
      </c>
      <c r="AZ2" s="156">
        <f>AY2/($AI2)</f>
        <v>1.0252774352651048</v>
      </c>
      <c r="BA2" s="2">
        <v>1314</v>
      </c>
      <c r="BB2" s="156">
        <f>BA2/($AI2)</f>
        <v>0.81011097410604194</v>
      </c>
      <c r="BC2" s="2">
        <v>2104</v>
      </c>
      <c r="BD2" s="156">
        <f>BC2/($AI2)</f>
        <v>1.2971639950678175</v>
      </c>
      <c r="BE2" s="2">
        <v>1816</v>
      </c>
      <c r="BF2" s="156">
        <f>BE2/($AI2)</f>
        <v>1.1196054254007399</v>
      </c>
      <c r="BG2" s="2">
        <v>560</v>
      </c>
      <c r="BH2" s="156">
        <f>BG2/($AI2)</f>
        <v>0.34525277435265106</v>
      </c>
      <c r="BI2" s="96">
        <v>1431</v>
      </c>
      <c r="BJ2" s="96">
        <v>1710</v>
      </c>
      <c r="BK2" s="156">
        <f>BJ2/($AI2)</f>
        <v>1.0542540073982738</v>
      </c>
      <c r="BL2" s="96">
        <v>1604</v>
      </c>
      <c r="BM2" s="156">
        <f>BL2/($AI2)</f>
        <v>0.98890258939580766</v>
      </c>
      <c r="BN2" s="96">
        <v>2030</v>
      </c>
      <c r="BO2" s="156">
        <f>BN2/($AI2)</f>
        <v>1.2515413070283601</v>
      </c>
      <c r="BP2" s="96">
        <v>1679</v>
      </c>
      <c r="BQ2" s="156">
        <f>BP2/($AI2)</f>
        <v>1.0351418002466091</v>
      </c>
      <c r="BR2" s="96">
        <v>1670</v>
      </c>
      <c r="BS2" s="156">
        <f>BR2/($AI2)</f>
        <v>1.0295930949445129</v>
      </c>
      <c r="BT2" s="96">
        <v>1241</v>
      </c>
      <c r="BU2" s="156">
        <f>BT2/($AI2)</f>
        <v>0.76510480887792853</v>
      </c>
      <c r="BW2" s="96">
        <v>1312</v>
      </c>
      <c r="BY2" s="96">
        <v>1648</v>
      </c>
      <c r="CA2" s="96">
        <v>1231</v>
      </c>
      <c r="CC2" s="96">
        <v>1213</v>
      </c>
      <c r="CE2" s="96">
        <v>1109</v>
      </c>
      <c r="CG2" s="96">
        <v>926</v>
      </c>
      <c r="CI2" s="96">
        <v>895</v>
      </c>
      <c r="CJ2" s="96" t="s">
        <v>1718</v>
      </c>
    </row>
    <row r="3" spans="1:88" s="96" customFormat="1" ht="15.75" customHeight="1">
      <c r="A3" s="777"/>
      <c r="B3" s="589" t="s">
        <v>69</v>
      </c>
      <c r="C3" s="602"/>
      <c r="D3" s="13"/>
      <c r="E3" s="193"/>
      <c r="F3" s="610"/>
      <c r="G3" s="632"/>
      <c r="H3" s="610"/>
      <c r="I3" s="611"/>
      <c r="J3" s="610"/>
      <c r="K3" s="611"/>
      <c r="L3" s="610"/>
      <c r="M3" s="611"/>
      <c r="N3" s="610"/>
      <c r="O3" s="611"/>
      <c r="P3" s="610"/>
      <c r="Q3" s="611"/>
      <c r="R3" s="610"/>
      <c r="S3" s="611"/>
      <c r="T3" s="610"/>
      <c r="U3" s="611"/>
      <c r="V3" s="610"/>
      <c r="W3" s="611"/>
      <c r="X3" s="13"/>
      <c r="Y3" s="13"/>
      <c r="Z3" s="193"/>
      <c r="AA3" s="193"/>
      <c r="AB3" s="193"/>
      <c r="AC3" s="193"/>
      <c r="AD3" s="13"/>
      <c r="AE3" s="13"/>
      <c r="AF3" s="13"/>
      <c r="AG3" s="13"/>
      <c r="AH3" s="13"/>
      <c r="AI3" s="13">
        <v>18445</v>
      </c>
      <c r="AJ3" s="156">
        <f t="shared" ref="AJ3" si="0">AI3/($AI3)</f>
        <v>1</v>
      </c>
      <c r="AK3" s="13">
        <v>18436</v>
      </c>
      <c r="AL3" s="156">
        <f t="shared" ref="AL3:AN3" si="1">AK3/($AI3)</f>
        <v>0.99951206288967198</v>
      </c>
      <c r="AM3" s="13"/>
      <c r="AN3" s="156">
        <f t="shared" si="1"/>
        <v>0</v>
      </c>
      <c r="AO3" s="13"/>
      <c r="AP3" s="156">
        <f t="shared" ref="AP3:AX55" si="2">AO3/($AI3)</f>
        <v>0</v>
      </c>
      <c r="AQ3" s="13"/>
      <c r="AR3" s="156">
        <f t="shared" si="2"/>
        <v>0</v>
      </c>
      <c r="AS3" s="13"/>
      <c r="AT3" s="156">
        <f t="shared" si="2"/>
        <v>0</v>
      </c>
      <c r="AU3" s="13"/>
      <c r="AV3" s="156">
        <f t="shared" si="2"/>
        <v>0</v>
      </c>
      <c r="AW3" s="13"/>
      <c r="AX3" s="156">
        <f t="shared" si="2"/>
        <v>0</v>
      </c>
      <c r="AY3" s="13"/>
      <c r="AZ3" s="156">
        <f t="shared" ref="AZ3:BB24" si="3">AY3/($AI3)</f>
        <v>0</v>
      </c>
      <c r="BB3" s="156">
        <f t="shared" si="3"/>
        <v>0</v>
      </c>
      <c r="BD3" s="156">
        <f t="shared" ref="BD3:BH24" si="4">BC3/($AI3)</f>
        <v>0</v>
      </c>
      <c r="BF3" s="156">
        <f t="shared" si="4"/>
        <v>0</v>
      </c>
      <c r="BH3" s="156">
        <f t="shared" si="4"/>
        <v>0</v>
      </c>
      <c r="BK3" s="156">
        <f t="shared" ref="BK3:BK55" si="5">BJ3/($AI3)</f>
        <v>0</v>
      </c>
      <c r="BM3" s="156">
        <f t="shared" ref="BM3:BM55" si="6">BL3/($AI3)</f>
        <v>0</v>
      </c>
      <c r="BO3" s="156">
        <f t="shared" ref="BO3:BO55" si="7">BN3/($AI3)</f>
        <v>0</v>
      </c>
      <c r="BQ3" s="156">
        <f t="shared" ref="BQ3:BQ55" si="8">BP3/($AI3)</f>
        <v>0</v>
      </c>
      <c r="BS3" s="156">
        <f t="shared" ref="BS3:BS55" si="9">BR3/($AI3)</f>
        <v>0</v>
      </c>
      <c r="BU3" s="156">
        <f t="shared" ref="BU3:BU55" si="10">BT3/($AI3)</f>
        <v>0</v>
      </c>
    </row>
    <row r="4" spans="1:88" s="96" customFormat="1" ht="15.75" customHeight="1">
      <c r="A4" s="777">
        <v>4</v>
      </c>
      <c r="B4" s="589" t="s">
        <v>25</v>
      </c>
      <c r="C4" s="121" t="str">
        <f t="shared" ref="C4:C8" si="11">E4</f>
        <v>{"username":"bern.sozialarbeiterin1a@diartis.ch","password":"SMze97-jkSJ59!F.","fullname":"Sozialarbeiterin 1A Bern","team":"Sozialarbeit Bern 1"}</v>
      </c>
      <c r="D4" s="13"/>
      <c r="E4" s="193" t="str">
        <f t="shared" ref="E4:E8" si="12">F4&amp;G4&amp;H4&amp;I4&amp;J4&amp;K4&amp;L4&amp;M4&amp;N4&amp;O4&amp;P4&amp;Q4&amp;R4&amp;S4&amp;T4&amp;U4&amp;V4&amp;W4&amp;X4</f>
        <v>{"username":"bern.sozialarbeiterin1a@diartis.ch","password":"SMze97-jkSJ59!F.","fullname":"Sozialarbeiterin 1A Bern","team":"Sozialarbeit Bern 1"}</v>
      </c>
      <c r="F4" s="610" t="s">
        <v>29</v>
      </c>
      <c r="G4" s="611" t="s">
        <v>71</v>
      </c>
      <c r="H4" s="610" t="s">
        <v>31</v>
      </c>
      <c r="I4" s="611" t="s">
        <v>72</v>
      </c>
      <c r="J4" s="610" t="s">
        <v>73</v>
      </c>
      <c r="K4" s="611" t="s">
        <v>74</v>
      </c>
      <c r="L4" s="610" t="s">
        <v>75</v>
      </c>
      <c r="M4" s="611" t="s">
        <v>76</v>
      </c>
      <c r="N4" s="610" t="s">
        <v>37</v>
      </c>
      <c r="O4" s="611"/>
      <c r="P4" s="610"/>
      <c r="Q4" s="611"/>
      <c r="R4" s="610"/>
      <c r="S4" s="611"/>
      <c r="T4" s="610"/>
      <c r="U4" s="611"/>
      <c r="V4" s="610"/>
      <c r="W4" s="611"/>
      <c r="X4" s="13"/>
      <c r="Y4" s="13"/>
      <c r="Z4" s="193"/>
      <c r="AA4" s="193"/>
      <c r="AB4" s="193"/>
      <c r="AC4" s="193"/>
      <c r="AD4" s="13"/>
      <c r="AE4" s="13"/>
      <c r="AF4" s="13"/>
      <c r="AG4" s="13"/>
      <c r="AH4" s="13"/>
      <c r="AI4" s="13">
        <v>3048</v>
      </c>
      <c r="AJ4" s="156">
        <f t="shared" ref="AJ4" si="13">AI4/($AI4)</f>
        <v>1</v>
      </c>
      <c r="AK4" s="13">
        <v>3217</v>
      </c>
      <c r="AL4" s="156">
        <f t="shared" ref="AL4:AN4" si="14">AK4/($AI4)</f>
        <v>1.0554461942257218</v>
      </c>
      <c r="AM4" s="13">
        <v>8950</v>
      </c>
      <c r="AN4" s="156">
        <f t="shared" si="14"/>
        <v>2.9363517060367452</v>
      </c>
      <c r="AO4" s="13">
        <v>8602</v>
      </c>
      <c r="AP4" s="156">
        <f t="shared" si="2"/>
        <v>2.8221784776902887</v>
      </c>
      <c r="AQ4" s="13">
        <v>10067</v>
      </c>
      <c r="AR4" s="156">
        <f t="shared" si="2"/>
        <v>3.3028215223097113</v>
      </c>
      <c r="AS4" s="13">
        <v>9263</v>
      </c>
      <c r="AT4" s="156">
        <f t="shared" si="2"/>
        <v>3.0390419947506562</v>
      </c>
      <c r="AU4" s="13">
        <v>8488</v>
      </c>
      <c r="AV4" s="156">
        <f t="shared" si="2"/>
        <v>2.7847769028871392</v>
      </c>
      <c r="AW4" s="13">
        <v>9539</v>
      </c>
      <c r="AX4" s="156">
        <f t="shared" si="2"/>
        <v>3.1295931758530182</v>
      </c>
      <c r="AY4" s="13">
        <v>11064</v>
      </c>
      <c r="AZ4" s="156">
        <f t="shared" si="3"/>
        <v>3.6299212598425199</v>
      </c>
      <c r="BA4" s="2">
        <v>8719</v>
      </c>
      <c r="BB4" s="156">
        <f t="shared" si="3"/>
        <v>2.8605643044619424</v>
      </c>
      <c r="BC4" s="2">
        <v>7394</v>
      </c>
      <c r="BD4" s="156">
        <f t="shared" si="4"/>
        <v>2.4258530183727034</v>
      </c>
      <c r="BE4" s="2">
        <v>6695</v>
      </c>
      <c r="BF4" s="156">
        <f t="shared" si="4"/>
        <v>2.1965223097112863</v>
      </c>
      <c r="BG4" s="2">
        <v>5236</v>
      </c>
      <c r="BH4" s="156">
        <f t="shared" si="4"/>
        <v>1.7178477690288714</v>
      </c>
      <c r="BI4" s="96">
        <v>7609</v>
      </c>
      <c r="BJ4" s="96">
        <v>7126</v>
      </c>
      <c r="BK4" s="156">
        <f t="shared" si="5"/>
        <v>2.3379265091863517</v>
      </c>
      <c r="BL4" s="96">
        <v>7519</v>
      </c>
      <c r="BM4" s="156">
        <f t="shared" si="6"/>
        <v>2.4668635170603674</v>
      </c>
      <c r="BN4" s="96">
        <v>7101</v>
      </c>
      <c r="BO4" s="156">
        <f t="shared" si="7"/>
        <v>2.329724409448819</v>
      </c>
      <c r="BP4" s="96">
        <v>6864</v>
      </c>
      <c r="BQ4" s="156">
        <f t="shared" si="8"/>
        <v>2.2519685039370079</v>
      </c>
      <c r="BR4" s="96">
        <v>6838</v>
      </c>
      <c r="BS4" s="156">
        <f t="shared" si="9"/>
        <v>2.2434383202099739</v>
      </c>
      <c r="BT4" s="96">
        <v>8167</v>
      </c>
      <c r="BU4" s="156">
        <f t="shared" si="10"/>
        <v>2.6794619422572179</v>
      </c>
      <c r="BW4" s="96">
        <v>8694</v>
      </c>
      <c r="BY4" s="96">
        <v>8844</v>
      </c>
      <c r="CA4" s="96">
        <v>7952</v>
      </c>
      <c r="CC4" s="96">
        <v>8295</v>
      </c>
      <c r="CE4" s="96">
        <v>9131</v>
      </c>
      <c r="CG4" s="96">
        <v>9514</v>
      </c>
      <c r="CI4" s="96">
        <v>9992</v>
      </c>
      <c r="CJ4" s="96" t="s">
        <v>1718</v>
      </c>
    </row>
    <row r="5" spans="1:88" s="96" customFormat="1" ht="15.75" customHeight="1">
      <c r="A5" s="777"/>
      <c r="B5" s="589" t="s">
        <v>77</v>
      </c>
      <c r="C5" s="604" t="str">
        <f t="shared" si="11"/>
        <v>{"name":p.FamilyName5,"vorname":p.ManFirstName5,"ahvNumber":"","geburtsdatum":""}</v>
      </c>
      <c r="D5" s="13"/>
      <c r="E5" s="193" t="str">
        <f t="shared" si="12"/>
        <v>{"name":p.FamilyName5,"vorname":p.ManFirstName5,"ahvNumber":"","geburtsdatum":""}</v>
      </c>
      <c r="F5" s="36" t="s">
        <v>78</v>
      </c>
      <c r="G5" s="610" t="str">
        <f>G$135</f>
        <v>p.FamilyName5</v>
      </c>
      <c r="H5" s="610" t="s">
        <v>79</v>
      </c>
      <c r="I5" s="610" t="str">
        <f>H$134</f>
        <v>p.ManFirstName5</v>
      </c>
      <c r="J5" s="610" t="s">
        <v>80</v>
      </c>
      <c r="K5" s="611"/>
      <c r="L5" s="610" t="s">
        <v>81</v>
      </c>
      <c r="M5" s="634"/>
      <c r="N5" s="610" t="s">
        <v>37</v>
      </c>
      <c r="O5" s="611"/>
      <c r="P5" s="610"/>
      <c r="Q5" s="611"/>
      <c r="R5" s="610"/>
      <c r="S5" s="611"/>
      <c r="T5" s="610"/>
      <c r="U5" s="611"/>
      <c r="V5" s="610"/>
      <c r="W5" s="611"/>
      <c r="X5" s="13"/>
      <c r="Y5" s="13"/>
      <c r="Z5" s="193"/>
      <c r="AA5" s="193"/>
      <c r="AB5" s="193"/>
      <c r="AC5" s="193"/>
      <c r="AD5" s="13"/>
      <c r="AE5" s="13"/>
      <c r="AF5" s="13"/>
      <c r="AG5" s="13"/>
      <c r="AH5" s="13"/>
      <c r="AI5" s="13">
        <v>3087</v>
      </c>
      <c r="AJ5" s="156">
        <f t="shared" ref="AJ5" si="15">AI5/($AI5)</f>
        <v>1</v>
      </c>
      <c r="AK5" s="13">
        <v>3399</v>
      </c>
      <c r="AL5" s="156">
        <f t="shared" ref="AL5:AN5" si="16">AK5/($AI5)</f>
        <v>1.1010689990281828</v>
      </c>
      <c r="AM5" s="13">
        <v>3612</v>
      </c>
      <c r="AN5" s="156">
        <f t="shared" si="16"/>
        <v>1.1700680272108843</v>
      </c>
      <c r="AO5" s="13">
        <v>2977</v>
      </c>
      <c r="AP5" s="156">
        <f t="shared" si="2"/>
        <v>0.96436669906057659</v>
      </c>
      <c r="AQ5" s="13">
        <v>3879</v>
      </c>
      <c r="AR5" s="156">
        <f t="shared" si="2"/>
        <v>1.2565597667638484</v>
      </c>
      <c r="AS5" s="13">
        <v>3020</v>
      </c>
      <c r="AT5" s="156">
        <f t="shared" si="2"/>
        <v>0.97829608033689663</v>
      </c>
      <c r="AU5" s="13">
        <v>2935</v>
      </c>
      <c r="AV5" s="156">
        <f t="shared" si="2"/>
        <v>0.95076125688370583</v>
      </c>
      <c r="AW5" s="13">
        <v>3154</v>
      </c>
      <c r="AX5" s="156">
        <f t="shared" si="2"/>
        <v>1.0217039196631033</v>
      </c>
      <c r="AY5" s="13">
        <v>3210</v>
      </c>
      <c r="AZ5" s="156">
        <f t="shared" si="3"/>
        <v>1.0398445092322643</v>
      </c>
      <c r="BA5" s="2">
        <v>3046</v>
      </c>
      <c r="BB5" s="156">
        <f t="shared" si="3"/>
        <v>0.98671849692257851</v>
      </c>
      <c r="BC5" s="2">
        <v>1924</v>
      </c>
      <c r="BD5" s="156">
        <f t="shared" si="4"/>
        <v>0.62325882734046001</v>
      </c>
      <c r="BE5" s="2">
        <v>1661</v>
      </c>
      <c r="BF5" s="156">
        <f t="shared" si="4"/>
        <v>0.53806284418529315</v>
      </c>
      <c r="BG5" s="2">
        <v>1308</v>
      </c>
      <c r="BH5" s="156">
        <f t="shared" si="4"/>
        <v>0.423712342079689</v>
      </c>
      <c r="BI5" s="96">
        <v>1926</v>
      </c>
      <c r="BJ5" s="96">
        <v>1099</v>
      </c>
      <c r="BK5" s="156">
        <f t="shared" si="5"/>
        <v>0.35600907029478457</v>
      </c>
      <c r="BL5" s="96">
        <v>2566</v>
      </c>
      <c r="BM5" s="156">
        <f t="shared" si="6"/>
        <v>0.8312277291869129</v>
      </c>
      <c r="BN5" s="96">
        <v>1436</v>
      </c>
      <c r="BO5" s="156">
        <f t="shared" si="7"/>
        <v>0.4651765468091999</v>
      </c>
      <c r="BP5" s="96">
        <v>1291</v>
      </c>
      <c r="BQ5" s="156">
        <f t="shared" si="8"/>
        <v>0.41820537738905084</v>
      </c>
      <c r="BR5" s="96">
        <v>1448</v>
      </c>
      <c r="BS5" s="156">
        <f t="shared" si="9"/>
        <v>0.4690638160025915</v>
      </c>
      <c r="BT5" s="96">
        <v>1879</v>
      </c>
      <c r="BU5" s="156">
        <f t="shared" si="10"/>
        <v>0.6086815678652413</v>
      </c>
      <c r="BW5" s="96">
        <v>1461</v>
      </c>
      <c r="BY5" s="96">
        <v>704</v>
      </c>
      <c r="CA5" s="96">
        <v>1342</v>
      </c>
      <c r="CC5" s="96">
        <v>1414</v>
      </c>
      <c r="CE5" s="96">
        <v>1531</v>
      </c>
    </row>
    <row r="6" spans="1:88" s="96" customFormat="1" ht="17.25" customHeight="1">
      <c r="A6" s="777">
        <v>6</v>
      </c>
      <c r="B6" s="589" t="s">
        <v>82</v>
      </c>
      <c r="C6" s="604" t="str">
        <f t="shared" si="11"/>
        <v>{"name":p.FamilyName5,"vorname":p.ManFirstName5,"ahvNumber":p.AHVNumber17,"language":"Deutsch","zivilstand":"ledig","geburtsdatum":p.BirthdayAdult5,"national":"Schweiz","gender":"männlich","aufenthalt":""}</v>
      </c>
      <c r="D6" s="13"/>
      <c r="E6" s="193" t="str">
        <f t="shared" si="12"/>
        <v>{"name":p.FamilyName5,"vorname":p.ManFirstName5,"ahvNumber":p.AHVNumber17,"language":"Deutsch","zivilstand":"ledig","geburtsdatum":p.BirthdayAdult5,"national":"Schweiz","gender":"männlich","aufenthalt":""}</v>
      </c>
      <c r="F6" s="36" t="s">
        <v>78</v>
      </c>
      <c r="G6" s="610" t="str">
        <f>G$135</f>
        <v>p.FamilyName5</v>
      </c>
      <c r="H6" s="610" t="s">
        <v>79</v>
      </c>
      <c r="I6" s="610" t="str">
        <f>I5</f>
        <v>p.ManFirstName5</v>
      </c>
      <c r="J6" s="610" t="s">
        <v>83</v>
      </c>
      <c r="K6" s="610" t="str">
        <f>I$134</f>
        <v>p.AHVNumber17</v>
      </c>
      <c r="L6" s="610" t="s">
        <v>84</v>
      </c>
      <c r="M6" s="634" t="s">
        <v>85</v>
      </c>
      <c r="N6" s="610" t="s">
        <v>86</v>
      </c>
      <c r="O6" s="611" t="s">
        <v>87</v>
      </c>
      <c r="P6" s="610" t="s">
        <v>88</v>
      </c>
      <c r="Q6" s="635" t="str">
        <f>J134</f>
        <v>p.BirthdayAdult5</v>
      </c>
      <c r="R6" s="610" t="s">
        <v>89</v>
      </c>
      <c r="S6" s="611" t="s">
        <v>90</v>
      </c>
      <c r="T6" s="610" t="s">
        <v>91</v>
      </c>
      <c r="U6" s="611" t="s">
        <v>92</v>
      </c>
      <c r="V6" s="610" t="s">
        <v>93</v>
      </c>
      <c r="W6" s="611"/>
      <c r="X6" s="13" t="s">
        <v>37</v>
      </c>
      <c r="Y6" s="13"/>
      <c r="Z6" s="193"/>
      <c r="AA6" s="193"/>
      <c r="AB6" s="193"/>
      <c r="AC6" s="193"/>
      <c r="AD6" s="13"/>
      <c r="AE6" s="13"/>
      <c r="AF6" s="13"/>
      <c r="AG6" s="13"/>
      <c r="AH6" s="13"/>
      <c r="AI6" s="13">
        <v>456</v>
      </c>
      <c r="AJ6" s="156">
        <f t="shared" ref="AJ6" si="17">AI6/($AI6)</f>
        <v>1</v>
      </c>
      <c r="AK6" s="13">
        <v>445</v>
      </c>
      <c r="AL6" s="156">
        <f t="shared" ref="AL6:AN6" si="18">AK6/($AI6)</f>
        <v>0.97587719298245612</v>
      </c>
      <c r="AM6" s="13">
        <v>4679</v>
      </c>
      <c r="AN6" s="156">
        <f t="shared" si="18"/>
        <v>10.260964912280702</v>
      </c>
      <c r="AO6" s="13">
        <v>4051</v>
      </c>
      <c r="AP6" s="156">
        <f t="shared" si="2"/>
        <v>8.8837719298245617</v>
      </c>
      <c r="AQ6" s="13">
        <v>4515</v>
      </c>
      <c r="AR6" s="156">
        <f t="shared" si="2"/>
        <v>9.901315789473685</v>
      </c>
      <c r="AS6" s="13">
        <v>3724</v>
      </c>
      <c r="AT6" s="156">
        <f t="shared" si="2"/>
        <v>8.1666666666666661</v>
      </c>
      <c r="AU6" s="13">
        <v>4247</v>
      </c>
      <c r="AV6" s="156">
        <f t="shared" si="2"/>
        <v>9.3135964912280702</v>
      </c>
      <c r="AW6" s="13">
        <v>4356</v>
      </c>
      <c r="AX6" s="156">
        <f t="shared" si="2"/>
        <v>9.5526315789473681</v>
      </c>
      <c r="AY6" s="13">
        <v>4036</v>
      </c>
      <c r="AZ6" s="156">
        <f t="shared" si="3"/>
        <v>8.8508771929824555</v>
      </c>
      <c r="BA6" s="2">
        <v>3444</v>
      </c>
      <c r="BB6" s="156">
        <f t="shared" si="3"/>
        <v>7.5526315789473681</v>
      </c>
      <c r="BC6" s="2">
        <v>3395</v>
      </c>
      <c r="BD6" s="156">
        <f t="shared" si="4"/>
        <v>7.4451754385964914</v>
      </c>
      <c r="BE6" s="2">
        <v>3009</v>
      </c>
      <c r="BF6" s="156">
        <f t="shared" si="4"/>
        <v>6.5986842105263159</v>
      </c>
      <c r="BG6" s="2">
        <v>2259</v>
      </c>
      <c r="BH6" s="156">
        <f t="shared" si="4"/>
        <v>4.9539473684210522</v>
      </c>
      <c r="BI6" s="96">
        <v>3465</v>
      </c>
      <c r="BJ6" s="96">
        <v>3255</v>
      </c>
      <c r="BK6" s="156">
        <f t="shared" si="5"/>
        <v>7.1381578947368425</v>
      </c>
      <c r="BL6" s="96">
        <v>2876</v>
      </c>
      <c r="BM6" s="156">
        <f t="shared" si="6"/>
        <v>6.307017543859649</v>
      </c>
      <c r="BN6" s="96">
        <v>2522</v>
      </c>
      <c r="BO6" s="156">
        <f t="shared" si="7"/>
        <v>5.5307017543859649</v>
      </c>
      <c r="BP6" s="96">
        <v>2597</v>
      </c>
      <c r="BQ6" s="156">
        <f t="shared" si="8"/>
        <v>5.6951754385964914</v>
      </c>
      <c r="BR6" s="96">
        <v>2743</v>
      </c>
      <c r="BS6" s="156">
        <f t="shared" si="9"/>
        <v>6.0153508771929829</v>
      </c>
      <c r="BT6" s="96">
        <v>3136</v>
      </c>
      <c r="BU6" s="156">
        <f t="shared" si="10"/>
        <v>6.8771929824561404</v>
      </c>
      <c r="BW6" s="96">
        <v>2943</v>
      </c>
      <c r="BY6" s="96">
        <v>3001</v>
      </c>
      <c r="CA6" s="96">
        <v>2799</v>
      </c>
      <c r="CC6" s="96">
        <v>2714</v>
      </c>
      <c r="CE6" s="96">
        <v>3029</v>
      </c>
      <c r="CG6" s="96">
        <v>2585</v>
      </c>
      <c r="CI6" s="96">
        <v>4346</v>
      </c>
      <c r="CJ6" s="96" t="s">
        <v>1718</v>
      </c>
    </row>
    <row r="7" spans="1:88" s="96" customFormat="1" ht="15.75" customHeight="1">
      <c r="A7" s="777">
        <v>7</v>
      </c>
      <c r="B7" s="589" t="s">
        <v>94</v>
      </c>
      <c r="C7" s="604" t="str">
        <f t="shared" ca="1" si="11"/>
        <v>{"mobile":"079 5587221","privateNumber":"079 5281531","email":"1704abc@gmail.com"}</v>
      </c>
      <c r="D7" s="13"/>
      <c r="E7" s="193" t="str">
        <f t="shared" ca="1" si="12"/>
        <v>{"mobile":"079 5587221","privateNumber":"079 5281531","email":"1704abc@gmail.com"}</v>
      </c>
      <c r="F7" s="36" t="s">
        <v>95</v>
      </c>
      <c r="G7" s="611" t="str">
        <f ca="1">"079 "&amp;RANDBETWEEN(5234500,5699999)</f>
        <v>079 5587221</v>
      </c>
      <c r="H7" s="610" t="s">
        <v>96</v>
      </c>
      <c r="I7" s="611" t="str">
        <f ca="1">"079 "&amp;RANDBETWEEN(5234500,5699999)</f>
        <v>079 5281531</v>
      </c>
      <c r="J7" s="610" t="s">
        <v>97</v>
      </c>
      <c r="K7" s="632" t="s">
        <v>330</v>
      </c>
      <c r="L7" s="610" t="s">
        <v>37</v>
      </c>
      <c r="M7" s="611"/>
      <c r="N7" s="610"/>
      <c r="O7" s="611"/>
      <c r="P7" s="610"/>
      <c r="Q7" s="611"/>
      <c r="R7" s="610"/>
      <c r="S7" s="611"/>
      <c r="T7" s="610"/>
      <c r="U7" s="611"/>
      <c r="V7" s="610"/>
      <c r="W7" s="611"/>
      <c r="X7" s="13"/>
      <c r="Y7" s="13"/>
      <c r="Z7" s="193"/>
      <c r="AA7" s="193"/>
      <c r="AB7" s="193"/>
      <c r="AC7" s="193"/>
      <c r="AD7" s="13"/>
      <c r="AE7" s="13"/>
      <c r="AF7" s="13"/>
      <c r="AG7" s="13"/>
      <c r="AH7" s="13"/>
      <c r="AI7" s="13">
        <v>4502</v>
      </c>
      <c r="AJ7" s="156">
        <f t="shared" ref="AJ7" si="19">AI7/($AI7)</f>
        <v>1</v>
      </c>
      <c r="AK7" s="13">
        <v>4485</v>
      </c>
      <c r="AL7" s="156">
        <f t="shared" ref="AL7:AN7" si="20">AK7/($AI7)</f>
        <v>0.99622390048867171</v>
      </c>
      <c r="AM7" s="13">
        <v>816</v>
      </c>
      <c r="AN7" s="156">
        <f t="shared" si="20"/>
        <v>0.18125277654375832</v>
      </c>
      <c r="AO7" s="13">
        <v>560</v>
      </c>
      <c r="AP7" s="156">
        <f t="shared" si="2"/>
        <v>0.12438916037316748</v>
      </c>
      <c r="AQ7" s="13">
        <v>652</v>
      </c>
      <c r="AR7" s="156">
        <f t="shared" si="2"/>
        <v>0.14482452243447358</v>
      </c>
      <c r="AS7" s="13">
        <v>574</v>
      </c>
      <c r="AT7" s="156">
        <f t="shared" si="2"/>
        <v>0.12749888938249668</v>
      </c>
      <c r="AU7" s="13">
        <v>582</v>
      </c>
      <c r="AV7" s="156">
        <f t="shared" si="2"/>
        <v>0.12927587738782764</v>
      </c>
      <c r="AW7" s="13">
        <v>596</v>
      </c>
      <c r="AX7" s="156">
        <f t="shared" si="2"/>
        <v>0.13238560639715682</v>
      </c>
      <c r="AY7" s="13">
        <v>477</v>
      </c>
      <c r="AZ7" s="156">
        <f t="shared" si="3"/>
        <v>0.10595290981785872</v>
      </c>
      <c r="BA7" s="2">
        <v>432</v>
      </c>
      <c r="BB7" s="156">
        <f t="shared" si="3"/>
        <v>9.5957352287872055E-2</v>
      </c>
      <c r="BC7" s="2">
        <v>384</v>
      </c>
      <c r="BD7" s="156">
        <f t="shared" si="4"/>
        <v>8.5295424255886279E-2</v>
      </c>
      <c r="BE7" s="2">
        <v>240</v>
      </c>
      <c r="BF7" s="156">
        <f t="shared" si="4"/>
        <v>5.3309640159928923E-2</v>
      </c>
      <c r="BG7" s="2">
        <v>249</v>
      </c>
      <c r="BH7" s="156">
        <f t="shared" si="4"/>
        <v>5.5308751665926255E-2</v>
      </c>
      <c r="BI7" s="96">
        <v>377</v>
      </c>
      <c r="BJ7" s="96">
        <v>255</v>
      </c>
      <c r="BK7" s="156">
        <f t="shared" si="5"/>
        <v>5.6641492669924479E-2</v>
      </c>
      <c r="BL7" s="96">
        <v>248</v>
      </c>
      <c r="BM7" s="156">
        <f t="shared" si="6"/>
        <v>5.5086628165259888E-2</v>
      </c>
      <c r="BN7" s="96">
        <v>178</v>
      </c>
      <c r="BO7" s="156">
        <f t="shared" si="7"/>
        <v>3.9537983118613951E-2</v>
      </c>
      <c r="BP7" s="96">
        <v>228</v>
      </c>
      <c r="BQ7" s="156">
        <f t="shared" si="8"/>
        <v>5.0644158151932475E-2</v>
      </c>
      <c r="BR7" s="96">
        <v>202</v>
      </c>
      <c r="BS7" s="156">
        <f t="shared" si="9"/>
        <v>4.4868947134606839E-2</v>
      </c>
      <c r="BT7" s="96">
        <v>479</v>
      </c>
      <c r="BU7" s="156">
        <f t="shared" si="10"/>
        <v>0.10639715681919147</v>
      </c>
      <c r="BW7" s="96">
        <v>285</v>
      </c>
      <c r="BY7" s="96">
        <v>225</v>
      </c>
      <c r="CA7" s="96">
        <v>270</v>
      </c>
      <c r="CC7" s="96">
        <v>290</v>
      </c>
      <c r="CE7" s="96">
        <v>392</v>
      </c>
      <c r="CG7" s="96">
        <v>226</v>
      </c>
      <c r="CI7" s="96">
        <v>396</v>
      </c>
      <c r="CJ7" s="96" t="s">
        <v>1718</v>
      </c>
    </row>
    <row r="8" spans="1:88" s="96" customFormat="1" ht="15.75" customHeight="1">
      <c r="A8" s="777">
        <v>8</v>
      </c>
      <c r="B8" s="589" t="s">
        <v>99</v>
      </c>
      <c r="C8" s="604" t="str">
        <f t="shared" ca="1" si="11"/>
        <v>{"zusatz":"","strasse":"Strasse_277","houseNumber":"98","ort":"3302 Moosseedorf","validDate":"8.2.2021"}</v>
      </c>
      <c r="D8" s="13"/>
      <c r="E8" s="193" t="str">
        <f t="shared" ca="1" si="12"/>
        <v>{"zusatz":"","strasse":"Strasse_277","houseNumber":"98","ort":"3302 Moosseedorf","validDate":"8.2.2021"}</v>
      </c>
      <c r="F8" s="610" t="s">
        <v>100</v>
      </c>
      <c r="G8" s="611"/>
      <c r="H8" s="610" t="s">
        <v>101</v>
      </c>
      <c r="I8" s="611" t="str">
        <f ca="1">"Strasse_"&amp;RANDBETWEEN(1,1000)</f>
        <v>Strasse_277</v>
      </c>
      <c r="J8" s="610" t="s">
        <v>102</v>
      </c>
      <c r="K8" s="611">
        <f ca="1">RANDBETWEEN(1,100)</f>
        <v>98</v>
      </c>
      <c r="L8" s="610" t="s">
        <v>103</v>
      </c>
      <c r="M8" s="611" t="s">
        <v>331</v>
      </c>
      <c r="N8" s="610" t="s">
        <v>105</v>
      </c>
      <c r="O8" s="636" t="str">
        <f ca="1">TEXT(RANDBETWEEN(1,28)&amp;"."&amp;RANDBETWEEN(1,12)&amp;"."&amp;TEXT(TODAY()-4*365,"YYYY"),"DD.MM.YYYY")</f>
        <v>8.2.2021</v>
      </c>
      <c r="P8" s="610" t="s">
        <v>37</v>
      </c>
      <c r="Q8" s="611"/>
      <c r="R8" s="610"/>
      <c r="S8" s="611"/>
      <c r="T8" s="610"/>
      <c r="U8" s="611"/>
      <c r="V8" s="610"/>
      <c r="W8" s="611"/>
      <c r="X8" s="13"/>
      <c r="Y8" s="13"/>
      <c r="Z8" s="193"/>
      <c r="AA8" s="193"/>
      <c r="AB8" s="193"/>
      <c r="AC8" s="193"/>
      <c r="AD8" s="13"/>
      <c r="AE8" s="13"/>
      <c r="AF8" s="13"/>
      <c r="AG8" s="13"/>
      <c r="AH8" s="13"/>
      <c r="AI8" s="13">
        <v>2117</v>
      </c>
      <c r="AJ8" s="156">
        <f t="shared" ref="AJ8" si="21">AI8/($AI8)</f>
        <v>1</v>
      </c>
      <c r="AK8" s="13">
        <v>2128</v>
      </c>
      <c r="AL8" s="156">
        <f t="shared" ref="AL8:AN8" si="22">AK8/($AI8)</f>
        <v>1.0051960321209259</v>
      </c>
      <c r="AM8" s="13">
        <v>5332</v>
      </c>
      <c r="AN8" s="156">
        <f t="shared" si="22"/>
        <v>2.5186584789796882</v>
      </c>
      <c r="AO8" s="13">
        <v>4804</v>
      </c>
      <c r="AP8" s="156">
        <f t="shared" si="2"/>
        <v>2.2692489371752478</v>
      </c>
      <c r="AQ8" s="13">
        <v>5032</v>
      </c>
      <c r="AR8" s="156">
        <f t="shared" si="2"/>
        <v>2.3769485120453471</v>
      </c>
      <c r="AS8" s="13">
        <v>4818</v>
      </c>
      <c r="AT8" s="156">
        <f t="shared" si="2"/>
        <v>2.2758620689655173</v>
      </c>
      <c r="AU8" s="13">
        <v>4813</v>
      </c>
      <c r="AV8" s="156">
        <f t="shared" si="2"/>
        <v>2.2735002361832781</v>
      </c>
      <c r="AW8" s="13">
        <v>4949</v>
      </c>
      <c r="AX8" s="156">
        <f t="shared" si="2"/>
        <v>2.3377420878601796</v>
      </c>
      <c r="AY8" s="13">
        <v>4675</v>
      </c>
      <c r="AZ8" s="156">
        <f t="shared" si="3"/>
        <v>2.2083136513934813</v>
      </c>
      <c r="BA8" s="2">
        <v>4304</v>
      </c>
      <c r="BB8" s="156">
        <f t="shared" si="3"/>
        <v>2.0330656589513461</v>
      </c>
      <c r="BC8" s="2">
        <v>4171</v>
      </c>
      <c r="BD8" s="156">
        <f t="shared" si="4"/>
        <v>1.9702409069437883</v>
      </c>
      <c r="BE8" s="2">
        <v>4029</v>
      </c>
      <c r="BF8" s="156">
        <f t="shared" si="4"/>
        <v>1.9031648559282004</v>
      </c>
      <c r="BG8" s="2">
        <v>3964</v>
      </c>
      <c r="BH8" s="156">
        <f t="shared" si="4"/>
        <v>1.8724610297590931</v>
      </c>
      <c r="BI8" s="96">
        <v>4453</v>
      </c>
      <c r="BJ8" s="96">
        <v>4167</v>
      </c>
      <c r="BK8" s="156">
        <f t="shared" si="5"/>
        <v>1.9683514407179972</v>
      </c>
      <c r="BL8" s="96">
        <v>4126</v>
      </c>
      <c r="BM8" s="156">
        <f t="shared" si="6"/>
        <v>1.9489844119036372</v>
      </c>
      <c r="BN8" s="96">
        <v>4071</v>
      </c>
      <c r="BO8" s="156">
        <f t="shared" si="7"/>
        <v>1.923004251299008</v>
      </c>
      <c r="BP8" s="96">
        <v>4084</v>
      </c>
      <c r="BQ8" s="156">
        <f t="shared" si="8"/>
        <v>1.9291450165328294</v>
      </c>
      <c r="BR8" s="96">
        <v>4006</v>
      </c>
      <c r="BS8" s="156">
        <f t="shared" si="9"/>
        <v>1.8923004251299007</v>
      </c>
      <c r="BT8" s="96">
        <v>1982</v>
      </c>
      <c r="BU8" s="156">
        <f t="shared" si="10"/>
        <v>0.93623051487954656</v>
      </c>
      <c r="BW8" s="96">
        <v>1911</v>
      </c>
      <c r="BY8" s="96">
        <v>1104</v>
      </c>
      <c r="CA8" s="96">
        <v>1377</v>
      </c>
      <c r="CC8" s="96">
        <v>1495</v>
      </c>
      <c r="CE8" s="96">
        <v>1621</v>
      </c>
      <c r="CG8" s="96">
        <v>1644</v>
      </c>
      <c r="CI8" s="96">
        <v>2265</v>
      </c>
      <c r="CJ8" s="96" t="s">
        <v>1718</v>
      </c>
    </row>
    <row r="9" spans="1:88" s="96" customFormat="1" ht="15.75" customHeight="1">
      <c r="A9" s="777">
        <v>9</v>
      </c>
      <c r="B9" s="589" t="s">
        <v>106</v>
      </c>
      <c r="C9" s="604" t="s">
        <v>326</v>
      </c>
      <c r="D9" s="13"/>
      <c r="E9" s="193"/>
      <c r="F9" s="610"/>
      <c r="G9" s="611"/>
      <c r="H9" s="610"/>
      <c r="I9" s="611"/>
      <c r="J9" s="610"/>
      <c r="K9" s="611"/>
      <c r="L9" s="610"/>
      <c r="M9" s="611"/>
      <c r="N9" s="610"/>
      <c r="O9" s="611"/>
      <c r="P9" s="610"/>
      <c r="Q9" s="611"/>
      <c r="R9" s="610"/>
      <c r="S9" s="611"/>
      <c r="T9" s="610"/>
      <c r="U9" s="611"/>
      <c r="V9" s="610"/>
      <c r="W9" s="611"/>
      <c r="X9" s="13"/>
      <c r="Y9" s="13"/>
      <c r="Z9" s="193"/>
      <c r="AA9" s="193"/>
      <c r="AB9" s="193"/>
      <c r="AC9" s="193"/>
      <c r="AD9" s="13"/>
      <c r="AE9" s="13"/>
      <c r="AF9" s="13"/>
      <c r="AG9" s="13"/>
      <c r="AH9" s="13"/>
      <c r="AI9" s="13">
        <v>236</v>
      </c>
      <c r="AJ9" s="156">
        <f t="shared" ref="AJ9" si="23">AI9/($AI9)</f>
        <v>1</v>
      </c>
      <c r="AK9" s="13">
        <v>213</v>
      </c>
      <c r="AL9" s="156">
        <f t="shared" ref="AL9:AN9" si="24">AK9/($AI9)</f>
        <v>0.90254237288135597</v>
      </c>
      <c r="AM9" s="13">
        <v>2259</v>
      </c>
      <c r="AN9" s="156">
        <f t="shared" si="24"/>
        <v>9.5720338983050848</v>
      </c>
      <c r="AO9" s="13">
        <v>2190</v>
      </c>
      <c r="AP9" s="156">
        <f t="shared" si="2"/>
        <v>9.2796610169491522</v>
      </c>
      <c r="AQ9" s="13">
        <v>2213</v>
      </c>
      <c r="AR9" s="156">
        <f t="shared" si="2"/>
        <v>9.3771186440677958</v>
      </c>
      <c r="AS9" s="13">
        <v>2211</v>
      </c>
      <c r="AT9" s="156">
        <f t="shared" si="2"/>
        <v>9.3686440677966107</v>
      </c>
      <c r="AU9" s="13">
        <v>2180</v>
      </c>
      <c r="AV9" s="156">
        <f t="shared" si="2"/>
        <v>9.2372881355932197</v>
      </c>
      <c r="AW9" s="13">
        <v>2248</v>
      </c>
      <c r="AX9" s="156">
        <f t="shared" si="2"/>
        <v>9.5254237288135588</v>
      </c>
      <c r="AY9" s="13">
        <v>2102</v>
      </c>
      <c r="AZ9" s="156">
        <f t="shared" si="3"/>
        <v>8.9067796610169498</v>
      </c>
      <c r="BA9" s="2">
        <v>2111</v>
      </c>
      <c r="BB9" s="156">
        <f t="shared" si="3"/>
        <v>8.9449152542372889</v>
      </c>
      <c r="BC9" s="2">
        <v>76</v>
      </c>
      <c r="BD9" s="156">
        <f t="shared" si="4"/>
        <v>0.32203389830508472</v>
      </c>
      <c r="BE9" s="2">
        <v>69</v>
      </c>
      <c r="BF9" s="156">
        <f t="shared" si="4"/>
        <v>0.2923728813559322</v>
      </c>
      <c r="BG9" s="2">
        <v>120</v>
      </c>
      <c r="BH9" s="156">
        <f t="shared" si="4"/>
        <v>0.50847457627118642</v>
      </c>
      <c r="BI9" s="96">
        <v>81</v>
      </c>
      <c r="BJ9" s="96">
        <v>74</v>
      </c>
      <c r="BK9" s="156">
        <f t="shared" si="5"/>
        <v>0.3135593220338983</v>
      </c>
      <c r="BL9" s="96">
        <v>66</v>
      </c>
      <c r="BM9" s="156">
        <f t="shared" si="6"/>
        <v>0.27966101694915252</v>
      </c>
      <c r="BN9" s="96">
        <v>57</v>
      </c>
      <c r="BO9" s="156">
        <f t="shared" si="7"/>
        <v>0.24152542372881355</v>
      </c>
      <c r="BP9" s="96">
        <v>70</v>
      </c>
      <c r="BQ9" s="156">
        <f t="shared" si="8"/>
        <v>0.29661016949152541</v>
      </c>
      <c r="BR9" s="96">
        <v>58</v>
      </c>
      <c r="BS9" s="156">
        <f t="shared" si="9"/>
        <v>0.24576271186440679</v>
      </c>
      <c r="BT9" s="96">
        <v>140</v>
      </c>
      <c r="BU9" s="156">
        <f t="shared" si="10"/>
        <v>0.59322033898305082</v>
      </c>
      <c r="BW9" s="96">
        <v>139</v>
      </c>
      <c r="BY9" s="96">
        <v>113</v>
      </c>
      <c r="CA9" s="96">
        <v>110</v>
      </c>
      <c r="CC9" s="96">
        <v>143</v>
      </c>
      <c r="CE9" s="96">
        <v>153</v>
      </c>
      <c r="CG9" s="96">
        <v>103</v>
      </c>
      <c r="CI9" s="96">
        <v>192</v>
      </c>
      <c r="CJ9" s="96" t="s">
        <v>1718</v>
      </c>
    </row>
    <row r="10" spans="1:88" s="96" customFormat="1" ht="15.75" customHeight="1">
      <c r="A10" s="777">
        <v>10</v>
      </c>
      <c r="B10" s="589" t="s">
        <v>110</v>
      </c>
      <c r="C10" s="604"/>
      <c r="D10" s="13"/>
      <c r="E10" s="193"/>
      <c r="F10" s="610"/>
      <c r="G10" s="611"/>
      <c r="H10" s="610"/>
      <c r="I10" s="611"/>
      <c r="J10" s="610"/>
      <c r="K10" s="611"/>
      <c r="L10" s="610"/>
      <c r="M10" s="611"/>
      <c r="N10" s="610"/>
      <c r="O10" s="611"/>
      <c r="P10" s="610"/>
      <c r="Q10" s="611"/>
      <c r="R10" s="610"/>
      <c r="S10" s="611"/>
      <c r="T10" s="610"/>
      <c r="U10" s="611"/>
      <c r="V10" s="610"/>
      <c r="W10" s="611"/>
      <c r="X10" s="13"/>
      <c r="Y10" s="13"/>
      <c r="Z10" s="193"/>
      <c r="AA10" s="193"/>
      <c r="AB10" s="193"/>
      <c r="AC10" s="193"/>
      <c r="AD10" s="13"/>
      <c r="AE10" s="13"/>
      <c r="AF10" s="13"/>
      <c r="AG10" s="13"/>
      <c r="AH10" s="13"/>
      <c r="AI10" s="13">
        <v>3488</v>
      </c>
      <c r="AJ10" s="156">
        <f t="shared" ref="AJ10" si="25">AI10/($AI10)</f>
        <v>1</v>
      </c>
      <c r="AK10" s="13">
        <v>3457</v>
      </c>
      <c r="AL10" s="156">
        <f t="shared" ref="AL10:AN10" si="26">AK10/($AI10)</f>
        <v>0.99111238532110091</v>
      </c>
      <c r="AM10" s="13">
        <v>509</v>
      </c>
      <c r="AN10" s="156">
        <f t="shared" si="26"/>
        <v>0.14592889908256881</v>
      </c>
      <c r="AO10" s="13">
        <v>315</v>
      </c>
      <c r="AP10" s="156">
        <f t="shared" si="2"/>
        <v>9.0309633027522943E-2</v>
      </c>
      <c r="AQ10" s="13">
        <v>388</v>
      </c>
      <c r="AR10" s="156">
        <f t="shared" si="2"/>
        <v>0.11123853211009174</v>
      </c>
      <c r="AS10" s="13">
        <v>341</v>
      </c>
      <c r="AT10" s="156">
        <f t="shared" si="2"/>
        <v>9.7763761467889912E-2</v>
      </c>
      <c r="AU10" s="13">
        <v>333</v>
      </c>
      <c r="AV10" s="156">
        <f t="shared" si="2"/>
        <v>9.5470183486238536E-2</v>
      </c>
      <c r="AW10" s="13">
        <v>428</v>
      </c>
      <c r="AX10" s="156">
        <f t="shared" si="2"/>
        <v>0.12270642201834862</v>
      </c>
      <c r="AY10" s="13">
        <v>205</v>
      </c>
      <c r="AZ10" s="156">
        <f t="shared" si="3"/>
        <v>5.8772935779816515E-2</v>
      </c>
      <c r="BA10" s="2">
        <v>118</v>
      </c>
      <c r="BB10" s="156">
        <f t="shared" si="3"/>
        <v>3.3830275229357797E-2</v>
      </c>
      <c r="BC10" s="2">
        <v>1175</v>
      </c>
      <c r="BD10" s="156">
        <f t="shared" si="4"/>
        <v>0.33686926605504586</v>
      </c>
      <c r="BE10" s="2">
        <v>1155</v>
      </c>
      <c r="BF10" s="156">
        <f t="shared" si="4"/>
        <v>0.33113532110091742</v>
      </c>
      <c r="BG10" s="2">
        <v>1216</v>
      </c>
      <c r="BH10" s="156">
        <f t="shared" si="4"/>
        <v>0.34862385321100919</v>
      </c>
      <c r="BI10" s="96">
        <v>1189</v>
      </c>
      <c r="BJ10" s="96">
        <v>10068</v>
      </c>
      <c r="BK10" s="156">
        <f t="shared" si="5"/>
        <v>2.886467889908257</v>
      </c>
      <c r="BL10" s="96">
        <v>4699</v>
      </c>
      <c r="BM10" s="156">
        <f t="shared" si="6"/>
        <v>1.347190366972477</v>
      </c>
      <c r="BN10" s="96">
        <v>1225</v>
      </c>
      <c r="BO10" s="156">
        <f t="shared" si="7"/>
        <v>0.35120412844036697</v>
      </c>
      <c r="BP10" s="96">
        <v>1194</v>
      </c>
      <c r="BQ10" s="156">
        <f t="shared" si="8"/>
        <v>0.34231651376146788</v>
      </c>
      <c r="BR10" s="96">
        <v>1141</v>
      </c>
      <c r="BS10" s="156">
        <f t="shared" si="9"/>
        <v>0.32712155963302753</v>
      </c>
      <c r="BT10" s="96">
        <v>1268</v>
      </c>
      <c r="BU10" s="156">
        <f t="shared" si="10"/>
        <v>0.36353211009174313</v>
      </c>
      <c r="BW10" s="96">
        <v>1200</v>
      </c>
      <c r="BY10" s="96">
        <v>1149</v>
      </c>
      <c r="CA10" s="96">
        <v>1191</v>
      </c>
      <c r="CC10" s="96">
        <v>1206</v>
      </c>
      <c r="CE10" s="96">
        <v>1236</v>
      </c>
      <c r="CG10" s="96">
        <v>1197</v>
      </c>
      <c r="CI10" s="96">
        <v>1301</v>
      </c>
      <c r="CJ10" s="96" t="s">
        <v>1718</v>
      </c>
    </row>
    <row r="11" spans="1:88" s="96" customFormat="1" ht="15.75" customHeight="1">
      <c r="A11" s="777">
        <v>11</v>
      </c>
      <c r="B11" s="589" t="s">
        <v>111</v>
      </c>
      <c r="C11" s="604" t="str">
        <f>E11</f>
        <v>{"zust_Gemeinde":"Moosseedorf","zust_SozTeam":"Sozialarbeit Bern 1","zust_SozMitarbeiter":"Bern Sozialarbeiterin 1A","zust_SachbTeam":"Sachbearbeitung Bern","zust_SachbMitarbeiter":"Bern Sachbearbeiterin"}</v>
      </c>
      <c r="D11" s="13"/>
      <c r="E11" s="13" t="str">
        <f>F11&amp;G11&amp;H11&amp;I11&amp;J11&amp;K11&amp;L11&amp;M11&amp;N11&amp;O11&amp;P11&amp;Q11&amp;R11&amp;S11&amp;T11&amp;U11&amp;V11&amp;W11&amp;X11</f>
        <v>{"zust_Gemeinde":"Moosseedorf","zust_SozTeam":"Sozialarbeit Bern 1","zust_SozMitarbeiter":"Bern Sozialarbeiterin 1A","zust_SachbTeam":"Sachbearbeitung Bern","zust_SachbMitarbeiter":"Bern Sachbearbeiterin"}</v>
      </c>
      <c r="F11" s="610" t="s">
        <v>112</v>
      </c>
      <c r="G11" s="637" t="s">
        <v>332</v>
      </c>
      <c r="H11" s="610" t="s">
        <v>114</v>
      </c>
      <c r="I11" s="611" t="s">
        <v>76</v>
      </c>
      <c r="J11" s="610" t="s">
        <v>115</v>
      </c>
      <c r="K11" s="611" t="s">
        <v>116</v>
      </c>
      <c r="L11" s="610" t="s">
        <v>117</v>
      </c>
      <c r="M11" s="611" t="s">
        <v>118</v>
      </c>
      <c r="N11" s="610" t="s">
        <v>119</v>
      </c>
      <c r="O11" s="611" t="s">
        <v>120</v>
      </c>
      <c r="P11" s="610" t="s">
        <v>37</v>
      </c>
      <c r="Q11" s="611"/>
      <c r="R11" s="610"/>
      <c r="S11" s="611"/>
      <c r="T11" s="610"/>
      <c r="U11" s="611"/>
      <c r="V11" s="610"/>
      <c r="W11" s="611"/>
      <c r="X11" s="13"/>
      <c r="Y11" s="13"/>
      <c r="Z11" s="193"/>
      <c r="AA11" s="193"/>
      <c r="AB11" s="193"/>
      <c r="AC11" s="193"/>
      <c r="AD11" s="13"/>
      <c r="AE11" s="13"/>
      <c r="AF11" s="13"/>
      <c r="AG11" s="13"/>
      <c r="AH11" s="13"/>
      <c r="AI11" s="13">
        <v>2725</v>
      </c>
      <c r="AJ11" s="156">
        <f t="shared" ref="AJ11" si="27">AI11/($AI11)</f>
        <v>1</v>
      </c>
      <c r="AK11" s="13">
        <v>3876</v>
      </c>
      <c r="AL11" s="156">
        <f t="shared" ref="AL11:AN11" si="28">AK11/($AI11)</f>
        <v>1.4223853211009174</v>
      </c>
      <c r="AM11" s="13">
        <v>4268</v>
      </c>
      <c r="AN11" s="156">
        <f t="shared" si="28"/>
        <v>1.5662385321100918</v>
      </c>
      <c r="AO11" s="13">
        <v>3371</v>
      </c>
      <c r="AP11" s="156">
        <f t="shared" si="2"/>
        <v>1.2370642201834863</v>
      </c>
      <c r="AQ11" s="13">
        <v>4186</v>
      </c>
      <c r="AR11" s="156">
        <f t="shared" si="2"/>
        <v>1.5361467889908258</v>
      </c>
      <c r="AS11" s="13">
        <v>3652</v>
      </c>
      <c r="AT11" s="156">
        <f t="shared" si="2"/>
        <v>1.340183486238532</v>
      </c>
      <c r="AU11" s="13">
        <v>3329</v>
      </c>
      <c r="AV11" s="156">
        <f t="shared" si="2"/>
        <v>1.2216513761467891</v>
      </c>
      <c r="AW11" s="13">
        <v>3951</v>
      </c>
      <c r="AX11" s="156">
        <f t="shared" si="2"/>
        <v>1.449908256880734</v>
      </c>
      <c r="AY11" s="13">
        <v>3975</v>
      </c>
      <c r="AZ11" s="156">
        <f t="shared" si="3"/>
        <v>1.4587155963302751</v>
      </c>
      <c r="BA11" s="2">
        <v>3979</v>
      </c>
      <c r="BB11" s="156">
        <f t="shared" si="3"/>
        <v>1.4601834862385321</v>
      </c>
      <c r="BC11" s="2">
        <v>3940</v>
      </c>
      <c r="BD11" s="156">
        <f t="shared" si="4"/>
        <v>1.4458715596330276</v>
      </c>
      <c r="BE11" s="2">
        <v>4109</v>
      </c>
      <c r="BF11" s="156">
        <f t="shared" si="4"/>
        <v>1.5078899082568806</v>
      </c>
      <c r="BG11" s="2">
        <v>3598</v>
      </c>
      <c r="BH11" s="156">
        <f t="shared" si="4"/>
        <v>1.3203669724770641</v>
      </c>
      <c r="BI11" s="96">
        <v>4035</v>
      </c>
      <c r="BJ11" s="96">
        <v>4367</v>
      </c>
      <c r="BK11" s="156">
        <f t="shared" si="5"/>
        <v>1.6025688073394495</v>
      </c>
      <c r="BL11" s="96">
        <v>4089</v>
      </c>
      <c r="BM11" s="156">
        <f t="shared" si="6"/>
        <v>1.5005504587155962</v>
      </c>
      <c r="BN11" s="96">
        <v>4166</v>
      </c>
      <c r="BO11" s="156">
        <f t="shared" si="7"/>
        <v>1.5288073394495414</v>
      </c>
      <c r="BP11" s="96">
        <v>4182</v>
      </c>
      <c r="BQ11" s="156">
        <f t="shared" si="8"/>
        <v>1.5346788990825688</v>
      </c>
      <c r="BR11" s="96">
        <v>4168</v>
      </c>
      <c r="BS11" s="156">
        <f t="shared" si="9"/>
        <v>1.5295412844036698</v>
      </c>
      <c r="BT11" s="96">
        <v>4116</v>
      </c>
      <c r="BU11" s="156">
        <f t="shared" si="10"/>
        <v>1.5104587155963303</v>
      </c>
      <c r="BW11" s="96">
        <v>4147</v>
      </c>
      <c r="BY11" s="96">
        <v>4179</v>
      </c>
      <c r="CA11" s="96">
        <v>4123</v>
      </c>
      <c r="CC11" s="96">
        <v>4112</v>
      </c>
      <c r="CE11" s="96">
        <v>3902</v>
      </c>
      <c r="CG11" s="96">
        <v>3464</v>
      </c>
      <c r="CI11" s="96">
        <v>3826</v>
      </c>
      <c r="CJ11" s="96" t="s">
        <v>1718</v>
      </c>
    </row>
    <row r="12" spans="1:88" s="96" customFormat="1" ht="15.75" customHeight="1" thickBot="1">
      <c r="A12" s="777">
        <v>12</v>
      </c>
      <c r="B12" s="589" t="s">
        <v>122</v>
      </c>
      <c r="C12" s="121" t="str">
        <f ca="1">E12</f>
        <v>{"dossierBezeichnung":p.DossierName5,"eroeffnetAm":"04.11.2025","dossierSprache":"Deutsch"}</v>
      </c>
      <c r="D12" s="13"/>
      <c r="E12" s="193" t="str">
        <f ca="1">F12&amp;G12&amp;H12&amp;I12&amp;J12&amp;K12&amp;L12&amp;M12&amp;N12&amp;O12&amp;P12&amp;Q12&amp;R12&amp;S12&amp;T12&amp;U12&amp;V12&amp;W12&amp;X12</f>
        <v>{"dossierBezeichnung":p.DossierName5,"eroeffnetAm":"04.11.2025","dossierSprache":"Deutsch"}</v>
      </c>
      <c r="F12" s="610" t="s">
        <v>123</v>
      </c>
      <c r="G12" s="610" t="s">
        <v>333</v>
      </c>
      <c r="H12" s="610" t="s">
        <v>124</v>
      </c>
      <c r="I12" s="636" t="str">
        <f ca="1">TEXT(TEXT(TODAY(),"DD")&amp;"."&amp;TEXT(TODAY(),"MM")&amp;"."&amp;TEXT(TODAY(),"YYYY"),"DD.MM.YYYY")</f>
        <v>04.11.2025</v>
      </c>
      <c r="J12" s="610" t="s">
        <v>125</v>
      </c>
      <c r="K12" s="611" t="s">
        <v>85</v>
      </c>
      <c r="L12" s="610" t="s">
        <v>37</v>
      </c>
      <c r="M12" s="611"/>
      <c r="N12" s="610"/>
      <c r="O12" s="611"/>
      <c r="P12" s="610"/>
      <c r="Q12" s="611"/>
      <c r="R12" s="610"/>
      <c r="S12" s="611"/>
      <c r="T12" s="610"/>
      <c r="U12" s="611"/>
      <c r="V12" s="610"/>
      <c r="W12" s="611"/>
      <c r="X12" s="13"/>
      <c r="Y12" s="13"/>
      <c r="Z12" s="193"/>
      <c r="AA12" s="193"/>
      <c r="AB12" s="193"/>
      <c r="AC12" s="193"/>
      <c r="AD12" s="13"/>
      <c r="AE12" s="13"/>
      <c r="AF12" s="13"/>
      <c r="AG12" s="13"/>
      <c r="AH12" s="13"/>
      <c r="AI12" s="13">
        <v>7012</v>
      </c>
      <c r="AJ12" s="156">
        <f t="shared" ref="AJ12" si="29">AI12/($AI12)</f>
        <v>1</v>
      </c>
      <c r="AK12" s="13">
        <v>7017</v>
      </c>
      <c r="AL12" s="156">
        <f t="shared" ref="AL12:AN12" si="30">AK12/($AI12)</f>
        <v>1.0007130633200227</v>
      </c>
      <c r="AM12" s="13">
        <v>4898</v>
      </c>
      <c r="AN12" s="156">
        <f t="shared" si="30"/>
        <v>0.69851682829435258</v>
      </c>
      <c r="AO12" s="13">
        <v>3010</v>
      </c>
      <c r="AP12" s="156">
        <f t="shared" si="2"/>
        <v>0.42926411865373643</v>
      </c>
      <c r="AQ12" s="13">
        <v>3248</v>
      </c>
      <c r="AR12" s="156">
        <f t="shared" si="2"/>
        <v>0.46320593268682259</v>
      </c>
      <c r="AS12" s="13">
        <v>2957</v>
      </c>
      <c r="AT12" s="156">
        <f t="shared" si="2"/>
        <v>0.42170564746149458</v>
      </c>
      <c r="AU12" s="13">
        <v>2963</v>
      </c>
      <c r="AV12" s="156">
        <f t="shared" si="2"/>
        <v>0.42256132344552194</v>
      </c>
      <c r="AW12" s="13">
        <v>3207</v>
      </c>
      <c r="AX12" s="156">
        <f t="shared" si="2"/>
        <v>0.45735881346263546</v>
      </c>
      <c r="AY12" s="13">
        <v>3556</v>
      </c>
      <c r="AZ12" s="156">
        <f t="shared" si="3"/>
        <v>0.50713063320022822</v>
      </c>
      <c r="BA12" s="2">
        <v>2757</v>
      </c>
      <c r="BB12" s="156">
        <f t="shared" si="3"/>
        <v>0.39318311466058187</v>
      </c>
      <c r="BC12" s="2">
        <v>1479</v>
      </c>
      <c r="BD12" s="156">
        <f t="shared" si="4"/>
        <v>0.21092413006274957</v>
      </c>
      <c r="BE12" s="2">
        <v>1526</v>
      </c>
      <c r="BF12" s="156">
        <f t="shared" si="4"/>
        <v>0.21762692527096406</v>
      </c>
      <c r="BG12" s="2">
        <v>1076</v>
      </c>
      <c r="BH12" s="156">
        <f t="shared" si="4"/>
        <v>0.15345122646891043</v>
      </c>
      <c r="BI12" s="96">
        <v>992</v>
      </c>
      <c r="BJ12" s="96">
        <v>1556</v>
      </c>
      <c r="BK12" s="156">
        <f t="shared" si="5"/>
        <v>0.22190530519110097</v>
      </c>
      <c r="BL12" s="96">
        <v>1564</v>
      </c>
      <c r="BM12" s="156">
        <f t="shared" si="6"/>
        <v>0.22304620650313747</v>
      </c>
      <c r="BN12" s="96">
        <v>1534</v>
      </c>
      <c r="BO12" s="156">
        <f t="shared" si="7"/>
        <v>0.21876782658300056</v>
      </c>
      <c r="BP12" s="96">
        <v>1532</v>
      </c>
      <c r="BQ12" s="156">
        <f t="shared" si="8"/>
        <v>0.21848260125499144</v>
      </c>
      <c r="BR12" s="96">
        <v>1544</v>
      </c>
      <c r="BS12" s="156">
        <f t="shared" si="9"/>
        <v>0.22019395322304622</v>
      </c>
      <c r="BT12" s="96">
        <v>10039</v>
      </c>
      <c r="BU12" s="156">
        <f t="shared" si="10"/>
        <v>1.4316885339418139</v>
      </c>
      <c r="BW12" s="96">
        <v>9929</v>
      </c>
      <c r="BY12" s="96">
        <v>5645</v>
      </c>
      <c r="CA12" s="96">
        <v>11958</v>
      </c>
      <c r="CC12" s="96">
        <v>10355</v>
      </c>
      <c r="CE12" s="96">
        <v>11242</v>
      </c>
      <c r="CG12" s="96">
        <v>13866</v>
      </c>
      <c r="CI12" s="96">
        <v>7416</v>
      </c>
      <c r="CJ12" s="96" t="s">
        <v>1718</v>
      </c>
    </row>
    <row r="13" spans="1:88" s="96" customFormat="1" ht="15.75" hidden="1" customHeight="1">
      <c r="A13" s="777"/>
      <c r="B13" s="589" t="s">
        <v>127</v>
      </c>
      <c r="C13" s="604" t="str">
        <f>E13</f>
        <v>{"dossierInstitution":`p.DossierName5`,"klientschaft":`${p.FamilyName5}, ${p.ManFirstName5}`,"buttonBewilligung":"Anfragen","checkStatus":"In Bearbeitung"}</v>
      </c>
      <c r="D13" s="71"/>
      <c r="E13" s="202" t="str">
        <f>F13&amp;G13&amp;H13&amp;I13&amp;J13&amp;K13&amp;L13&amp;M13&amp;N13&amp;O13&amp;P13&amp;Q13&amp;R13&amp;S13&amp;T13&amp;U13&amp;V13&amp;W13&amp;X13</f>
        <v>{"dossierInstitution":`p.DossierName5`,"klientschaft":`${p.FamilyName5}, ${p.ManFirstName5}`,"buttonBewilligung":"Anfragen","checkStatus":"In Bearbeitung"}</v>
      </c>
      <c r="F13" s="610" t="s">
        <v>335</v>
      </c>
      <c r="G13" s="610" t="str">
        <f>G12</f>
        <v>p.DossierName5</v>
      </c>
      <c r="H13" s="610" t="s">
        <v>336</v>
      </c>
      <c r="I13" s="610" t="str">
        <f>I28</f>
        <v>${p.FamilyName5}, ${p.ManFirstName5}</v>
      </c>
      <c r="J13" s="610" t="s">
        <v>130</v>
      </c>
      <c r="K13" s="635" t="s">
        <v>131</v>
      </c>
      <c r="L13" s="610" t="s">
        <v>132</v>
      </c>
      <c r="M13" s="610" t="s">
        <v>133</v>
      </c>
      <c r="N13" s="610" t="s">
        <v>37</v>
      </c>
      <c r="O13" s="610"/>
      <c r="P13" s="610"/>
      <c r="Q13" s="610"/>
      <c r="R13" s="610"/>
      <c r="S13" s="610"/>
      <c r="T13" s="610"/>
      <c r="U13" s="610"/>
      <c r="V13" s="610"/>
      <c r="W13" s="610"/>
      <c r="X13" s="71"/>
      <c r="Y13" s="71"/>
      <c r="Z13" s="202"/>
      <c r="AA13" s="202"/>
      <c r="AB13" s="202"/>
      <c r="AC13" s="202"/>
      <c r="AD13" s="71"/>
      <c r="AE13" s="71"/>
      <c r="AF13" s="71"/>
      <c r="AG13" s="71"/>
      <c r="AH13" s="71"/>
      <c r="AI13" s="76">
        <v>1788</v>
      </c>
      <c r="AJ13" s="156">
        <f t="shared" ref="AJ13" si="31">AI13/($AI13)</f>
        <v>1</v>
      </c>
      <c r="AK13" s="76">
        <v>1773</v>
      </c>
      <c r="AL13" s="156">
        <f t="shared" ref="AL13:AN13" si="32">AK13/($AI13)</f>
        <v>0.99161073825503354</v>
      </c>
      <c r="AM13" s="71"/>
      <c r="AN13" s="156">
        <f t="shared" si="32"/>
        <v>0</v>
      </c>
      <c r="AO13" s="71"/>
      <c r="AP13" s="156">
        <f t="shared" si="2"/>
        <v>0</v>
      </c>
      <c r="AQ13" s="71"/>
      <c r="AR13" s="156">
        <f t="shared" si="2"/>
        <v>0</v>
      </c>
      <c r="AS13" s="71"/>
      <c r="AT13" s="156">
        <f t="shared" si="2"/>
        <v>0</v>
      </c>
      <c r="AU13" s="71"/>
      <c r="AV13" s="156">
        <f t="shared" si="2"/>
        <v>0</v>
      </c>
      <c r="AW13" s="71"/>
      <c r="AX13" s="156">
        <f t="shared" si="2"/>
        <v>0</v>
      </c>
      <c r="AY13" s="71"/>
      <c r="AZ13" s="156">
        <f t="shared" si="3"/>
        <v>0</v>
      </c>
      <c r="BB13" s="156">
        <f t="shared" si="3"/>
        <v>0</v>
      </c>
      <c r="BD13" s="156">
        <f t="shared" si="4"/>
        <v>0</v>
      </c>
      <c r="BF13" s="156">
        <f t="shared" si="4"/>
        <v>0</v>
      </c>
      <c r="BH13" s="156">
        <f t="shared" si="4"/>
        <v>0</v>
      </c>
      <c r="BK13" s="156">
        <f t="shared" si="5"/>
        <v>0</v>
      </c>
      <c r="BM13" s="156">
        <f t="shared" si="6"/>
        <v>0</v>
      </c>
      <c r="BO13" s="156">
        <f t="shared" si="7"/>
        <v>0</v>
      </c>
      <c r="BQ13" s="156">
        <f t="shared" si="8"/>
        <v>0</v>
      </c>
      <c r="BS13" s="156">
        <f t="shared" si="9"/>
        <v>0</v>
      </c>
      <c r="BU13" s="156">
        <f t="shared" si="10"/>
        <v>0</v>
      </c>
    </row>
    <row r="14" spans="1:88" s="96" customFormat="1" ht="15.75" hidden="1" customHeight="1">
      <c r="A14" s="777"/>
      <c r="B14" s="589" t="s">
        <v>134</v>
      </c>
      <c r="C14" s="604" t="str">
        <f>E14</f>
        <v>{"username":"Bern.Sachbearbeiterin@diartis.ch","password":"XXxa22?pdTA66-S@"}</v>
      </c>
      <c r="D14" s="81"/>
      <c r="E14" s="34" t="str">
        <f>F14&amp;G14&amp;H14&amp;I14&amp;J14&amp;K14&amp;L14&amp;M14&amp;N14&amp;O14&amp;P14&amp;Q14&amp;R14&amp;S14&amp;T14&amp;U14&amp;V14&amp;W14&amp;X14</f>
        <v>{"username":"Bern.Sachbearbeiterin@diartis.ch","password":"XXxa22?pdTA66-S@"}</v>
      </c>
      <c r="F14" s="610" t="s">
        <v>29</v>
      </c>
      <c r="G14" s="632" t="s">
        <v>30</v>
      </c>
      <c r="H14" s="610" t="s">
        <v>31</v>
      </c>
      <c r="I14" s="638" t="s">
        <v>32</v>
      </c>
      <c r="J14" s="610" t="s">
        <v>37</v>
      </c>
      <c r="K14" s="635"/>
      <c r="L14" s="610"/>
      <c r="M14" s="610"/>
      <c r="N14" s="610"/>
      <c r="O14" s="610"/>
      <c r="P14" s="610"/>
      <c r="Q14" s="610"/>
      <c r="R14" s="610"/>
      <c r="S14" s="610"/>
      <c r="T14" s="610"/>
      <c r="U14" s="610"/>
      <c r="V14" s="610"/>
      <c r="W14" s="610"/>
      <c r="X14" s="81"/>
      <c r="Y14" s="81"/>
      <c r="Z14" s="34"/>
      <c r="AA14" s="34"/>
      <c r="AB14" s="34"/>
      <c r="AC14" s="34"/>
      <c r="AD14" s="81"/>
      <c r="AE14" s="81"/>
      <c r="AF14" s="81"/>
      <c r="AG14" s="81"/>
      <c r="AH14" s="81"/>
      <c r="AI14" s="82">
        <v>4006</v>
      </c>
      <c r="AJ14" s="156">
        <f t="shared" ref="AJ14" si="33">AI14/($AI14)</f>
        <v>1</v>
      </c>
      <c r="AK14" s="82">
        <v>4015</v>
      </c>
      <c r="AL14" s="156">
        <f t="shared" ref="AL14:AN14" si="34">AK14/($AI14)</f>
        <v>1.0022466300549175</v>
      </c>
      <c r="AM14" s="81"/>
      <c r="AN14" s="156">
        <f t="shared" si="34"/>
        <v>0</v>
      </c>
      <c r="AO14" s="81"/>
      <c r="AP14" s="156">
        <f t="shared" si="2"/>
        <v>0</v>
      </c>
      <c r="AQ14" s="81"/>
      <c r="AR14" s="156">
        <f t="shared" si="2"/>
        <v>0</v>
      </c>
      <c r="AS14" s="81"/>
      <c r="AT14" s="156">
        <f t="shared" si="2"/>
        <v>0</v>
      </c>
      <c r="AU14" s="81"/>
      <c r="AV14" s="156">
        <f t="shared" si="2"/>
        <v>0</v>
      </c>
      <c r="AW14" s="81"/>
      <c r="AX14" s="156">
        <f t="shared" si="2"/>
        <v>0</v>
      </c>
      <c r="AY14" s="81"/>
      <c r="AZ14" s="156">
        <f t="shared" si="3"/>
        <v>0</v>
      </c>
      <c r="BB14" s="156">
        <f t="shared" si="3"/>
        <v>0</v>
      </c>
      <c r="BD14" s="156">
        <f t="shared" si="4"/>
        <v>0</v>
      </c>
      <c r="BF14" s="156">
        <f t="shared" si="4"/>
        <v>0</v>
      </c>
      <c r="BH14" s="156">
        <f t="shared" si="4"/>
        <v>0</v>
      </c>
      <c r="BK14" s="156">
        <f t="shared" si="5"/>
        <v>0</v>
      </c>
      <c r="BM14" s="156">
        <f t="shared" si="6"/>
        <v>0</v>
      </c>
      <c r="BO14" s="156">
        <f t="shared" si="7"/>
        <v>0</v>
      </c>
      <c r="BQ14" s="156">
        <f t="shared" si="8"/>
        <v>0</v>
      </c>
      <c r="BS14" s="156">
        <f t="shared" si="9"/>
        <v>0</v>
      </c>
      <c r="BU14" s="156">
        <f t="shared" si="10"/>
        <v>0</v>
      </c>
    </row>
    <row r="15" spans="1:88" s="96" customFormat="1" ht="15.75" hidden="1" customHeight="1">
      <c r="A15" s="777"/>
      <c r="B15" s="589" t="s">
        <v>22</v>
      </c>
      <c r="C15" s="603" t="s">
        <v>334</v>
      </c>
      <c r="D15" s="56"/>
      <c r="E15" s="201"/>
      <c r="F15" s="36"/>
      <c r="G15" s="632"/>
      <c r="H15" s="611"/>
      <c r="I15" s="611"/>
      <c r="J15" s="611"/>
      <c r="K15" s="611"/>
      <c r="L15" s="611"/>
      <c r="M15" s="611"/>
      <c r="N15" s="611"/>
      <c r="O15" s="611"/>
      <c r="P15" s="611"/>
      <c r="Q15" s="611"/>
      <c r="R15" s="611"/>
      <c r="S15" s="611"/>
      <c r="T15" s="611"/>
      <c r="U15" s="611"/>
      <c r="V15" s="611"/>
      <c r="W15" s="611"/>
      <c r="X15" s="56"/>
      <c r="Y15" s="56"/>
      <c r="Z15" s="196"/>
      <c r="AA15" s="196"/>
      <c r="AB15" s="196"/>
      <c r="AC15" s="196"/>
      <c r="AD15" s="56"/>
      <c r="AE15" s="56"/>
      <c r="AF15" s="56"/>
      <c r="AG15" s="56"/>
      <c r="AH15" s="56"/>
      <c r="AI15" s="56">
        <v>1797</v>
      </c>
      <c r="AJ15" s="156">
        <f t="shared" ref="AJ15" si="35">AI15/($AI15)</f>
        <v>1</v>
      </c>
      <c r="AK15" s="56">
        <v>2229</v>
      </c>
      <c r="AL15" s="156">
        <f t="shared" ref="AL15:AN15" si="36">AK15/($AI15)</f>
        <v>1.2404006677796326</v>
      </c>
      <c r="AM15" s="56"/>
      <c r="AN15" s="156">
        <f t="shared" si="36"/>
        <v>0</v>
      </c>
      <c r="AO15" s="56"/>
      <c r="AP15" s="156">
        <f t="shared" si="2"/>
        <v>0</v>
      </c>
      <c r="AQ15" s="56"/>
      <c r="AR15" s="156">
        <f t="shared" si="2"/>
        <v>0</v>
      </c>
      <c r="AS15" s="56"/>
      <c r="AT15" s="156">
        <f t="shared" si="2"/>
        <v>0</v>
      </c>
      <c r="AU15" s="56"/>
      <c r="AV15" s="156">
        <f t="shared" si="2"/>
        <v>0</v>
      </c>
      <c r="AW15" s="56"/>
      <c r="AX15" s="156">
        <f t="shared" si="2"/>
        <v>0</v>
      </c>
      <c r="AY15" s="56"/>
      <c r="AZ15" s="156">
        <f t="shared" si="3"/>
        <v>0</v>
      </c>
      <c r="BB15" s="156">
        <f t="shared" si="3"/>
        <v>0</v>
      </c>
      <c r="BD15" s="156">
        <f t="shared" si="4"/>
        <v>0</v>
      </c>
      <c r="BF15" s="156">
        <f t="shared" si="4"/>
        <v>0</v>
      </c>
      <c r="BH15" s="156">
        <f t="shared" si="4"/>
        <v>0</v>
      </c>
      <c r="BK15" s="156">
        <f t="shared" si="5"/>
        <v>0</v>
      </c>
      <c r="BM15" s="156">
        <f t="shared" si="6"/>
        <v>0</v>
      </c>
      <c r="BO15" s="156">
        <f t="shared" si="7"/>
        <v>0</v>
      </c>
      <c r="BQ15" s="156">
        <f t="shared" si="8"/>
        <v>0</v>
      </c>
      <c r="BS15" s="156">
        <f t="shared" si="9"/>
        <v>0</v>
      </c>
      <c r="BU15" s="156">
        <f t="shared" si="10"/>
        <v>0</v>
      </c>
    </row>
    <row r="16" spans="1:88" s="96" customFormat="1" ht="15.75" hidden="1" customHeight="1">
      <c r="A16" s="777"/>
      <c r="B16" s="589" t="s">
        <v>127</v>
      </c>
      <c r="C16" s="604" t="str">
        <f>E16</f>
        <v>{"dossierInstitution":`p.DossierName5`,"klientschaft":`${p.FamilyName5}, ${p.ManFirstName5}`,"buttonBewilligung":"Bewilligen","checkStatus":"Bewilligt"}</v>
      </c>
      <c r="D16" s="71"/>
      <c r="E16" s="202" t="str">
        <f t="shared" ref="E16:E24" si="37">F16&amp;G16&amp;H16&amp;I16&amp;J16&amp;K16&amp;L16&amp;M16&amp;N16&amp;O16&amp;P16&amp;Q16&amp;R16&amp;S16&amp;T16&amp;U16&amp;V16&amp;W16&amp;X16</f>
        <v>{"dossierInstitution":`p.DossierName5`,"klientschaft":`${p.FamilyName5}, ${p.ManFirstName5}`,"buttonBewilligung":"Bewilligen","checkStatus":"Bewilligt"}</v>
      </c>
      <c r="F16" s="610" t="s">
        <v>335</v>
      </c>
      <c r="G16" s="610" t="str">
        <f>G13</f>
        <v>p.DossierName5</v>
      </c>
      <c r="H16" s="610" t="s">
        <v>336</v>
      </c>
      <c r="I16" s="610" t="str">
        <f>I28</f>
        <v>${p.FamilyName5}, ${p.ManFirstName5}</v>
      </c>
      <c r="J16" s="610" t="s">
        <v>130</v>
      </c>
      <c r="K16" s="635" t="s">
        <v>136</v>
      </c>
      <c r="L16" s="610" t="s">
        <v>132</v>
      </c>
      <c r="M16" s="610" t="s">
        <v>137</v>
      </c>
      <c r="N16" s="610" t="s">
        <v>37</v>
      </c>
      <c r="O16" s="610"/>
      <c r="P16" s="610"/>
      <c r="Q16" s="610"/>
      <c r="R16" s="610"/>
      <c r="S16" s="610"/>
      <c r="T16" s="610"/>
      <c r="U16" s="610"/>
      <c r="V16" s="610"/>
      <c r="W16" s="610"/>
      <c r="X16" s="71"/>
      <c r="Y16" s="71"/>
      <c r="Z16" s="202"/>
      <c r="AA16" s="202"/>
      <c r="AB16" s="202"/>
      <c r="AC16" s="202"/>
      <c r="AD16" s="71"/>
      <c r="AE16" s="71"/>
      <c r="AF16" s="71"/>
      <c r="AG16" s="71"/>
      <c r="AH16" s="71"/>
      <c r="AI16" s="76">
        <v>4018</v>
      </c>
      <c r="AJ16" s="156">
        <f t="shared" ref="AJ16" si="38">AI16/($AI16)</f>
        <v>1</v>
      </c>
      <c r="AK16" s="76">
        <v>4012</v>
      </c>
      <c r="AL16" s="156">
        <f t="shared" ref="AL16:AN16" si="39">AK16/($AI16)</f>
        <v>0.99850671976107519</v>
      </c>
      <c r="AM16" s="71"/>
      <c r="AN16" s="156">
        <f t="shared" si="39"/>
        <v>0</v>
      </c>
      <c r="AO16" s="71"/>
      <c r="AP16" s="156">
        <f t="shared" si="2"/>
        <v>0</v>
      </c>
      <c r="AQ16" s="71"/>
      <c r="AR16" s="156">
        <f t="shared" si="2"/>
        <v>0</v>
      </c>
      <c r="AS16" s="71"/>
      <c r="AT16" s="156">
        <f t="shared" si="2"/>
        <v>0</v>
      </c>
      <c r="AU16" s="71"/>
      <c r="AV16" s="156">
        <f t="shared" si="2"/>
        <v>0</v>
      </c>
      <c r="AW16" s="71"/>
      <c r="AX16" s="156">
        <f t="shared" si="2"/>
        <v>0</v>
      </c>
      <c r="AY16" s="71"/>
      <c r="AZ16" s="156">
        <f t="shared" si="3"/>
        <v>0</v>
      </c>
      <c r="BB16" s="156">
        <f t="shared" si="3"/>
        <v>0</v>
      </c>
      <c r="BD16" s="156">
        <f t="shared" si="4"/>
        <v>0</v>
      </c>
      <c r="BF16" s="156">
        <f t="shared" si="4"/>
        <v>0</v>
      </c>
      <c r="BH16" s="156">
        <f t="shared" si="4"/>
        <v>0</v>
      </c>
      <c r="BK16" s="156">
        <f t="shared" si="5"/>
        <v>0</v>
      </c>
      <c r="BM16" s="156">
        <f t="shared" si="6"/>
        <v>0</v>
      </c>
      <c r="BO16" s="156">
        <f t="shared" si="7"/>
        <v>0</v>
      </c>
      <c r="BQ16" s="156">
        <f t="shared" si="8"/>
        <v>0</v>
      </c>
      <c r="BS16" s="156">
        <f t="shared" si="9"/>
        <v>0</v>
      </c>
      <c r="BU16" s="156">
        <f t="shared" si="10"/>
        <v>0</v>
      </c>
    </row>
    <row r="17" spans="1:88" ht="15.75" hidden="1" customHeight="1">
      <c r="A17" s="777"/>
      <c r="B17" s="589" t="s">
        <v>134</v>
      </c>
      <c r="C17" s="605" t="s">
        <v>138</v>
      </c>
      <c r="E17" s="4" t="str">
        <f t="shared" si="37"/>
        <v>{"username":"Bern.Sachbearbeiterin@diartis.ch","password":"XXxa22?pdTA66-S@"}</v>
      </c>
      <c r="F17" s="610" t="s">
        <v>29</v>
      </c>
      <c r="G17" s="36" t="s">
        <v>30</v>
      </c>
      <c r="H17" s="610" t="s">
        <v>31</v>
      </c>
      <c r="I17" s="36" t="s">
        <v>32</v>
      </c>
      <c r="J17" s="610" t="s">
        <v>37</v>
      </c>
      <c r="AI17" s="2">
        <v>1748</v>
      </c>
      <c r="AJ17" s="156">
        <f t="shared" ref="AJ17" si="40">AI17/($AI17)</f>
        <v>1</v>
      </c>
      <c r="AK17" s="2">
        <v>1829</v>
      </c>
      <c r="AL17" s="156">
        <f t="shared" ref="AL17:AN17" si="41">AK17/($AI17)</f>
        <v>1.0463386727688788</v>
      </c>
      <c r="AN17" s="156">
        <f t="shared" si="41"/>
        <v>0</v>
      </c>
      <c r="AP17" s="156">
        <f t="shared" si="2"/>
        <v>0</v>
      </c>
      <c r="AR17" s="156">
        <f t="shared" si="2"/>
        <v>0</v>
      </c>
      <c r="AT17" s="156">
        <f t="shared" si="2"/>
        <v>0</v>
      </c>
      <c r="AV17" s="156">
        <f t="shared" si="2"/>
        <v>0</v>
      </c>
      <c r="AX17" s="156">
        <f t="shared" si="2"/>
        <v>0</v>
      </c>
      <c r="AZ17" s="156">
        <f t="shared" si="3"/>
        <v>0</v>
      </c>
      <c r="BB17" s="156">
        <f t="shared" si="3"/>
        <v>0</v>
      </c>
      <c r="BD17" s="156">
        <f t="shared" si="4"/>
        <v>0</v>
      </c>
      <c r="BF17" s="156">
        <f t="shared" si="4"/>
        <v>0</v>
      </c>
      <c r="BH17" s="156">
        <f t="shared" si="4"/>
        <v>0</v>
      </c>
      <c r="BK17" s="156">
        <f t="shared" si="5"/>
        <v>0</v>
      </c>
      <c r="BM17" s="156">
        <f t="shared" si="6"/>
        <v>0</v>
      </c>
      <c r="BO17" s="156">
        <f t="shared" si="7"/>
        <v>0</v>
      </c>
      <c r="BQ17" s="156">
        <f t="shared" si="8"/>
        <v>0</v>
      </c>
      <c r="BS17" s="156">
        <f t="shared" si="9"/>
        <v>0</v>
      </c>
      <c r="BU17" s="156">
        <f t="shared" si="10"/>
        <v>0</v>
      </c>
    </row>
    <row r="18" spans="1:88" s="96" customFormat="1" ht="15.75" hidden="1" customHeight="1">
      <c r="A18" s="777"/>
      <c r="B18" s="589" t="s">
        <v>139</v>
      </c>
      <c r="C18" s="603" t="str">
        <f>E18</f>
        <v>{"searchDossierOrKlient":p.DossierName5,"resultType":"Dossiers"}</v>
      </c>
      <c r="D18" s="90"/>
      <c r="E18" s="204" t="str">
        <f t="shared" si="37"/>
        <v>{"searchDossierOrKlient":p.DossierName5,"resultType":"Dossiers"}</v>
      </c>
      <c r="F18" s="610" t="s">
        <v>140</v>
      </c>
      <c r="G18" s="610" t="str">
        <f>G16</f>
        <v>p.DossierName5</v>
      </c>
      <c r="H18" s="610" t="s">
        <v>141</v>
      </c>
      <c r="I18" s="611" t="s">
        <v>142</v>
      </c>
      <c r="J18" s="610" t="s">
        <v>37</v>
      </c>
      <c r="K18" s="611"/>
      <c r="L18" s="610"/>
      <c r="M18" s="611"/>
      <c r="N18" s="610"/>
      <c r="O18" s="611"/>
      <c r="P18" s="610"/>
      <c r="Q18" s="611"/>
      <c r="R18" s="610"/>
      <c r="S18" s="611"/>
      <c r="T18" s="610"/>
      <c r="U18" s="611"/>
      <c r="V18" s="610"/>
      <c r="W18" s="611"/>
      <c r="X18" s="90"/>
      <c r="Y18" s="90"/>
      <c r="Z18" s="204"/>
      <c r="AA18" s="204"/>
      <c r="AB18" s="204"/>
      <c r="AC18" s="204"/>
      <c r="AD18" s="90"/>
      <c r="AE18" s="90"/>
      <c r="AF18" s="90"/>
      <c r="AG18" s="90"/>
      <c r="AH18" s="90"/>
      <c r="AI18" s="90">
        <v>4011</v>
      </c>
      <c r="AJ18" s="156">
        <f t="shared" ref="AJ18" si="42">AI18/($AI18)</f>
        <v>1</v>
      </c>
      <c r="AK18" s="90">
        <v>4020</v>
      </c>
      <c r="AL18" s="156">
        <f t="shared" ref="AL18:AN18" si="43">AK18/($AI18)</f>
        <v>1.0022438294689604</v>
      </c>
      <c r="AM18" s="90"/>
      <c r="AN18" s="156">
        <f t="shared" si="43"/>
        <v>0</v>
      </c>
      <c r="AO18" s="90"/>
      <c r="AP18" s="156">
        <f t="shared" si="2"/>
        <v>0</v>
      </c>
      <c r="AQ18" s="90"/>
      <c r="AR18" s="156">
        <f t="shared" si="2"/>
        <v>0</v>
      </c>
      <c r="AS18" s="90"/>
      <c r="AT18" s="156">
        <f t="shared" si="2"/>
        <v>0</v>
      </c>
      <c r="AU18" s="90"/>
      <c r="AV18" s="156">
        <f t="shared" si="2"/>
        <v>0</v>
      </c>
      <c r="AW18" s="90"/>
      <c r="AX18" s="156">
        <f t="shared" si="2"/>
        <v>0</v>
      </c>
      <c r="AY18" s="90"/>
      <c r="AZ18" s="156">
        <f t="shared" si="3"/>
        <v>0</v>
      </c>
      <c r="BB18" s="156">
        <f t="shared" si="3"/>
        <v>0</v>
      </c>
      <c r="BD18" s="156">
        <f t="shared" si="4"/>
        <v>0</v>
      </c>
      <c r="BF18" s="156">
        <f t="shared" si="4"/>
        <v>0</v>
      </c>
      <c r="BH18" s="156">
        <f t="shared" si="4"/>
        <v>0</v>
      </c>
      <c r="BK18" s="156">
        <f t="shared" si="5"/>
        <v>0</v>
      </c>
      <c r="BM18" s="156">
        <f t="shared" si="6"/>
        <v>0</v>
      </c>
      <c r="BO18" s="156">
        <f t="shared" si="7"/>
        <v>0</v>
      </c>
      <c r="BQ18" s="156">
        <f t="shared" si="8"/>
        <v>0</v>
      </c>
      <c r="BS18" s="156">
        <f t="shared" si="9"/>
        <v>0</v>
      </c>
      <c r="BU18" s="156">
        <f t="shared" si="10"/>
        <v>0</v>
      </c>
    </row>
    <row r="19" spans="1:88" s="96" customFormat="1" ht="15.75" customHeight="1" thickBot="1">
      <c r="A19" s="777">
        <v>14</v>
      </c>
      <c r="B19" s="589" t="s">
        <v>143</v>
      </c>
      <c r="C19" s="604" t="str">
        <f>E19</f>
        <v>{"vermieter":"Graber Immobilien","wohnungsgrosse":"4 Zimmer","mietkosten":1200,"nebenkosten":100}</v>
      </c>
      <c r="D19" s="13"/>
      <c r="E19" s="193" t="str">
        <f t="shared" si="37"/>
        <v>{"vermieter":"Graber Immobilien","wohnungsgrosse":"4 Zimmer","mietkosten":1200,"nebenkosten":100}</v>
      </c>
      <c r="F19" s="610" t="s">
        <v>144</v>
      </c>
      <c r="G19" s="610" t="s">
        <v>145</v>
      </c>
      <c r="H19" s="610" t="s">
        <v>146</v>
      </c>
      <c r="I19" s="611" t="s">
        <v>147</v>
      </c>
      <c r="J19" s="610" t="s">
        <v>148</v>
      </c>
      <c r="K19" s="611">
        <v>1200</v>
      </c>
      <c r="L19" s="610" t="s">
        <v>149</v>
      </c>
      <c r="M19" s="611">
        <v>100</v>
      </c>
      <c r="N19" s="610" t="s">
        <v>109</v>
      </c>
      <c r="O19" s="611"/>
      <c r="P19" s="610"/>
      <c r="Q19" s="611"/>
      <c r="R19" s="610"/>
      <c r="S19" s="611"/>
      <c r="T19" s="610"/>
      <c r="U19" s="611"/>
      <c r="V19" s="610"/>
      <c r="W19" s="611"/>
      <c r="X19" s="13"/>
      <c r="Y19" s="13"/>
      <c r="Z19" s="193"/>
      <c r="AA19" s="193"/>
      <c r="AB19" s="193"/>
      <c r="AC19" s="193"/>
      <c r="AD19" s="13"/>
      <c r="AE19" s="13"/>
      <c r="AF19" s="13"/>
      <c r="AG19" s="13"/>
      <c r="AH19" s="13"/>
      <c r="AI19" s="13">
        <v>8685</v>
      </c>
      <c r="AJ19" s="156">
        <f t="shared" ref="AJ19" si="44">AI19/($AI19)</f>
        <v>1</v>
      </c>
      <c r="AK19" s="13">
        <v>10368</v>
      </c>
      <c r="AL19" s="156">
        <f t="shared" ref="AL19:AN19" si="45">AK19/($AI19)</f>
        <v>1.193782383419689</v>
      </c>
      <c r="AM19" s="13">
        <v>3153</v>
      </c>
      <c r="AN19" s="156">
        <f t="shared" si="45"/>
        <v>0.36303972366148529</v>
      </c>
      <c r="AO19" s="13">
        <v>4682</v>
      </c>
      <c r="AP19" s="156">
        <f t="shared" si="2"/>
        <v>0.53909038572251011</v>
      </c>
      <c r="AQ19" s="13">
        <v>5876</v>
      </c>
      <c r="AR19" s="156">
        <f t="shared" si="2"/>
        <v>0.67656879677605064</v>
      </c>
      <c r="AS19" s="13">
        <v>6475</v>
      </c>
      <c r="AT19" s="156">
        <f t="shared" si="2"/>
        <v>0.74553828439838798</v>
      </c>
      <c r="AU19" s="13">
        <v>4621</v>
      </c>
      <c r="AV19" s="156">
        <f t="shared" si="2"/>
        <v>0.5320667818077145</v>
      </c>
      <c r="AW19" s="13">
        <v>4648</v>
      </c>
      <c r="AX19" s="156">
        <f t="shared" si="2"/>
        <v>0.53517559009786986</v>
      </c>
      <c r="AY19" s="13">
        <v>5536</v>
      </c>
      <c r="AZ19" s="156">
        <f t="shared" si="3"/>
        <v>0.63742084052964887</v>
      </c>
      <c r="BA19" s="2">
        <v>4118</v>
      </c>
      <c r="BB19" s="156">
        <f t="shared" si="3"/>
        <v>0.47415083477259645</v>
      </c>
      <c r="BC19" s="2">
        <v>4151</v>
      </c>
      <c r="BD19" s="156">
        <f t="shared" si="4"/>
        <v>0.47795048934945306</v>
      </c>
      <c r="BE19" s="2">
        <v>4871</v>
      </c>
      <c r="BF19" s="156">
        <f t="shared" si="4"/>
        <v>0.56085204375359821</v>
      </c>
      <c r="BG19" s="2">
        <v>4496</v>
      </c>
      <c r="BH19" s="156">
        <f t="shared" si="4"/>
        <v>0.51767415083477264</v>
      </c>
      <c r="BI19" s="96">
        <v>5495</v>
      </c>
      <c r="BJ19" s="96">
        <v>15533</v>
      </c>
      <c r="BK19" s="156">
        <f t="shared" si="5"/>
        <v>1.7884858952216465</v>
      </c>
      <c r="BL19" s="96">
        <v>12693</v>
      </c>
      <c r="BM19" s="156">
        <f t="shared" si="6"/>
        <v>1.4614853195164077</v>
      </c>
      <c r="BN19" s="96">
        <v>11286</v>
      </c>
      <c r="BO19" s="156">
        <f t="shared" si="7"/>
        <v>1.299481865284974</v>
      </c>
      <c r="BP19" s="96">
        <v>12234</v>
      </c>
      <c r="BQ19" s="156">
        <f t="shared" si="8"/>
        <v>1.4086355785837652</v>
      </c>
      <c r="BR19" s="96">
        <v>10230</v>
      </c>
      <c r="BS19" s="156">
        <f t="shared" si="9"/>
        <v>1.1778929188255614</v>
      </c>
      <c r="BT19" s="96">
        <v>9031</v>
      </c>
      <c r="BU19" s="156">
        <f t="shared" si="10"/>
        <v>1.0398388025331031</v>
      </c>
      <c r="BW19" s="96">
        <v>4316</v>
      </c>
      <c r="BY19" s="96">
        <v>2944</v>
      </c>
      <c r="CA19" s="96">
        <v>6198</v>
      </c>
      <c r="CC19" s="96">
        <v>4031</v>
      </c>
      <c r="CE19" s="96">
        <v>6193</v>
      </c>
      <c r="CG19" s="96">
        <v>3506</v>
      </c>
      <c r="CI19" s="96">
        <v>2853</v>
      </c>
      <c r="CJ19" s="96" t="s">
        <v>1718</v>
      </c>
    </row>
    <row r="20" spans="1:88" s="96" customFormat="1" ht="18" customHeight="1" thickBot="1">
      <c r="A20" s="777">
        <v>15</v>
      </c>
      <c r="B20" s="589" t="s">
        <v>150</v>
      </c>
      <c r="C20" s="606" t="str">
        <f ca="1">E20</f>
        <v>{"name":p.FamilyName5,"vorname":p.WomanFirstName5,"geburtsdatum":p.BirthdayAdult6,"ahvNumber":p.AHVNumber18,"personInhausltVon":"01.11.2025","inHauslt":"Übernehmen","ereignis":"Eheschliessung"}</v>
      </c>
      <c r="D20" s="13"/>
      <c r="E20" s="193" t="str">
        <f t="shared" ca="1" si="37"/>
        <v>{"name":p.FamilyName5,"vorname":p.WomanFirstName5,"geburtsdatum":p.BirthdayAdult6,"ahvNumber":p.AHVNumber18,"personInhausltVon":"01.11.2025","inHauslt":"Übernehmen","ereignis":"Eheschliessung"}</v>
      </c>
      <c r="F20" s="610" t="s">
        <v>78</v>
      </c>
      <c r="G20" s="610" t="str">
        <f>G$135</f>
        <v>p.FamilyName5</v>
      </c>
      <c r="H20" s="610" t="s">
        <v>79</v>
      </c>
      <c r="I20" s="610" t="str">
        <f>H135</f>
        <v>p.WomanFirstName5</v>
      </c>
      <c r="J20" s="610" t="s">
        <v>151</v>
      </c>
      <c r="K20" s="635" t="str">
        <f>J135</f>
        <v>p.BirthdayAdult6</v>
      </c>
      <c r="L20" s="610" t="s">
        <v>83</v>
      </c>
      <c r="M20" s="610" t="str">
        <f>I135</f>
        <v>p.AHVNumber18</v>
      </c>
      <c r="N20" s="610" t="s">
        <v>152</v>
      </c>
      <c r="O20" s="636" t="str">
        <f ca="1">"01."&amp;MONTH(TODAY())&amp;"."&amp;YEAR(TODAY())</f>
        <v>01.11.2025</v>
      </c>
      <c r="P20" s="610" t="s">
        <v>153</v>
      </c>
      <c r="Q20" s="611" t="s">
        <v>154</v>
      </c>
      <c r="R20" s="610" t="s">
        <v>155</v>
      </c>
      <c r="S20" s="611" t="s">
        <v>156</v>
      </c>
      <c r="T20" s="610" t="s">
        <v>37</v>
      </c>
      <c r="U20" s="611"/>
      <c r="V20" s="610"/>
      <c r="W20" s="611"/>
      <c r="X20" s="13"/>
      <c r="Y20" s="13"/>
      <c r="Z20" s="193"/>
      <c r="AA20" s="193"/>
      <c r="AB20" s="193"/>
      <c r="AC20" s="193"/>
      <c r="AD20" s="13"/>
      <c r="AE20" s="13"/>
      <c r="AF20" s="13"/>
      <c r="AG20" s="13"/>
      <c r="AH20" s="13"/>
      <c r="AI20" s="13">
        <v>8844</v>
      </c>
      <c r="AJ20" s="156">
        <f t="shared" ref="AJ20" si="46">AI20/($AI20)</f>
        <v>1</v>
      </c>
      <c r="AK20" s="13">
        <v>8726</v>
      </c>
      <c r="AL20" s="156">
        <f t="shared" ref="AL20:AN20" si="47">AK20/($AI20)</f>
        <v>0.9866576209859792</v>
      </c>
      <c r="AM20" s="13">
        <v>4565</v>
      </c>
      <c r="AN20" s="156">
        <f t="shared" si="47"/>
        <v>0.51616915422885568</v>
      </c>
      <c r="AO20" s="13">
        <v>5807</v>
      </c>
      <c r="AP20" s="156">
        <f t="shared" si="2"/>
        <v>0.6566033469018544</v>
      </c>
      <c r="AQ20" s="13">
        <v>5986</v>
      </c>
      <c r="AR20" s="156">
        <f t="shared" si="2"/>
        <v>0.67684305744007234</v>
      </c>
      <c r="AS20" s="13">
        <v>5790</v>
      </c>
      <c r="AT20" s="156">
        <f t="shared" si="2"/>
        <v>0.65468113975576658</v>
      </c>
      <c r="AU20" s="13">
        <v>5700</v>
      </c>
      <c r="AV20" s="156">
        <f t="shared" si="2"/>
        <v>0.64450474898236088</v>
      </c>
      <c r="AW20" s="13">
        <v>6109</v>
      </c>
      <c r="AX20" s="156">
        <f t="shared" si="2"/>
        <v>0.6907507914970602</v>
      </c>
      <c r="AY20" s="13">
        <v>5472</v>
      </c>
      <c r="AZ20" s="156">
        <f t="shared" si="3"/>
        <v>0.61872455902306644</v>
      </c>
      <c r="BA20" s="2">
        <v>4520</v>
      </c>
      <c r="BB20" s="156">
        <f t="shared" si="3"/>
        <v>0.51108095884215288</v>
      </c>
      <c r="BC20" s="2">
        <v>2144</v>
      </c>
      <c r="BD20" s="156">
        <f t="shared" si="4"/>
        <v>0.24242424242424243</v>
      </c>
      <c r="BE20" s="2">
        <v>2385</v>
      </c>
      <c r="BF20" s="156">
        <f t="shared" si="4"/>
        <v>0.26967435549525104</v>
      </c>
      <c r="BG20" s="2">
        <v>2301</v>
      </c>
      <c r="BH20" s="156">
        <f t="shared" si="4"/>
        <v>0.26017639077340571</v>
      </c>
      <c r="BI20" s="96">
        <v>2527</v>
      </c>
      <c r="BJ20" s="96">
        <v>2383</v>
      </c>
      <c r="BK20" s="156">
        <f t="shared" si="5"/>
        <v>0.26944821347806425</v>
      </c>
      <c r="BL20" s="96">
        <v>2346</v>
      </c>
      <c r="BM20" s="156">
        <f t="shared" si="6"/>
        <v>0.26526458616010856</v>
      </c>
      <c r="BN20" s="96">
        <v>2287</v>
      </c>
      <c r="BO20" s="156">
        <f t="shared" si="7"/>
        <v>0.25859339665309816</v>
      </c>
      <c r="BP20" s="96">
        <v>2434</v>
      </c>
      <c r="BQ20" s="156">
        <f t="shared" si="8"/>
        <v>0.27521483491632748</v>
      </c>
      <c r="BR20" s="96">
        <v>2195</v>
      </c>
      <c r="BS20" s="156">
        <f t="shared" si="9"/>
        <v>0.24819086386250566</v>
      </c>
      <c r="BT20" s="96">
        <v>2120</v>
      </c>
      <c r="BU20" s="156">
        <f t="shared" si="10"/>
        <v>0.2397105382180009</v>
      </c>
      <c r="BW20" s="96">
        <v>1725</v>
      </c>
      <c r="BY20" s="96">
        <v>2836</v>
      </c>
      <c r="CA20" s="96">
        <v>4845</v>
      </c>
      <c r="CC20" s="96">
        <v>3827</v>
      </c>
      <c r="CE20" s="96">
        <v>3784</v>
      </c>
      <c r="CG20" s="96">
        <v>5124</v>
      </c>
      <c r="CI20" s="96">
        <v>2356</v>
      </c>
      <c r="CJ20" s="96" t="s">
        <v>1718</v>
      </c>
    </row>
    <row r="21" spans="1:88" s="96" customFormat="1" ht="15.75" customHeight="1">
      <c r="A21" s="777">
        <v>17</v>
      </c>
      <c r="B21" s="589" t="s">
        <v>150</v>
      </c>
      <c r="C21" s="606" t="str">
        <f ca="1">E21</f>
        <v>{"name":p.FamilyName5,"vorname":p.GirlFirstName5,"geburtsdatum":p.BirthdayKid5,"ahvNumber":p.AHVNumber19,"personInhausltVon":"01.11.2025","inHauslt":"Übernehmen","ereignis":"Geburt"}</v>
      </c>
      <c r="D21" s="13"/>
      <c r="E21" s="193" t="str">
        <f t="shared" ca="1" si="37"/>
        <v>{"name":p.FamilyName5,"vorname":p.GirlFirstName5,"geburtsdatum":p.BirthdayKid5,"ahvNumber":p.AHVNumber19,"personInhausltVon":"01.11.2025","inHauslt":"Übernehmen","ereignis":"Geburt"}</v>
      </c>
      <c r="F21" s="610" t="s">
        <v>78</v>
      </c>
      <c r="G21" s="610" t="str">
        <f>G$135</f>
        <v>p.FamilyName5</v>
      </c>
      <c r="H21" s="610" t="s">
        <v>79</v>
      </c>
      <c r="I21" s="610" t="str">
        <f>H136</f>
        <v>p.GirlFirstName5</v>
      </c>
      <c r="J21" s="610" t="s">
        <v>151</v>
      </c>
      <c r="K21" s="635" t="str">
        <f>J136</f>
        <v>p.BirthdayKid5</v>
      </c>
      <c r="L21" s="610" t="s">
        <v>83</v>
      </c>
      <c r="M21" s="610" t="str">
        <f>I136</f>
        <v>p.AHVNumber19</v>
      </c>
      <c r="N21" s="610" t="s">
        <v>152</v>
      </c>
      <c r="O21" s="636" t="str">
        <f ca="1">"01."&amp;MONTH(TODAY())&amp;"."&amp;YEAR(TODAY())</f>
        <v>01.11.2025</v>
      </c>
      <c r="P21" s="610" t="s">
        <v>153</v>
      </c>
      <c r="Q21" s="611" t="s">
        <v>154</v>
      </c>
      <c r="R21" s="610" t="s">
        <v>155</v>
      </c>
      <c r="S21" s="611" t="s">
        <v>157</v>
      </c>
      <c r="T21" s="610" t="s">
        <v>37</v>
      </c>
      <c r="U21" s="611"/>
      <c r="V21" s="610"/>
      <c r="W21" s="611"/>
      <c r="X21" s="13"/>
      <c r="Y21" s="13"/>
      <c r="Z21" s="193"/>
      <c r="AA21" s="193"/>
      <c r="AB21" s="193"/>
      <c r="AC21" s="193"/>
      <c r="AD21" s="13"/>
      <c r="AE21" s="13"/>
      <c r="AF21" s="13"/>
      <c r="AG21" s="13"/>
      <c r="AH21" s="13"/>
      <c r="AI21" s="13">
        <v>8542</v>
      </c>
      <c r="AJ21" s="156">
        <f t="shared" ref="AJ21" si="48">AI21/($AI21)</f>
        <v>1</v>
      </c>
      <c r="AK21" s="13">
        <v>8862</v>
      </c>
      <c r="AL21" s="156">
        <f t="shared" ref="AL21:AN21" si="49">AK21/($AI21)</f>
        <v>1.0374619527042848</v>
      </c>
      <c r="AM21" s="13">
        <v>3705</v>
      </c>
      <c r="AN21" s="156">
        <f t="shared" si="49"/>
        <v>0.43373917115429644</v>
      </c>
      <c r="AO21" s="13">
        <v>5071</v>
      </c>
      <c r="AP21" s="156">
        <f t="shared" si="2"/>
        <v>0.59365488176071179</v>
      </c>
      <c r="AQ21" s="13">
        <v>5779</v>
      </c>
      <c r="AR21" s="156">
        <f t="shared" si="2"/>
        <v>0.67653945211894173</v>
      </c>
      <c r="AS21" s="13">
        <v>5423</v>
      </c>
      <c r="AT21" s="156">
        <f t="shared" si="2"/>
        <v>0.63486302973542497</v>
      </c>
      <c r="AU21" s="13">
        <v>4801</v>
      </c>
      <c r="AV21" s="156">
        <f t="shared" si="2"/>
        <v>0.5620463591664715</v>
      </c>
      <c r="AW21" s="13">
        <v>5220</v>
      </c>
      <c r="AX21" s="156">
        <f t="shared" si="2"/>
        <v>0.61109810348864435</v>
      </c>
      <c r="AY21" s="13">
        <v>4980</v>
      </c>
      <c r="AZ21" s="156">
        <f t="shared" si="3"/>
        <v>0.58300163896043078</v>
      </c>
      <c r="BA21" s="2">
        <v>4269</v>
      </c>
      <c r="BB21" s="156">
        <f t="shared" si="3"/>
        <v>0.4997658627955982</v>
      </c>
      <c r="BC21" s="2">
        <v>2421</v>
      </c>
      <c r="BD21" s="156">
        <f t="shared" si="4"/>
        <v>0.28342308592835402</v>
      </c>
      <c r="BE21" s="2">
        <v>3227</v>
      </c>
      <c r="BF21" s="156">
        <f t="shared" si="4"/>
        <v>0.37778037930227115</v>
      </c>
      <c r="BG21" s="2">
        <v>3336</v>
      </c>
      <c r="BH21" s="156">
        <f t="shared" si="4"/>
        <v>0.39054085694216811</v>
      </c>
      <c r="BI21" s="96">
        <v>3140</v>
      </c>
      <c r="BJ21" s="96">
        <v>6228</v>
      </c>
      <c r="BK21" s="156">
        <f t="shared" si="5"/>
        <v>0.7291032545071412</v>
      </c>
      <c r="BL21" s="96">
        <v>5874</v>
      </c>
      <c r="BM21" s="156">
        <f t="shared" si="6"/>
        <v>0.68766096932802623</v>
      </c>
      <c r="BN21" s="96">
        <v>6582</v>
      </c>
      <c r="BO21" s="156">
        <f t="shared" si="7"/>
        <v>0.77054553968625616</v>
      </c>
      <c r="BP21" s="96">
        <v>5522</v>
      </c>
      <c r="BQ21" s="156">
        <f t="shared" si="8"/>
        <v>0.64645282135331306</v>
      </c>
      <c r="BR21" s="96">
        <v>3740</v>
      </c>
      <c r="BS21" s="156">
        <f t="shared" si="9"/>
        <v>0.43783657223132755</v>
      </c>
      <c r="BT21" s="96">
        <v>5172</v>
      </c>
      <c r="BU21" s="156">
        <f t="shared" si="10"/>
        <v>0.60547881058300168</v>
      </c>
      <c r="BW21" s="96">
        <v>3881</v>
      </c>
      <c r="BY21" s="96">
        <v>2557</v>
      </c>
      <c r="CA21" s="96">
        <v>3171</v>
      </c>
      <c r="CC21" s="96">
        <v>3878</v>
      </c>
      <c r="CE21" s="96">
        <v>2722</v>
      </c>
      <c r="CG21" s="96">
        <v>1723</v>
      </c>
      <c r="CI21" s="96">
        <v>2445</v>
      </c>
      <c r="CJ21" s="96" t="s">
        <v>1718</v>
      </c>
    </row>
    <row r="22" spans="1:88" s="96" customFormat="1" ht="15.75" customHeight="1">
      <c r="A22" s="777">
        <v>19</v>
      </c>
      <c r="B22" s="589" t="s">
        <v>150</v>
      </c>
      <c r="C22" s="606" t="str">
        <f ca="1">E22</f>
        <v>{"name":p.FamilyName5,"vorname":p.ManFirstName6,"geburtsdatum":p.BirthdayKid6,"ahvNumber":p.AHVNumber20,"personInhausltVon":"01.11.2025","inHauslt":"Übernehmen","ereignis":"Geburt"}</v>
      </c>
      <c r="D22" s="13"/>
      <c r="E22" s="193" t="str">
        <f t="shared" ca="1" si="37"/>
        <v>{"name":p.FamilyName5,"vorname":p.ManFirstName6,"geburtsdatum":p.BirthdayKid6,"ahvNumber":p.AHVNumber20,"personInhausltVon":"01.11.2025","inHauslt":"Übernehmen","ereignis":"Geburt"}</v>
      </c>
      <c r="F22" s="610" t="s">
        <v>78</v>
      </c>
      <c r="G22" s="610" t="str">
        <f>G$135</f>
        <v>p.FamilyName5</v>
      </c>
      <c r="H22" s="610" t="s">
        <v>79</v>
      </c>
      <c r="I22" s="610" t="str">
        <f>H137</f>
        <v>p.ManFirstName6</v>
      </c>
      <c r="J22" s="610" t="s">
        <v>151</v>
      </c>
      <c r="K22" s="635" t="str">
        <f>J137</f>
        <v>p.BirthdayKid6</v>
      </c>
      <c r="L22" s="610" t="s">
        <v>83</v>
      </c>
      <c r="M22" s="610" t="str">
        <f>I137</f>
        <v>p.AHVNumber20</v>
      </c>
      <c r="N22" s="610" t="s">
        <v>152</v>
      </c>
      <c r="O22" s="636" t="str">
        <f ca="1">"01."&amp;MONTH(TODAY())&amp;"."&amp;YEAR(TODAY())</f>
        <v>01.11.2025</v>
      </c>
      <c r="P22" s="610" t="s">
        <v>153</v>
      </c>
      <c r="Q22" s="611" t="s">
        <v>154</v>
      </c>
      <c r="R22" s="610" t="s">
        <v>155</v>
      </c>
      <c r="S22" s="611" t="s">
        <v>157</v>
      </c>
      <c r="T22" s="610" t="s">
        <v>37</v>
      </c>
      <c r="U22" s="611"/>
      <c r="V22" s="610"/>
      <c r="W22" s="611"/>
      <c r="X22" s="13"/>
      <c r="Y22" s="13"/>
      <c r="Z22" s="193"/>
      <c r="AA22" s="193"/>
      <c r="AB22" s="193"/>
      <c r="AC22" s="193"/>
      <c r="AD22" s="13"/>
      <c r="AE22" s="13"/>
      <c r="AF22" s="13"/>
      <c r="AG22" s="13"/>
      <c r="AH22" s="13"/>
      <c r="AI22" s="13">
        <v>9163</v>
      </c>
      <c r="AJ22" s="156">
        <f t="shared" ref="AJ22" si="50">AI22/($AI22)</f>
        <v>1</v>
      </c>
      <c r="AK22" s="13">
        <v>9985</v>
      </c>
      <c r="AL22" s="156">
        <f t="shared" ref="AL22:AN22" si="51">AK22/($AI22)</f>
        <v>1.089708610717014</v>
      </c>
      <c r="AM22" s="13">
        <v>3531</v>
      </c>
      <c r="AN22" s="156">
        <f t="shared" si="51"/>
        <v>0.38535414165666265</v>
      </c>
      <c r="AO22" s="13">
        <v>4650</v>
      </c>
      <c r="AP22" s="156">
        <f t="shared" si="2"/>
        <v>0.50747571755975118</v>
      </c>
      <c r="AQ22" s="13">
        <v>5949</v>
      </c>
      <c r="AR22" s="156">
        <f t="shared" si="2"/>
        <v>0.64924151478773329</v>
      </c>
      <c r="AS22" s="13">
        <v>5229</v>
      </c>
      <c r="AT22" s="156">
        <f t="shared" si="2"/>
        <v>0.57066462948815888</v>
      </c>
      <c r="AU22" s="13">
        <v>4741</v>
      </c>
      <c r="AV22" s="156">
        <f t="shared" si="2"/>
        <v>0.517406962785114</v>
      </c>
      <c r="AW22" s="13">
        <v>4844</v>
      </c>
      <c r="AX22" s="156">
        <f t="shared" si="2"/>
        <v>0.52864782276546984</v>
      </c>
      <c r="AY22" s="13">
        <v>4652</v>
      </c>
      <c r="AZ22" s="156">
        <f t="shared" si="3"/>
        <v>0.5076939866855833</v>
      </c>
      <c r="BA22" s="2">
        <v>3884</v>
      </c>
      <c r="BB22" s="156">
        <f t="shared" si="3"/>
        <v>0.42387864236603734</v>
      </c>
      <c r="BC22" s="2">
        <v>2464</v>
      </c>
      <c r="BD22" s="156">
        <f t="shared" si="4"/>
        <v>0.26890756302521007</v>
      </c>
      <c r="BE22" s="2">
        <v>2597</v>
      </c>
      <c r="BF22" s="156">
        <f t="shared" si="4"/>
        <v>0.28342245989304815</v>
      </c>
      <c r="BG22" s="2">
        <v>2622</v>
      </c>
      <c r="BH22" s="156">
        <f t="shared" si="4"/>
        <v>0.28615082396595004</v>
      </c>
      <c r="BI22" s="96">
        <v>2715</v>
      </c>
      <c r="BJ22" s="96">
        <v>3315</v>
      </c>
      <c r="BK22" s="156">
        <f t="shared" si="5"/>
        <v>0.36178107606679033</v>
      </c>
      <c r="BL22" s="96">
        <v>3328</v>
      </c>
      <c r="BM22" s="156">
        <f t="shared" si="6"/>
        <v>0.36319982538469936</v>
      </c>
      <c r="BN22" s="96">
        <v>3302</v>
      </c>
      <c r="BO22" s="156">
        <f t="shared" si="7"/>
        <v>0.36036232674888136</v>
      </c>
      <c r="BP22" s="96">
        <v>3301</v>
      </c>
      <c r="BQ22" s="156">
        <f t="shared" si="8"/>
        <v>0.3602531921859653</v>
      </c>
      <c r="BR22" s="96">
        <v>3409</v>
      </c>
      <c r="BS22" s="156">
        <f t="shared" si="9"/>
        <v>0.37203972498090143</v>
      </c>
      <c r="BT22" s="96">
        <v>3274</v>
      </c>
      <c r="BU22" s="156">
        <f t="shared" si="10"/>
        <v>0.35730655898723124</v>
      </c>
      <c r="BW22" s="96">
        <v>3018</v>
      </c>
      <c r="BY22" s="96">
        <v>2219</v>
      </c>
      <c r="CA22" s="96">
        <v>3729</v>
      </c>
      <c r="CC22" s="96">
        <v>2512</v>
      </c>
      <c r="CE22" s="96">
        <v>2592</v>
      </c>
      <c r="CG22" s="96">
        <v>3394</v>
      </c>
      <c r="CI22" s="96">
        <v>2938</v>
      </c>
      <c r="CJ22" s="96" t="s">
        <v>1718</v>
      </c>
    </row>
    <row r="23" spans="1:88" s="96" customFormat="1" ht="21.75" customHeight="1" thickBot="1">
      <c r="A23" s="777">
        <v>21</v>
      </c>
      <c r="B23" s="27" t="s">
        <v>139</v>
      </c>
      <c r="C23" s="603" t="str">
        <f t="shared" ref="C23:C28" si="52">E23</f>
        <v>{"searchDossierOrKlient":p.DossierName5,"resultType":"Dossiers"}</v>
      </c>
      <c r="D23" s="90"/>
      <c r="E23" s="204" t="str">
        <f t="shared" si="37"/>
        <v>{"searchDossierOrKlient":p.DossierName5,"resultType":"Dossiers"}</v>
      </c>
      <c r="F23" s="610" t="s">
        <v>140</v>
      </c>
      <c r="G23" s="610" t="str">
        <f>G12</f>
        <v>p.DossierName5</v>
      </c>
      <c r="H23" s="610" t="s">
        <v>141</v>
      </c>
      <c r="I23" s="611" t="s">
        <v>142</v>
      </c>
      <c r="J23" s="610" t="s">
        <v>37</v>
      </c>
      <c r="K23" s="611"/>
      <c r="L23" s="610"/>
      <c r="M23" s="611"/>
      <c r="N23" s="610"/>
      <c r="O23" s="611"/>
      <c r="P23" s="610"/>
      <c r="Q23" s="611"/>
      <c r="R23" s="610"/>
      <c r="S23" s="611"/>
      <c r="T23" s="610"/>
      <c r="U23" s="611"/>
      <c r="V23" s="610"/>
      <c r="W23" s="611"/>
      <c r="X23" s="90"/>
      <c r="Y23" s="90"/>
      <c r="Z23" s="204"/>
      <c r="AA23" s="204"/>
      <c r="AB23" s="204"/>
      <c r="AC23" s="204"/>
      <c r="AD23" s="90"/>
      <c r="AE23" s="90"/>
      <c r="AF23" s="90"/>
      <c r="AG23" s="90"/>
      <c r="AH23" s="90"/>
      <c r="AI23" s="90">
        <v>4011</v>
      </c>
      <c r="AJ23" s="156">
        <f t="shared" ref="AJ23" si="53">AI23/($AI23)</f>
        <v>1</v>
      </c>
      <c r="AK23" s="90">
        <v>4020</v>
      </c>
      <c r="AL23" s="156">
        <f t="shared" ref="AL23:AN23" si="54">AK23/($AI23)</f>
        <v>1.0022438294689604</v>
      </c>
      <c r="AM23" s="90"/>
      <c r="AN23" s="156">
        <f t="shared" si="54"/>
        <v>0</v>
      </c>
      <c r="AO23" s="90">
        <v>0</v>
      </c>
      <c r="AP23" s="156">
        <f t="shared" si="2"/>
        <v>0</v>
      </c>
      <c r="AQ23" s="90">
        <v>0</v>
      </c>
      <c r="AR23" s="156">
        <f t="shared" si="2"/>
        <v>0</v>
      </c>
      <c r="AS23" s="90">
        <v>11050</v>
      </c>
      <c r="AT23" s="156">
        <f t="shared" si="2"/>
        <v>2.7549239591124408</v>
      </c>
      <c r="AU23" s="90">
        <v>10980</v>
      </c>
      <c r="AV23" s="156">
        <f t="shared" si="2"/>
        <v>2.7374719521316382</v>
      </c>
      <c r="AW23" s="90">
        <v>10609</v>
      </c>
      <c r="AX23" s="156">
        <f t="shared" si="2"/>
        <v>2.6449763151333832</v>
      </c>
      <c r="AY23" s="90">
        <v>2667</v>
      </c>
      <c r="AZ23" s="156">
        <f t="shared" si="3"/>
        <v>0.66492146596858637</v>
      </c>
      <c r="BA23" s="2">
        <v>2598</v>
      </c>
      <c r="BB23" s="156">
        <f t="shared" si="3"/>
        <v>0.64771877337322359</v>
      </c>
      <c r="BC23" s="2">
        <v>5150</v>
      </c>
      <c r="BD23" s="156">
        <f t="shared" si="4"/>
        <v>1.2839690850162053</v>
      </c>
      <c r="BE23" s="2">
        <v>5093</v>
      </c>
      <c r="BF23" s="156">
        <f t="shared" si="4"/>
        <v>1.2697581650461232</v>
      </c>
      <c r="BG23" s="2">
        <v>5130</v>
      </c>
      <c r="BH23" s="156">
        <f t="shared" si="4"/>
        <v>1.2789827973074046</v>
      </c>
      <c r="BI23" s="96">
        <v>5310</v>
      </c>
      <c r="BJ23" s="96">
        <v>5172</v>
      </c>
      <c r="BK23" s="156">
        <f t="shared" si="5"/>
        <v>1.2894540014958864</v>
      </c>
      <c r="BL23" s="96">
        <v>4990</v>
      </c>
      <c r="BM23" s="156">
        <f t="shared" si="6"/>
        <v>1.2440787833457991</v>
      </c>
      <c r="BN23" s="96">
        <v>4070</v>
      </c>
      <c r="BO23" s="156">
        <f t="shared" si="7"/>
        <v>1.0147095487409623</v>
      </c>
      <c r="BP23" s="96">
        <v>3956</v>
      </c>
      <c r="BQ23" s="156">
        <f t="shared" si="8"/>
        <v>0.98628770880079786</v>
      </c>
      <c r="BR23" s="96">
        <v>3983</v>
      </c>
      <c r="BS23" s="156">
        <f t="shared" si="9"/>
        <v>0.99301919720767884</v>
      </c>
      <c r="BT23" s="96">
        <v>6325</v>
      </c>
      <c r="BU23" s="156">
        <f t="shared" si="10"/>
        <v>1.5769134879082523</v>
      </c>
      <c r="BW23" s="96">
        <v>5364</v>
      </c>
      <c r="BY23" s="96">
        <v>5833</v>
      </c>
      <c r="CA23" s="96">
        <v>4649</v>
      </c>
      <c r="CC23" s="96">
        <v>4730</v>
      </c>
      <c r="CE23" s="96">
        <v>4547</v>
      </c>
      <c r="CG23" s="3754">
        <v>0</v>
      </c>
      <c r="CH23" s="3755" t="s">
        <v>1670</v>
      </c>
      <c r="CI23" s="96">
        <v>5840</v>
      </c>
      <c r="CJ23" s="96" t="s">
        <v>1718</v>
      </c>
    </row>
    <row r="24" spans="1:88" s="96" customFormat="1" ht="15.75" hidden="1" customHeight="1">
      <c r="A24" s="777"/>
      <c r="B24" s="589" t="s">
        <v>143</v>
      </c>
      <c r="C24" s="604" t="str">
        <f t="shared" si="52"/>
        <v>{"vermieter":"Graber Immobilien","wohnungsgrosse":"4 Zimmer","mietkosten":3000,"nebenkosten":300}</v>
      </c>
      <c r="D24" s="13"/>
      <c r="E24" s="193" t="str">
        <f t="shared" si="37"/>
        <v>{"vermieter":"Graber Immobilien","wohnungsgrosse":"4 Zimmer","mietkosten":3000,"nebenkosten":300}</v>
      </c>
      <c r="F24" s="610" t="s">
        <v>144</v>
      </c>
      <c r="G24" s="610" t="s">
        <v>145</v>
      </c>
      <c r="H24" s="610" t="s">
        <v>146</v>
      </c>
      <c r="I24" s="611" t="s">
        <v>147</v>
      </c>
      <c r="J24" s="610" t="s">
        <v>148</v>
      </c>
      <c r="K24" s="611">
        <v>3000</v>
      </c>
      <c r="L24" s="610" t="s">
        <v>149</v>
      </c>
      <c r="M24" s="611">
        <v>300</v>
      </c>
      <c r="N24" s="610" t="s">
        <v>109</v>
      </c>
      <c r="O24" s="611"/>
      <c r="P24" s="610"/>
      <c r="Q24" s="611"/>
      <c r="R24" s="610"/>
      <c r="S24" s="611"/>
      <c r="T24" s="610"/>
      <c r="U24" s="611"/>
      <c r="V24" s="610"/>
      <c r="W24" s="611"/>
      <c r="X24" s="13"/>
      <c r="Y24" s="13"/>
      <c r="Z24" s="193"/>
      <c r="AA24" s="193"/>
      <c r="AB24" s="193"/>
      <c r="AC24" s="193"/>
      <c r="AD24" s="13"/>
      <c r="AE24" s="13"/>
      <c r="AF24" s="13"/>
      <c r="AG24" s="13"/>
      <c r="AH24" s="13"/>
      <c r="AI24" s="13"/>
      <c r="AJ24" s="156" t="e">
        <f t="shared" ref="AJ24" si="55">AI24/($AI24)</f>
        <v>#DIV/0!</v>
      </c>
      <c r="AK24" s="13"/>
      <c r="AL24" s="156" t="e">
        <f t="shared" ref="AL24:AN24" si="56">AK24/($AI24)</f>
        <v>#DIV/0!</v>
      </c>
      <c r="AM24" s="13"/>
      <c r="AN24" s="156" t="e">
        <f t="shared" si="56"/>
        <v>#DIV/0!</v>
      </c>
      <c r="AO24" s="13"/>
      <c r="AP24" s="156" t="e">
        <f t="shared" si="2"/>
        <v>#DIV/0!</v>
      </c>
      <c r="AQ24" s="13"/>
      <c r="AR24" s="156" t="e">
        <f t="shared" si="2"/>
        <v>#DIV/0!</v>
      </c>
      <c r="AS24" s="13"/>
      <c r="AT24" s="156" t="e">
        <f t="shared" si="2"/>
        <v>#DIV/0!</v>
      </c>
      <c r="AU24" s="13"/>
      <c r="AV24" s="156" t="e">
        <f t="shared" si="2"/>
        <v>#DIV/0!</v>
      </c>
      <c r="AW24" s="13"/>
      <c r="AX24" s="156" t="e">
        <f t="shared" si="2"/>
        <v>#DIV/0!</v>
      </c>
      <c r="AY24" s="13"/>
      <c r="AZ24" s="156" t="e">
        <f t="shared" si="3"/>
        <v>#DIV/0!</v>
      </c>
      <c r="BB24" s="156" t="e">
        <f t="shared" si="3"/>
        <v>#DIV/0!</v>
      </c>
      <c r="BD24" s="156" t="e">
        <f t="shared" si="4"/>
        <v>#DIV/0!</v>
      </c>
      <c r="BF24" s="156" t="e">
        <f t="shared" si="4"/>
        <v>#DIV/0!</v>
      </c>
      <c r="BH24" s="156" t="e">
        <f t="shared" si="4"/>
        <v>#DIV/0!</v>
      </c>
      <c r="BK24" s="156" t="e">
        <f t="shared" si="5"/>
        <v>#DIV/0!</v>
      </c>
      <c r="BM24" s="156" t="e">
        <f t="shared" si="6"/>
        <v>#DIV/0!</v>
      </c>
      <c r="BO24" s="156" t="e">
        <f t="shared" si="7"/>
        <v>#DIV/0!</v>
      </c>
      <c r="BQ24" s="156" t="e">
        <f t="shared" si="8"/>
        <v>#DIV/0!</v>
      </c>
      <c r="BS24" s="156" t="e">
        <f t="shared" si="9"/>
        <v>#DIV/0!</v>
      </c>
      <c r="BU24" s="156" t="e">
        <f t="shared" si="10"/>
        <v>#DIV/0!</v>
      </c>
    </row>
    <row r="25" spans="1:88" s="96" customFormat="1" ht="13.5" hidden="1" customHeight="1">
      <c r="A25" s="777"/>
      <c r="B25" s="607" t="s">
        <v>337</v>
      </c>
      <c r="C25" s="604" t="str">
        <f t="shared" si="52"/>
        <v>{"aufgabenStatus":"Nicht begonnen","aufgabenTitel":"Eine wichtige Aufgabe_012","faelligkeitDatum":"12.12.2024","zugewiesenAn":"Bern Sozialarbeiterin 1B","check":"Eine wichtige Aufgabe_012"}</v>
      </c>
      <c r="D25" s="2"/>
      <c r="E25" s="2" t="str">
        <f>G25&amp;H25&amp;I25&amp;J25&amp;K25&amp;L25&amp;M25&amp;N25&amp;O25&amp;P25&amp;Q25&amp;R25&amp;S25&amp;T25&amp;U25&amp;V25&amp;W25&amp;X25</f>
        <v>{"aufgabenStatus":"Nicht begonnen","aufgabenTitel":"Eine wichtige Aufgabe_012","faelligkeitDatum":"12.12.2024","zugewiesenAn":"Bern Sozialarbeiterin 1B","check":"Eine wichtige Aufgabe_012"}</v>
      </c>
      <c r="F25" s="610"/>
      <c r="G25" s="610"/>
      <c r="H25" s="610"/>
      <c r="I25" s="610" t="s">
        <v>338</v>
      </c>
      <c r="J25" s="611" t="s">
        <v>339</v>
      </c>
      <c r="K25" s="610" t="s">
        <v>340</v>
      </c>
      <c r="L25" s="611" t="str">
        <f>"Eine wichtige Aufgabe_012"</f>
        <v>Eine wichtige Aufgabe_012</v>
      </c>
      <c r="M25" s="610" t="s">
        <v>341</v>
      </c>
      <c r="N25" s="635" t="s">
        <v>342</v>
      </c>
      <c r="O25" s="610" t="s">
        <v>343</v>
      </c>
      <c r="P25" s="611" t="s">
        <v>344</v>
      </c>
      <c r="Q25" s="610" t="s">
        <v>345</v>
      </c>
      <c r="R25" s="611" t="str">
        <f>L25</f>
        <v>Eine wichtige Aufgabe_012</v>
      </c>
      <c r="S25" s="610" t="s">
        <v>37</v>
      </c>
      <c r="T25" s="611"/>
      <c r="U25" s="611"/>
      <c r="V25" s="611"/>
      <c r="W25" s="611"/>
      <c r="X25" s="2"/>
      <c r="Y25" s="2"/>
      <c r="Z25" s="4"/>
      <c r="AA25" s="4"/>
      <c r="AB25" s="4"/>
      <c r="AC25" s="4"/>
      <c r="AD25" s="2"/>
      <c r="AE25" s="2"/>
      <c r="AF25" s="2"/>
      <c r="AG25" s="2"/>
      <c r="AH25" s="2"/>
      <c r="AI25" s="2"/>
      <c r="AJ25" s="156" t="e">
        <f t="shared" ref="AJ25" si="57">AI25/($AI25)</f>
        <v>#DIV/0!</v>
      </c>
      <c r="AK25" s="2"/>
      <c r="AL25" s="156" t="e">
        <f t="shared" ref="AL25:AN25" si="58">AK25/($AI25)</f>
        <v>#DIV/0!</v>
      </c>
      <c r="AM25" s="2"/>
      <c r="AN25" s="156" t="e">
        <f t="shared" si="58"/>
        <v>#DIV/0!</v>
      </c>
      <c r="AO25" s="2"/>
      <c r="AP25" s="156" t="e">
        <f t="shared" si="2"/>
        <v>#DIV/0!</v>
      </c>
      <c r="AQ25" s="2"/>
      <c r="AR25" s="156" t="e">
        <f t="shared" si="2"/>
        <v>#DIV/0!</v>
      </c>
      <c r="AS25" s="2"/>
      <c r="AT25" s="156" t="e">
        <f t="shared" si="2"/>
        <v>#DIV/0!</v>
      </c>
      <c r="AU25" s="2"/>
      <c r="AV25" s="156" t="e">
        <f t="shared" si="2"/>
        <v>#DIV/0!</v>
      </c>
      <c r="AW25" s="2"/>
      <c r="AX25" s="156" t="e">
        <f t="shared" ref="AX25:BH55" si="59">AW25/($AI25)</f>
        <v>#DIV/0!</v>
      </c>
      <c r="AY25" s="2"/>
      <c r="AZ25" s="156" t="e">
        <f t="shared" si="59"/>
        <v>#DIV/0!</v>
      </c>
      <c r="BB25" s="156" t="e">
        <f t="shared" si="59"/>
        <v>#DIV/0!</v>
      </c>
      <c r="BD25" s="156" t="e">
        <f t="shared" si="59"/>
        <v>#DIV/0!</v>
      </c>
      <c r="BF25" s="156" t="e">
        <f t="shared" si="59"/>
        <v>#DIV/0!</v>
      </c>
      <c r="BH25" s="156" t="e">
        <f t="shared" si="59"/>
        <v>#DIV/0!</v>
      </c>
      <c r="BK25" s="156" t="e">
        <f t="shared" si="5"/>
        <v>#DIV/0!</v>
      </c>
      <c r="BM25" s="156" t="e">
        <f t="shared" si="6"/>
        <v>#DIV/0!</v>
      </c>
      <c r="BO25" s="156" t="e">
        <f t="shared" si="7"/>
        <v>#DIV/0!</v>
      </c>
      <c r="BQ25" s="156" t="e">
        <f t="shared" si="8"/>
        <v>#DIV/0!</v>
      </c>
      <c r="BS25" s="156" t="e">
        <f t="shared" si="9"/>
        <v>#DIV/0!</v>
      </c>
      <c r="BU25" s="156" t="e">
        <f t="shared" si="10"/>
        <v>#DIV/0!</v>
      </c>
    </row>
    <row r="26" spans="1:88" s="96" customFormat="1" ht="18.75" hidden="1" customHeight="1">
      <c r="A26" s="777"/>
      <c r="B26" s="607" t="s">
        <v>337</v>
      </c>
      <c r="C26" s="604" t="str">
        <f t="shared" si="52"/>
        <v>{"aufgabenStatus":"Nicht begonnen","aufgabenTitel":"Eine weniger Wichtige Aufgabe_013","faelligkeitDatum":"13.12.2024","zugewiesenAn":"Bern Sozialarbeiterin 1B","check":"Eine weniger Wichtige Aufgabe_013"}</v>
      </c>
      <c r="D26" s="2"/>
      <c r="E26" s="2" t="str">
        <f>G26&amp;H26&amp;I26&amp;J26&amp;K26&amp;L26&amp;M26&amp;N26&amp;O26&amp;P26&amp;Q26&amp;R26&amp;S26&amp;T26&amp;U26&amp;V26&amp;W26&amp;X26</f>
        <v>{"aufgabenStatus":"Nicht begonnen","aufgabenTitel":"Eine weniger Wichtige Aufgabe_013","faelligkeitDatum":"13.12.2024","zugewiesenAn":"Bern Sozialarbeiterin 1B","check":"Eine weniger Wichtige Aufgabe_013"}</v>
      </c>
      <c r="F26" s="610"/>
      <c r="G26" s="610"/>
      <c r="H26" s="610"/>
      <c r="I26" s="610" t="s">
        <v>338</v>
      </c>
      <c r="J26" s="611" t="s">
        <v>339</v>
      </c>
      <c r="K26" s="610" t="s">
        <v>340</v>
      </c>
      <c r="L26" s="611" t="str">
        <f>"Eine weniger Wichtige Aufgabe_013"</f>
        <v>Eine weniger Wichtige Aufgabe_013</v>
      </c>
      <c r="M26" s="610" t="s">
        <v>341</v>
      </c>
      <c r="N26" s="635" t="s">
        <v>346</v>
      </c>
      <c r="O26" s="610" t="s">
        <v>343</v>
      </c>
      <c r="P26" s="611" t="s">
        <v>344</v>
      </c>
      <c r="Q26" s="610" t="s">
        <v>345</v>
      </c>
      <c r="R26" s="611" t="str">
        <f>L26</f>
        <v>Eine weniger Wichtige Aufgabe_013</v>
      </c>
      <c r="S26" s="610" t="s">
        <v>37</v>
      </c>
      <c r="T26" s="611"/>
      <c r="U26" s="611"/>
      <c r="V26" s="611"/>
      <c r="W26" s="611"/>
      <c r="X26" s="2"/>
      <c r="Y26" s="2"/>
      <c r="Z26" s="4"/>
      <c r="AA26" s="4"/>
      <c r="AB26" s="4"/>
      <c r="AC26" s="4"/>
      <c r="AD26" s="2"/>
      <c r="AE26" s="2"/>
      <c r="AF26" s="2"/>
      <c r="AG26" s="2"/>
      <c r="AH26" s="2"/>
      <c r="AI26" s="2"/>
      <c r="AJ26" s="156" t="e">
        <f t="shared" ref="AJ26" si="60">AI26/($AI26)</f>
        <v>#DIV/0!</v>
      </c>
      <c r="AK26" s="2"/>
      <c r="AL26" s="156" t="e">
        <f t="shared" ref="AL26:AN26" si="61">AK26/($AI26)</f>
        <v>#DIV/0!</v>
      </c>
      <c r="AM26" s="2"/>
      <c r="AN26" s="156" t="e">
        <f t="shared" si="61"/>
        <v>#DIV/0!</v>
      </c>
      <c r="AO26" s="2"/>
      <c r="AP26" s="156" t="e">
        <f t="shared" si="2"/>
        <v>#DIV/0!</v>
      </c>
      <c r="AQ26" s="2"/>
      <c r="AR26" s="156" t="e">
        <f t="shared" si="2"/>
        <v>#DIV/0!</v>
      </c>
      <c r="AS26" s="2"/>
      <c r="AT26" s="156" t="e">
        <f t="shared" si="2"/>
        <v>#DIV/0!</v>
      </c>
      <c r="AU26" s="2"/>
      <c r="AV26" s="156" t="e">
        <f t="shared" si="2"/>
        <v>#DIV/0!</v>
      </c>
      <c r="AW26" s="2"/>
      <c r="AX26" s="156" t="e">
        <f t="shared" si="59"/>
        <v>#DIV/0!</v>
      </c>
      <c r="AY26" s="2"/>
      <c r="AZ26" s="156" t="e">
        <f t="shared" si="59"/>
        <v>#DIV/0!</v>
      </c>
      <c r="BB26" s="156" t="e">
        <f t="shared" si="59"/>
        <v>#DIV/0!</v>
      </c>
      <c r="BD26" s="156" t="e">
        <f t="shared" si="59"/>
        <v>#DIV/0!</v>
      </c>
      <c r="BF26" s="156" t="e">
        <f t="shared" si="59"/>
        <v>#DIV/0!</v>
      </c>
      <c r="BH26" s="156" t="e">
        <f t="shared" si="59"/>
        <v>#DIV/0!</v>
      </c>
      <c r="BK26" s="156" t="e">
        <f t="shared" si="5"/>
        <v>#DIV/0!</v>
      </c>
      <c r="BM26" s="156" t="e">
        <f t="shared" si="6"/>
        <v>#DIV/0!</v>
      </c>
      <c r="BO26" s="156" t="e">
        <f t="shared" si="7"/>
        <v>#DIV/0!</v>
      </c>
      <c r="BQ26" s="156" t="e">
        <f t="shared" si="8"/>
        <v>#DIV/0!</v>
      </c>
      <c r="BS26" s="156" t="e">
        <f t="shared" si="9"/>
        <v>#DIV/0!</v>
      </c>
      <c r="BU26" s="156" t="e">
        <f t="shared" si="10"/>
        <v>#DIV/0!</v>
      </c>
    </row>
    <row r="27" spans="1:88" s="96" customFormat="1" ht="18.75" hidden="1" customHeight="1">
      <c r="A27" s="777"/>
      <c r="B27" s="607" t="s">
        <v>337</v>
      </c>
      <c r="C27" s="604" t="str">
        <f t="shared" si="52"/>
        <v>{"aufgabenStatus":"Nicht begonnen","aufgabenTitel":"Eine sehr wichtige Aufgabe_014","faelligkeitDatum":"14.12.2024","zugewiesenAn":"Bern Sozialarbeiterin 1B","check":"Eine sehr wichtige Aufgabe_014"}</v>
      </c>
      <c r="D27" s="2"/>
      <c r="E27" s="2" t="str">
        <f>G27&amp;H27&amp;I27&amp;J27&amp;K27&amp;L27&amp;M27&amp;N27&amp;O27&amp;P27&amp;Q27&amp;R27&amp;S27&amp;T27&amp;U27&amp;V27&amp;W27&amp;X27</f>
        <v>{"aufgabenStatus":"Nicht begonnen","aufgabenTitel":"Eine sehr wichtige Aufgabe_014","faelligkeitDatum":"14.12.2024","zugewiesenAn":"Bern Sozialarbeiterin 1B","check":"Eine sehr wichtige Aufgabe_014"}</v>
      </c>
      <c r="F27" s="610"/>
      <c r="G27" s="610"/>
      <c r="H27" s="610"/>
      <c r="I27" s="610" t="s">
        <v>338</v>
      </c>
      <c r="J27" s="611" t="s">
        <v>339</v>
      </c>
      <c r="K27" s="610" t="s">
        <v>340</v>
      </c>
      <c r="L27" s="611" t="str">
        <f>"Eine sehr wichtige Aufgabe_014"</f>
        <v>Eine sehr wichtige Aufgabe_014</v>
      </c>
      <c r="M27" s="610" t="s">
        <v>341</v>
      </c>
      <c r="N27" s="635" t="s">
        <v>347</v>
      </c>
      <c r="O27" s="610" t="s">
        <v>343</v>
      </c>
      <c r="P27" s="611" t="s">
        <v>344</v>
      </c>
      <c r="Q27" s="610" t="s">
        <v>345</v>
      </c>
      <c r="R27" s="611" t="str">
        <f>L27</f>
        <v>Eine sehr wichtige Aufgabe_014</v>
      </c>
      <c r="S27" s="610" t="s">
        <v>37</v>
      </c>
      <c r="T27" s="611"/>
      <c r="U27" s="611"/>
      <c r="V27" s="611"/>
      <c r="W27" s="611"/>
      <c r="X27" s="2"/>
      <c r="Y27" s="2"/>
      <c r="Z27" s="4"/>
      <c r="AA27" s="4"/>
      <c r="AB27" s="4"/>
      <c r="AC27" s="4"/>
      <c r="AD27" s="2"/>
      <c r="AE27" s="2"/>
      <c r="AF27" s="2"/>
      <c r="AG27" s="2"/>
      <c r="AH27" s="2"/>
      <c r="AI27" s="2"/>
      <c r="AJ27" s="156" t="e">
        <f t="shared" ref="AJ27" si="62">AI27/($AI27)</f>
        <v>#DIV/0!</v>
      </c>
      <c r="AK27" s="2"/>
      <c r="AL27" s="156" t="e">
        <f t="shared" ref="AL27:AN27" si="63">AK27/($AI27)</f>
        <v>#DIV/0!</v>
      </c>
      <c r="AM27" s="2"/>
      <c r="AN27" s="156" t="e">
        <f t="shared" si="63"/>
        <v>#DIV/0!</v>
      </c>
      <c r="AO27" s="2"/>
      <c r="AP27" s="156" t="e">
        <f t="shared" si="2"/>
        <v>#DIV/0!</v>
      </c>
      <c r="AQ27" s="2"/>
      <c r="AR27" s="156" t="e">
        <f t="shared" si="2"/>
        <v>#DIV/0!</v>
      </c>
      <c r="AS27" s="2"/>
      <c r="AT27" s="156" t="e">
        <f t="shared" si="2"/>
        <v>#DIV/0!</v>
      </c>
      <c r="AU27" s="2"/>
      <c r="AV27" s="156" t="e">
        <f t="shared" si="2"/>
        <v>#DIV/0!</v>
      </c>
      <c r="AW27" s="2"/>
      <c r="AX27" s="156" t="e">
        <f t="shared" si="59"/>
        <v>#DIV/0!</v>
      </c>
      <c r="AY27" s="2"/>
      <c r="AZ27" s="156" t="e">
        <f t="shared" si="59"/>
        <v>#DIV/0!</v>
      </c>
      <c r="BB27" s="156" t="e">
        <f t="shared" si="59"/>
        <v>#DIV/0!</v>
      </c>
      <c r="BD27" s="156" t="e">
        <f t="shared" si="59"/>
        <v>#DIV/0!</v>
      </c>
      <c r="BF27" s="156" t="e">
        <f t="shared" si="59"/>
        <v>#DIV/0!</v>
      </c>
      <c r="BH27" s="156" t="e">
        <f t="shared" si="59"/>
        <v>#DIV/0!</v>
      </c>
      <c r="BK27" s="156" t="e">
        <f t="shared" si="5"/>
        <v>#DIV/0!</v>
      </c>
      <c r="BM27" s="156" t="e">
        <f t="shared" si="6"/>
        <v>#DIV/0!</v>
      </c>
      <c r="BO27" s="156" t="e">
        <f t="shared" si="7"/>
        <v>#DIV/0!</v>
      </c>
      <c r="BQ27" s="156" t="e">
        <f t="shared" si="8"/>
        <v>#DIV/0!</v>
      </c>
      <c r="BS27" s="156" t="e">
        <f t="shared" si="9"/>
        <v>#DIV/0!</v>
      </c>
      <c r="BU27" s="156" t="e">
        <f t="shared" si="10"/>
        <v>#DIV/0!</v>
      </c>
    </row>
    <row r="28" spans="1:88" s="96" customFormat="1" ht="18.75" hidden="1" customHeight="1">
      <c r="A28" s="777"/>
      <c r="B28" s="607" t="s">
        <v>158</v>
      </c>
      <c r="C28" s="604" t="str">
        <f t="shared" si="52"/>
        <v>{"dossier":`p.DossierName5`,"klientschaft":`${p.FamilyName5}, ${p.ManFirstName5}`}</v>
      </c>
      <c r="D28" s="13"/>
      <c r="E28" s="193" t="str">
        <f>F28&amp;G28&amp;H28&amp;I28&amp;J28&amp;K28&amp;L28&amp;M28&amp;N28&amp;O28&amp;P28&amp;Q28&amp;R28&amp;S28&amp;T28&amp;U28&amp;V28&amp;W28&amp;X28</f>
        <v>{"dossier":`p.DossierName5`,"klientschaft":`${p.FamilyName5}, ${p.ManFirstName5}`}</v>
      </c>
      <c r="F28" s="610" t="s">
        <v>348</v>
      </c>
      <c r="G28" s="610" t="str">
        <f>G12</f>
        <v>p.DossierName5</v>
      </c>
      <c r="H28" s="610" t="s">
        <v>336</v>
      </c>
      <c r="I28" s="610" t="str">
        <f>"${"&amp;$G$5&amp;"}, ${"&amp;$I$5&amp;"}"</f>
        <v>${p.FamilyName5}, ${p.ManFirstName5}</v>
      </c>
      <c r="J28" s="610" t="s">
        <v>160</v>
      </c>
      <c r="K28" s="611"/>
      <c r="L28" s="610"/>
      <c r="M28" s="611"/>
      <c r="N28" s="610"/>
      <c r="O28" s="611"/>
      <c r="P28" s="610"/>
      <c r="Q28" s="611"/>
      <c r="R28" s="610"/>
      <c r="S28" s="611"/>
      <c r="T28" s="610"/>
      <c r="U28" s="611"/>
      <c r="V28" s="610"/>
      <c r="W28" s="611"/>
      <c r="X28" s="13"/>
      <c r="Y28" s="13"/>
      <c r="Z28" s="193"/>
      <c r="AA28" s="193"/>
      <c r="AB28" s="193"/>
      <c r="AC28" s="193"/>
      <c r="AD28" s="13"/>
      <c r="AE28" s="13"/>
      <c r="AF28" s="13"/>
      <c r="AG28" s="13"/>
      <c r="AH28" s="13"/>
      <c r="AI28" s="13"/>
      <c r="AJ28" s="156" t="e">
        <f t="shared" ref="AJ28" si="64">AI28/($AI28)</f>
        <v>#DIV/0!</v>
      </c>
      <c r="AK28" s="13"/>
      <c r="AL28" s="156" t="e">
        <f t="shared" ref="AL28:AN28" si="65">AK28/($AI28)</f>
        <v>#DIV/0!</v>
      </c>
      <c r="AM28" s="13"/>
      <c r="AN28" s="156" t="e">
        <f t="shared" si="65"/>
        <v>#DIV/0!</v>
      </c>
      <c r="AO28" s="13"/>
      <c r="AP28" s="156" t="e">
        <f t="shared" si="2"/>
        <v>#DIV/0!</v>
      </c>
      <c r="AQ28" s="13"/>
      <c r="AR28" s="156" t="e">
        <f t="shared" si="2"/>
        <v>#DIV/0!</v>
      </c>
      <c r="AS28" s="13"/>
      <c r="AT28" s="156" t="e">
        <f t="shared" si="2"/>
        <v>#DIV/0!</v>
      </c>
      <c r="AU28" s="13"/>
      <c r="AV28" s="156" t="e">
        <f t="shared" si="2"/>
        <v>#DIV/0!</v>
      </c>
      <c r="AW28" s="13"/>
      <c r="AX28" s="156" t="e">
        <f t="shared" si="59"/>
        <v>#DIV/0!</v>
      </c>
      <c r="AY28" s="13"/>
      <c r="AZ28" s="156" t="e">
        <f t="shared" si="59"/>
        <v>#DIV/0!</v>
      </c>
      <c r="BB28" s="156" t="e">
        <f t="shared" si="59"/>
        <v>#DIV/0!</v>
      </c>
      <c r="BD28" s="156" t="e">
        <f t="shared" si="59"/>
        <v>#DIV/0!</v>
      </c>
      <c r="BF28" s="156" t="e">
        <f t="shared" si="59"/>
        <v>#DIV/0!</v>
      </c>
      <c r="BH28" s="156" t="e">
        <f t="shared" si="59"/>
        <v>#DIV/0!</v>
      </c>
      <c r="BK28" s="156" t="e">
        <f t="shared" si="5"/>
        <v>#DIV/0!</v>
      </c>
      <c r="BM28" s="156" t="e">
        <f t="shared" si="6"/>
        <v>#DIV/0!</v>
      </c>
      <c r="BO28" s="156" t="e">
        <f t="shared" si="7"/>
        <v>#DIV/0!</v>
      </c>
      <c r="BQ28" s="156" t="e">
        <f t="shared" si="8"/>
        <v>#DIV/0!</v>
      </c>
      <c r="BS28" s="156" t="e">
        <f t="shared" si="9"/>
        <v>#DIV/0!</v>
      </c>
      <c r="BU28" s="156" t="e">
        <f t="shared" si="10"/>
        <v>#DIV/0!</v>
      </c>
    </row>
    <row r="29" spans="1:88" s="12" customFormat="1" ht="18.75" hidden="1" customHeight="1">
      <c r="A29" s="678"/>
      <c r="B29" s="122" t="s">
        <v>349</v>
      </c>
      <c r="C29" s="608" t="str">
        <f t="shared" ref="C29:C36" ca="1" si="66">E29&amp;F29&amp;G29&amp;H29&amp;I29&amp;J29&amp;K29&amp;L29&amp;M29&amp;N29 &amp;O29&amp;P29&amp;Q29&amp;R29&amp;S29&amp;T29&amp;U29&amp;V29&amp;W29&amp;X29&amp;Y29&amp;Z29&amp;AA29&amp;AB29</f>
        <v>{"Klientschaft":`${p.FamilyName5}, ${p.ManFirstName5}`,"Gueltigkeit":"01.01.2025-31.12.2025","KKasse":"Arcosana AG","VersNummer":"123","GrundPraemie":"45","ZahnInklusive":"ja","Franchise":"100","Bemerkung":"Test"}</v>
      </c>
      <c r="D29" s="2"/>
      <c r="E29" s="206" t="s">
        <v>350</v>
      </c>
      <c r="F29" s="609" t="str">
        <f>"${"&amp;$G$5&amp;"}, ${"&amp;$H$134&amp;"}"</f>
        <v>${p.FamilyName5}, ${p.ManFirstName5}</v>
      </c>
      <c r="G29" s="611" t="s">
        <v>351</v>
      </c>
      <c r="H29" s="639" t="str">
        <f t="shared" ref="H29:H36" ca="1" si="67">"01.01."&amp;YEAR(TODAY()) &amp;"-31.12."&amp;YEAR(TODAY())</f>
        <v>01.01.2025-31.12.2025</v>
      </c>
      <c r="I29" s="611" t="s">
        <v>352</v>
      </c>
      <c r="J29" s="611" t="s">
        <v>353</v>
      </c>
      <c r="K29" s="611" t="s">
        <v>354</v>
      </c>
      <c r="L29" s="611">
        <v>123</v>
      </c>
      <c r="M29" s="611" t="s">
        <v>355</v>
      </c>
      <c r="N29" s="611">
        <v>45</v>
      </c>
      <c r="O29" s="611" t="s">
        <v>356</v>
      </c>
      <c r="P29" s="611" t="s">
        <v>357</v>
      </c>
      <c r="Q29" s="611" t="s">
        <v>358</v>
      </c>
      <c r="R29" s="611">
        <v>100</v>
      </c>
      <c r="S29" s="611" t="s">
        <v>359</v>
      </c>
      <c r="T29" s="611" t="s">
        <v>360</v>
      </c>
      <c r="U29" s="611" t="s">
        <v>37</v>
      </c>
      <c r="V29" s="611"/>
      <c r="W29" s="611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156" t="e">
        <f t="shared" ref="AJ29" si="68">AI29/($AI29)</f>
        <v>#DIV/0!</v>
      </c>
      <c r="AK29" s="2"/>
      <c r="AL29" s="156" t="e">
        <f t="shared" ref="AL29:AN29" si="69">AK29/($AI29)</f>
        <v>#DIV/0!</v>
      </c>
      <c r="AM29" s="2"/>
      <c r="AN29" s="156" t="e">
        <f t="shared" si="69"/>
        <v>#DIV/0!</v>
      </c>
      <c r="AO29" s="2"/>
      <c r="AP29" s="156" t="e">
        <f t="shared" si="2"/>
        <v>#DIV/0!</v>
      </c>
      <c r="AQ29" s="2"/>
      <c r="AR29" s="156" t="e">
        <f t="shared" si="2"/>
        <v>#DIV/0!</v>
      </c>
      <c r="AS29" s="2"/>
      <c r="AT29" s="156" t="e">
        <f t="shared" si="2"/>
        <v>#DIV/0!</v>
      </c>
      <c r="AU29" s="2"/>
      <c r="AV29" s="156" t="e">
        <f t="shared" si="2"/>
        <v>#DIV/0!</v>
      </c>
      <c r="AW29" s="2"/>
      <c r="AX29" s="156" t="e">
        <f t="shared" si="59"/>
        <v>#DIV/0!</v>
      </c>
      <c r="AY29" s="2"/>
      <c r="AZ29" s="156" t="e">
        <f t="shared" si="59"/>
        <v>#DIV/0!</v>
      </c>
      <c r="BB29" s="156" t="e">
        <f t="shared" si="59"/>
        <v>#DIV/0!</v>
      </c>
      <c r="BD29" s="156" t="e">
        <f t="shared" si="59"/>
        <v>#DIV/0!</v>
      </c>
      <c r="BF29" s="156" t="e">
        <f t="shared" si="59"/>
        <v>#DIV/0!</v>
      </c>
      <c r="BH29" s="156" t="e">
        <f t="shared" si="59"/>
        <v>#DIV/0!</v>
      </c>
      <c r="BK29" s="156" t="e">
        <f t="shared" si="5"/>
        <v>#DIV/0!</v>
      </c>
      <c r="BM29" s="156" t="e">
        <f t="shared" si="6"/>
        <v>#DIV/0!</v>
      </c>
      <c r="BO29" s="156" t="e">
        <f t="shared" si="7"/>
        <v>#DIV/0!</v>
      </c>
      <c r="BQ29" s="156" t="e">
        <f t="shared" si="8"/>
        <v>#DIV/0!</v>
      </c>
      <c r="BS29" s="156" t="e">
        <f t="shared" si="9"/>
        <v>#DIV/0!</v>
      </c>
      <c r="BU29" s="156" t="e">
        <f t="shared" si="10"/>
        <v>#DIV/0!</v>
      </c>
    </row>
    <row r="30" spans="1:88" s="12" customFormat="1" ht="18.75" hidden="1" customHeight="1">
      <c r="A30" s="678"/>
      <c r="B30" s="122" t="s">
        <v>349</v>
      </c>
      <c r="C30" s="608" t="str">
        <f t="shared" ca="1" si="66"/>
        <v>{"Klientschaft":`${p.FamilyName5}, ${p.WomanFirstName5}`,"Gueltigkeit":"01.01.2025-31.12.2025","KKasse":"Arcosana AG","VersNummer":"123","GrundPraemie":"45","ZahnInklusive":"ja","Franchise":"100","Bemerkung":"Test"}</v>
      </c>
      <c r="D30" s="2"/>
      <c r="E30" s="206" t="s">
        <v>350</v>
      </c>
      <c r="F30" s="609" t="str">
        <f>"${"&amp;$G$5&amp;"}, ${"&amp;$H$135&amp;"}"</f>
        <v>${p.FamilyName5}, ${p.WomanFirstName5}</v>
      </c>
      <c r="G30" s="611" t="s">
        <v>351</v>
      </c>
      <c r="H30" s="640" t="str">
        <f t="shared" ca="1" si="67"/>
        <v>01.01.2025-31.12.2025</v>
      </c>
      <c r="I30" s="611" t="s">
        <v>352</v>
      </c>
      <c r="J30" s="611" t="s">
        <v>353</v>
      </c>
      <c r="K30" s="611" t="s">
        <v>354</v>
      </c>
      <c r="L30" s="611">
        <v>123</v>
      </c>
      <c r="M30" s="611" t="s">
        <v>355</v>
      </c>
      <c r="N30" s="611">
        <v>45</v>
      </c>
      <c r="O30" s="611" t="s">
        <v>356</v>
      </c>
      <c r="P30" s="611" t="s">
        <v>357</v>
      </c>
      <c r="Q30" s="611" t="s">
        <v>358</v>
      </c>
      <c r="R30" s="611">
        <v>100</v>
      </c>
      <c r="S30" s="611" t="s">
        <v>359</v>
      </c>
      <c r="T30" s="611" t="s">
        <v>360</v>
      </c>
      <c r="U30" s="611" t="s">
        <v>37</v>
      </c>
      <c r="V30" s="611"/>
      <c r="W30" s="611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156" t="e">
        <f t="shared" ref="AJ30" si="70">AI30/($AI30)</f>
        <v>#DIV/0!</v>
      </c>
      <c r="AK30" s="2"/>
      <c r="AL30" s="156" t="e">
        <f t="shared" ref="AL30:AN30" si="71">AK30/($AI30)</f>
        <v>#DIV/0!</v>
      </c>
      <c r="AM30" s="2"/>
      <c r="AN30" s="156" t="e">
        <f t="shared" si="71"/>
        <v>#DIV/0!</v>
      </c>
      <c r="AO30" s="2"/>
      <c r="AP30" s="156" t="e">
        <f t="shared" si="2"/>
        <v>#DIV/0!</v>
      </c>
      <c r="AQ30" s="2"/>
      <c r="AR30" s="156" t="e">
        <f t="shared" si="2"/>
        <v>#DIV/0!</v>
      </c>
      <c r="AS30" s="2"/>
      <c r="AT30" s="156" t="e">
        <f t="shared" si="2"/>
        <v>#DIV/0!</v>
      </c>
      <c r="AU30" s="2"/>
      <c r="AV30" s="156" t="e">
        <f t="shared" si="2"/>
        <v>#DIV/0!</v>
      </c>
      <c r="AW30" s="2"/>
      <c r="AX30" s="156" t="e">
        <f t="shared" si="59"/>
        <v>#DIV/0!</v>
      </c>
      <c r="AY30" s="2"/>
      <c r="AZ30" s="156" t="e">
        <f t="shared" si="59"/>
        <v>#DIV/0!</v>
      </c>
      <c r="BB30" s="156" t="e">
        <f t="shared" si="59"/>
        <v>#DIV/0!</v>
      </c>
      <c r="BD30" s="156" t="e">
        <f t="shared" si="59"/>
        <v>#DIV/0!</v>
      </c>
      <c r="BF30" s="156" t="e">
        <f t="shared" si="59"/>
        <v>#DIV/0!</v>
      </c>
      <c r="BH30" s="156" t="e">
        <f t="shared" si="59"/>
        <v>#DIV/0!</v>
      </c>
      <c r="BK30" s="156" t="e">
        <f t="shared" si="5"/>
        <v>#DIV/0!</v>
      </c>
      <c r="BM30" s="156" t="e">
        <f t="shared" si="6"/>
        <v>#DIV/0!</v>
      </c>
      <c r="BO30" s="156" t="e">
        <f t="shared" si="7"/>
        <v>#DIV/0!</v>
      </c>
      <c r="BQ30" s="156" t="e">
        <f t="shared" si="8"/>
        <v>#DIV/0!</v>
      </c>
      <c r="BS30" s="156" t="e">
        <f t="shared" si="9"/>
        <v>#DIV/0!</v>
      </c>
      <c r="BU30" s="156" t="e">
        <f t="shared" si="10"/>
        <v>#DIV/0!</v>
      </c>
    </row>
    <row r="31" spans="1:88" s="12" customFormat="1" ht="18.75" hidden="1" customHeight="1">
      <c r="A31" s="678"/>
      <c r="B31" s="122" t="s">
        <v>349</v>
      </c>
      <c r="C31" s="608" t="str">
        <f t="shared" ca="1" si="66"/>
        <v>{"Klientschaft":`${p.FamilyName5}, ${p.GirlFirstName5}`,"Gueltigkeit":"01.01.2025-31.12.2025","KKasse":"Arcosana AG","VersNummer":"123","GrundPraemie":"45","ZahnInklusive":"ja","Franchise":"100","Bemerkung":"Test"}</v>
      </c>
      <c r="D31" s="2"/>
      <c r="E31" s="206" t="s">
        <v>350</v>
      </c>
      <c r="F31" s="609" t="str">
        <f>"${"&amp;$G$5&amp;"}, ${"&amp;$H$136&amp;"}"</f>
        <v>${p.FamilyName5}, ${p.GirlFirstName5}</v>
      </c>
      <c r="G31" s="611" t="s">
        <v>351</v>
      </c>
      <c r="H31" s="640" t="str">
        <f t="shared" ca="1" si="67"/>
        <v>01.01.2025-31.12.2025</v>
      </c>
      <c r="I31" s="611" t="s">
        <v>352</v>
      </c>
      <c r="J31" s="611" t="s">
        <v>353</v>
      </c>
      <c r="K31" s="611" t="s">
        <v>354</v>
      </c>
      <c r="L31" s="611">
        <v>123</v>
      </c>
      <c r="M31" s="611" t="s">
        <v>355</v>
      </c>
      <c r="N31" s="611">
        <v>45</v>
      </c>
      <c r="O31" s="611" t="s">
        <v>356</v>
      </c>
      <c r="P31" s="611" t="s">
        <v>357</v>
      </c>
      <c r="Q31" s="611" t="s">
        <v>358</v>
      </c>
      <c r="R31" s="611">
        <v>100</v>
      </c>
      <c r="S31" s="611" t="s">
        <v>359</v>
      </c>
      <c r="T31" s="611" t="s">
        <v>360</v>
      </c>
      <c r="U31" s="611" t="s">
        <v>37</v>
      </c>
      <c r="V31" s="611"/>
      <c r="W31" s="611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156" t="e">
        <f t="shared" ref="AJ31" si="72">AI31/($AI31)</f>
        <v>#DIV/0!</v>
      </c>
      <c r="AK31" s="2"/>
      <c r="AL31" s="156" t="e">
        <f t="shared" ref="AL31:AN31" si="73">AK31/($AI31)</f>
        <v>#DIV/0!</v>
      </c>
      <c r="AM31" s="2"/>
      <c r="AN31" s="156" t="e">
        <f t="shared" si="73"/>
        <v>#DIV/0!</v>
      </c>
      <c r="AO31" s="2"/>
      <c r="AP31" s="156" t="e">
        <f t="shared" si="2"/>
        <v>#DIV/0!</v>
      </c>
      <c r="AQ31" s="2"/>
      <c r="AR31" s="156" t="e">
        <f t="shared" si="2"/>
        <v>#DIV/0!</v>
      </c>
      <c r="AS31" s="2"/>
      <c r="AT31" s="156" t="e">
        <f t="shared" si="2"/>
        <v>#DIV/0!</v>
      </c>
      <c r="AU31" s="2"/>
      <c r="AV31" s="156" t="e">
        <f t="shared" si="2"/>
        <v>#DIV/0!</v>
      </c>
      <c r="AW31" s="2"/>
      <c r="AX31" s="156" t="e">
        <f t="shared" si="59"/>
        <v>#DIV/0!</v>
      </c>
      <c r="AY31" s="2"/>
      <c r="AZ31" s="156" t="e">
        <f t="shared" si="59"/>
        <v>#DIV/0!</v>
      </c>
      <c r="BB31" s="156" t="e">
        <f t="shared" si="59"/>
        <v>#DIV/0!</v>
      </c>
      <c r="BD31" s="156" t="e">
        <f t="shared" si="59"/>
        <v>#DIV/0!</v>
      </c>
      <c r="BF31" s="156" t="e">
        <f t="shared" si="59"/>
        <v>#DIV/0!</v>
      </c>
      <c r="BH31" s="156" t="e">
        <f t="shared" si="59"/>
        <v>#DIV/0!</v>
      </c>
      <c r="BK31" s="156" t="e">
        <f t="shared" si="5"/>
        <v>#DIV/0!</v>
      </c>
      <c r="BM31" s="156" t="e">
        <f t="shared" si="6"/>
        <v>#DIV/0!</v>
      </c>
      <c r="BO31" s="156" t="e">
        <f t="shared" si="7"/>
        <v>#DIV/0!</v>
      </c>
      <c r="BQ31" s="156" t="e">
        <f t="shared" si="8"/>
        <v>#DIV/0!</v>
      </c>
      <c r="BS31" s="156" t="e">
        <f t="shared" si="9"/>
        <v>#DIV/0!</v>
      </c>
      <c r="BU31" s="156" t="e">
        <f t="shared" si="10"/>
        <v>#DIV/0!</v>
      </c>
    </row>
    <row r="32" spans="1:88" s="12" customFormat="1" ht="18.75" hidden="1" customHeight="1">
      <c r="A32" s="678"/>
      <c r="B32" s="122" t="s">
        <v>349</v>
      </c>
      <c r="C32" s="608" t="str">
        <f t="shared" ca="1" si="66"/>
        <v>{"Klientschaft":`${p.FamilyName5}, ${p.ManFirstName6}`,"Gueltigkeit":"01.01.2025-31.12.2025","KKasse":"Arcosana AG","VersNummer":"123","GrundPraemie":"45","ZahnInklusive":"ja","Franchise":"100","Bemerkung":"Test"}</v>
      </c>
      <c r="D32" s="2"/>
      <c r="E32" s="206" t="s">
        <v>350</v>
      </c>
      <c r="F32" s="609" t="str">
        <f>"${"&amp;$G$5&amp;"}, ${"&amp;$H$137&amp;"}"</f>
        <v>${p.FamilyName5}, ${p.ManFirstName6}</v>
      </c>
      <c r="G32" s="611" t="s">
        <v>351</v>
      </c>
      <c r="H32" s="640" t="str">
        <f t="shared" ca="1" si="67"/>
        <v>01.01.2025-31.12.2025</v>
      </c>
      <c r="I32" s="611" t="s">
        <v>352</v>
      </c>
      <c r="J32" s="611" t="s">
        <v>353</v>
      </c>
      <c r="K32" s="611" t="s">
        <v>354</v>
      </c>
      <c r="L32" s="611">
        <v>123</v>
      </c>
      <c r="M32" s="611" t="s">
        <v>355</v>
      </c>
      <c r="N32" s="611">
        <v>45</v>
      </c>
      <c r="O32" s="611" t="s">
        <v>356</v>
      </c>
      <c r="P32" s="611" t="s">
        <v>357</v>
      </c>
      <c r="Q32" s="611" t="s">
        <v>358</v>
      </c>
      <c r="R32" s="611">
        <v>100</v>
      </c>
      <c r="S32" s="611" t="s">
        <v>359</v>
      </c>
      <c r="T32" s="611" t="s">
        <v>360</v>
      </c>
      <c r="U32" s="611" t="s">
        <v>37</v>
      </c>
      <c r="V32" s="611"/>
      <c r="W32" s="611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156" t="e">
        <f t="shared" ref="AJ32" si="74">AI32/($AI32)</f>
        <v>#DIV/0!</v>
      </c>
      <c r="AK32" s="2"/>
      <c r="AL32" s="156" t="e">
        <f t="shared" ref="AL32:AN32" si="75">AK32/($AI32)</f>
        <v>#DIV/0!</v>
      </c>
      <c r="AM32" s="2"/>
      <c r="AN32" s="156" t="e">
        <f t="shared" si="75"/>
        <v>#DIV/0!</v>
      </c>
      <c r="AO32" s="2"/>
      <c r="AP32" s="156" t="e">
        <f t="shared" si="2"/>
        <v>#DIV/0!</v>
      </c>
      <c r="AQ32" s="2"/>
      <c r="AR32" s="156" t="e">
        <f t="shared" si="2"/>
        <v>#DIV/0!</v>
      </c>
      <c r="AS32" s="2"/>
      <c r="AT32" s="156" t="e">
        <f t="shared" si="2"/>
        <v>#DIV/0!</v>
      </c>
      <c r="AU32" s="2"/>
      <c r="AV32" s="156" t="e">
        <f t="shared" si="2"/>
        <v>#DIV/0!</v>
      </c>
      <c r="AW32" s="2"/>
      <c r="AX32" s="156" t="e">
        <f t="shared" si="59"/>
        <v>#DIV/0!</v>
      </c>
      <c r="AY32" s="2"/>
      <c r="AZ32" s="156" t="e">
        <f t="shared" si="59"/>
        <v>#DIV/0!</v>
      </c>
      <c r="BB32" s="156" t="e">
        <f t="shared" si="59"/>
        <v>#DIV/0!</v>
      </c>
      <c r="BD32" s="156" t="e">
        <f t="shared" si="59"/>
        <v>#DIV/0!</v>
      </c>
      <c r="BF32" s="156" t="e">
        <f t="shared" si="59"/>
        <v>#DIV/0!</v>
      </c>
      <c r="BH32" s="156" t="e">
        <f t="shared" si="59"/>
        <v>#DIV/0!</v>
      </c>
      <c r="BK32" s="156" t="e">
        <f t="shared" si="5"/>
        <v>#DIV/0!</v>
      </c>
      <c r="BM32" s="156" t="e">
        <f t="shared" si="6"/>
        <v>#DIV/0!</v>
      </c>
      <c r="BO32" s="156" t="e">
        <f t="shared" si="7"/>
        <v>#DIV/0!</v>
      </c>
      <c r="BQ32" s="156" t="e">
        <f t="shared" si="8"/>
        <v>#DIV/0!</v>
      </c>
      <c r="BS32" s="156" t="e">
        <f t="shared" si="9"/>
        <v>#DIV/0!</v>
      </c>
      <c r="BU32" s="156" t="e">
        <f t="shared" si="10"/>
        <v>#DIV/0!</v>
      </c>
    </row>
    <row r="33" spans="1:111" s="12" customFormat="1" ht="18.75" customHeight="1">
      <c r="A33" s="678">
        <v>36</v>
      </c>
      <c r="B33" s="122" t="s">
        <v>361</v>
      </c>
      <c r="C33" s="608" t="str">
        <f t="shared" ca="1" si="66"/>
        <v>{"klientschaft":`${p.FamilyName5}, ${p.ManFirstName5}`,"gueltigkeit":"01.01.2025-31.12.2025","kKasse":"Arcosana AG","versNummer":"123","grundPraemie":"450","unfall":"ja","franchise":"100","bemerkung":"Test","IPV":65,"police":"c:/temp/KrankenVersicherungPolice.docx"}</v>
      </c>
      <c r="D33" s="2"/>
      <c r="E33" s="206" t="s">
        <v>362</v>
      </c>
      <c r="F33" s="609" t="str">
        <f>"${"&amp;$G$5&amp;"}, ${"&amp;$H$134&amp;"}"</f>
        <v>${p.FamilyName5}, ${p.ManFirstName5}</v>
      </c>
      <c r="G33" s="611" t="s">
        <v>363</v>
      </c>
      <c r="H33" s="640" t="str">
        <f ca="1">"01.01."&amp;YEAR(TODAY()) &amp;"-31.12."&amp;YEAR(TODAY())</f>
        <v>01.01.2025-31.12.2025</v>
      </c>
      <c r="I33" s="611" t="s">
        <v>364</v>
      </c>
      <c r="J33" s="611" t="s">
        <v>353</v>
      </c>
      <c r="K33" s="611" t="s">
        <v>365</v>
      </c>
      <c r="L33" s="611">
        <v>123</v>
      </c>
      <c r="M33" s="611" t="s">
        <v>366</v>
      </c>
      <c r="N33" s="611">
        <v>450</v>
      </c>
      <c r="O33" s="611" t="s">
        <v>367</v>
      </c>
      <c r="P33" s="611" t="s">
        <v>357</v>
      </c>
      <c r="Q33" s="611" t="s">
        <v>368</v>
      </c>
      <c r="R33" s="611">
        <v>100</v>
      </c>
      <c r="S33" s="611" t="s">
        <v>369</v>
      </c>
      <c r="T33" s="611" t="s">
        <v>360</v>
      </c>
      <c r="U33" s="611" t="s">
        <v>370</v>
      </c>
      <c r="V33" s="611">
        <v>65</v>
      </c>
      <c r="W33" s="611" t="s">
        <v>371</v>
      </c>
      <c r="X33" s="2" t="s">
        <v>372</v>
      </c>
      <c r="Y33" s="2" t="s">
        <v>37</v>
      </c>
      <c r="Z33" s="2"/>
      <c r="AA33" s="2"/>
      <c r="AB33" s="2"/>
      <c r="AC33" s="2"/>
      <c r="AD33" s="2"/>
      <c r="AE33" s="2"/>
      <c r="AF33" s="2"/>
      <c r="AG33" s="2"/>
      <c r="AH33" s="2"/>
      <c r="AI33" s="2">
        <v>11903</v>
      </c>
      <c r="AJ33" s="156">
        <f t="shared" ref="AJ33" si="76">AI33/($AI33)</f>
        <v>1</v>
      </c>
      <c r="AK33" s="2"/>
      <c r="AL33" s="156">
        <f t="shared" ref="AL33:AN33" si="77">AK33/($AI33)</f>
        <v>0</v>
      </c>
      <c r="AM33" s="2">
        <v>11903</v>
      </c>
      <c r="AN33" s="156">
        <f t="shared" si="77"/>
        <v>1</v>
      </c>
      <c r="AO33" s="2">
        <v>368</v>
      </c>
      <c r="AP33" s="156">
        <f t="shared" si="2"/>
        <v>3.0916575653196672E-2</v>
      </c>
      <c r="AQ33" s="2">
        <v>426</v>
      </c>
      <c r="AR33" s="156">
        <f t="shared" si="2"/>
        <v>3.578929681592876E-2</v>
      </c>
      <c r="AS33" s="2">
        <v>10228</v>
      </c>
      <c r="AT33" s="156">
        <f t="shared" si="2"/>
        <v>0.85927917331765102</v>
      </c>
      <c r="AU33" s="2">
        <v>10117</v>
      </c>
      <c r="AV33" s="156">
        <f t="shared" si="2"/>
        <v>0.84995379316138786</v>
      </c>
      <c r="AW33" s="2">
        <v>10302</v>
      </c>
      <c r="AX33" s="156">
        <f t="shared" si="59"/>
        <v>0.86549609342182643</v>
      </c>
      <c r="AY33" s="2">
        <v>9239</v>
      </c>
      <c r="AZ33" s="156">
        <f t="shared" si="59"/>
        <v>0.77619087624968497</v>
      </c>
      <c r="BA33" s="2">
        <v>9985</v>
      </c>
      <c r="BB33" s="156">
        <f t="shared" si="59"/>
        <v>0.83886415189448038</v>
      </c>
      <c r="BC33" s="2">
        <v>5214</v>
      </c>
      <c r="BD33" s="156">
        <f t="shared" si="59"/>
        <v>0.43804083004284633</v>
      </c>
      <c r="BE33" s="2">
        <v>4596</v>
      </c>
      <c r="BF33" s="156">
        <f t="shared" si="59"/>
        <v>0.38612114592959756</v>
      </c>
      <c r="BG33" s="2">
        <v>4469</v>
      </c>
      <c r="BH33" s="156">
        <f t="shared" si="59"/>
        <v>0.37545156683189113</v>
      </c>
      <c r="BI33" s="12">
        <v>5472</v>
      </c>
      <c r="BJ33" s="12">
        <v>7718</v>
      </c>
      <c r="BK33" s="156">
        <f t="shared" si="5"/>
        <v>0.64840796437872805</v>
      </c>
      <c r="BL33" s="12">
        <v>8176</v>
      </c>
      <c r="BM33" s="156">
        <f t="shared" si="6"/>
        <v>0.68688565907754351</v>
      </c>
      <c r="BN33" s="12">
        <v>7574</v>
      </c>
      <c r="BO33" s="156">
        <f t="shared" si="7"/>
        <v>0.63631017390573807</v>
      </c>
      <c r="BP33" s="12">
        <v>8009</v>
      </c>
      <c r="BQ33" s="156">
        <f t="shared" si="8"/>
        <v>0.67285558262622869</v>
      </c>
      <c r="BR33" s="12">
        <v>6688</v>
      </c>
      <c r="BS33" s="156">
        <f t="shared" si="9"/>
        <v>0.56187515752331341</v>
      </c>
      <c r="BT33" s="12">
        <v>8109</v>
      </c>
      <c r="BU33" s="156">
        <f t="shared" si="10"/>
        <v>0.68125682601024951</v>
      </c>
      <c r="BW33" s="12">
        <v>9245</v>
      </c>
      <c r="BY33" s="12">
        <v>5138</v>
      </c>
      <c r="CA33" s="12">
        <v>7644</v>
      </c>
      <c r="CC33" s="12">
        <v>6931</v>
      </c>
      <c r="CE33" s="12">
        <v>6113</v>
      </c>
      <c r="CG33" s="12">
        <v>292</v>
      </c>
      <c r="CI33" s="12">
        <v>3491</v>
      </c>
      <c r="CJ33" s="12" t="s">
        <v>1718</v>
      </c>
    </row>
    <row r="34" spans="1:111" s="12" customFormat="1" ht="18.75" customHeight="1">
      <c r="A34" s="678">
        <v>37</v>
      </c>
      <c r="B34" s="122" t="s">
        <v>361</v>
      </c>
      <c r="C34" s="608" t="str">
        <f t="shared" ca="1" si="66"/>
        <v>{"klientschaft":`${p.FamilyName5}, ${p.WomanFirstName5}`,"gueltigkeit":"01.01.2025-31.12.2025","kKasse":"Arcosana AG","versNummer":"123","grundPraemie":"450","unfall":"ja","franchise":"100","bemerkung":"Test","IPV":65,"police":"c:/temp/KrankenVersicherungPolice.docx"}</v>
      </c>
      <c r="D34" s="2"/>
      <c r="E34" s="206" t="s">
        <v>362</v>
      </c>
      <c r="F34" s="609" t="str">
        <f>"${"&amp;$G$5&amp;"}, ${"&amp;$H$135&amp;"}"</f>
        <v>${p.FamilyName5}, ${p.WomanFirstName5}</v>
      </c>
      <c r="G34" s="611" t="s">
        <v>363</v>
      </c>
      <c r="H34" s="640" t="str">
        <f ca="1">"01.01."&amp;YEAR(TODAY()) &amp;"-31.12."&amp;YEAR(TODAY())</f>
        <v>01.01.2025-31.12.2025</v>
      </c>
      <c r="I34" s="611" t="s">
        <v>364</v>
      </c>
      <c r="J34" s="611" t="s">
        <v>353</v>
      </c>
      <c r="K34" s="611" t="s">
        <v>365</v>
      </c>
      <c r="L34" s="611">
        <v>123</v>
      </c>
      <c r="M34" s="611" t="s">
        <v>366</v>
      </c>
      <c r="N34" s="611">
        <v>450</v>
      </c>
      <c r="O34" s="611" t="s">
        <v>367</v>
      </c>
      <c r="P34" s="611" t="s">
        <v>357</v>
      </c>
      <c r="Q34" s="611" t="s">
        <v>368</v>
      </c>
      <c r="R34" s="611">
        <v>100</v>
      </c>
      <c r="S34" s="611" t="s">
        <v>369</v>
      </c>
      <c r="T34" s="611" t="s">
        <v>360</v>
      </c>
      <c r="U34" s="611" t="s">
        <v>370</v>
      </c>
      <c r="V34" s="611">
        <v>65</v>
      </c>
      <c r="W34" s="611" t="s">
        <v>371</v>
      </c>
      <c r="X34" s="2" t="s">
        <v>372</v>
      </c>
      <c r="Y34" s="2" t="s">
        <v>37</v>
      </c>
      <c r="Z34" s="2"/>
      <c r="AA34" s="2"/>
      <c r="AB34" s="2"/>
      <c r="AC34" s="2"/>
      <c r="AD34" s="2"/>
      <c r="AE34" s="2"/>
      <c r="AF34" s="2"/>
      <c r="AG34" s="2"/>
      <c r="AH34" s="2"/>
      <c r="AI34" s="2">
        <v>11283</v>
      </c>
      <c r="AJ34" s="156">
        <f t="shared" ref="AJ34" si="78">AI34/($AI34)</f>
        <v>1</v>
      </c>
      <c r="AK34" s="2"/>
      <c r="AL34" s="156">
        <f t="shared" ref="AL34:AN34" si="79">AK34/($AI34)</f>
        <v>0</v>
      </c>
      <c r="AM34" s="2">
        <v>11283</v>
      </c>
      <c r="AN34" s="156">
        <f t="shared" si="79"/>
        <v>1</v>
      </c>
      <c r="AO34" s="2"/>
      <c r="AP34" s="156">
        <f t="shared" si="2"/>
        <v>0</v>
      </c>
      <c r="AQ34" s="2"/>
      <c r="AR34" s="156">
        <f t="shared" si="2"/>
        <v>0</v>
      </c>
      <c r="AS34" s="2">
        <v>9489</v>
      </c>
      <c r="AT34" s="156">
        <f t="shared" si="2"/>
        <v>0.84099973411326778</v>
      </c>
      <c r="AU34" s="2">
        <v>9084</v>
      </c>
      <c r="AV34" s="156">
        <f t="shared" si="2"/>
        <v>0.80510502525923955</v>
      </c>
      <c r="AW34" s="2">
        <v>9455</v>
      </c>
      <c r="AX34" s="156">
        <f t="shared" si="59"/>
        <v>0.83798635114774445</v>
      </c>
      <c r="AY34" s="2">
        <v>8652</v>
      </c>
      <c r="AZ34" s="156">
        <f t="shared" si="59"/>
        <v>0.76681733581494282</v>
      </c>
      <c r="BA34" s="2">
        <v>8349</v>
      </c>
      <c r="BB34" s="156">
        <f t="shared" si="59"/>
        <v>0.73996277585748471</v>
      </c>
      <c r="BC34" s="2">
        <v>4110</v>
      </c>
      <c r="BD34" s="156">
        <f t="shared" si="59"/>
        <v>0.36426482318532305</v>
      </c>
      <c r="BE34" s="2">
        <v>4022</v>
      </c>
      <c r="BF34" s="156">
        <f t="shared" si="59"/>
        <v>0.35646547903926262</v>
      </c>
      <c r="BG34" s="2">
        <v>3933</v>
      </c>
      <c r="BH34" s="156">
        <f t="shared" si="59"/>
        <v>0.34857750598245146</v>
      </c>
      <c r="BI34" s="12">
        <v>5456</v>
      </c>
      <c r="BJ34" s="12">
        <v>5257</v>
      </c>
      <c r="BK34" s="156">
        <f t="shared" si="5"/>
        <v>0.46592218381636091</v>
      </c>
      <c r="BL34" s="12">
        <v>4901</v>
      </c>
      <c r="BM34" s="156">
        <f t="shared" si="6"/>
        <v>0.43437029158911639</v>
      </c>
      <c r="BN34" s="12">
        <v>5382</v>
      </c>
      <c r="BO34" s="156">
        <f t="shared" si="7"/>
        <v>0.47700079766019676</v>
      </c>
      <c r="BP34" s="12">
        <v>5210</v>
      </c>
      <c r="BQ34" s="156">
        <f t="shared" si="8"/>
        <v>0.46175662501107861</v>
      </c>
      <c r="BR34" s="12">
        <v>4702</v>
      </c>
      <c r="BS34" s="156">
        <f t="shared" si="9"/>
        <v>0.41673313834972969</v>
      </c>
      <c r="BT34" s="12">
        <v>4774</v>
      </c>
      <c r="BU34" s="156">
        <f t="shared" si="10"/>
        <v>0.42311441992377913</v>
      </c>
      <c r="BW34" s="12">
        <v>5125</v>
      </c>
      <c r="BY34" s="12">
        <v>4107</v>
      </c>
      <c r="CA34" s="12">
        <v>4559</v>
      </c>
      <c r="CC34" s="12">
        <v>4936</v>
      </c>
      <c r="CE34" s="12">
        <v>4908</v>
      </c>
      <c r="CI34" s="12">
        <v>2817</v>
      </c>
      <c r="CJ34" s="12" t="s">
        <v>1718</v>
      </c>
    </row>
    <row r="35" spans="1:111" s="12" customFormat="1" ht="18.75" customHeight="1">
      <c r="A35" s="678">
        <v>38</v>
      </c>
      <c r="B35" s="122" t="s">
        <v>361</v>
      </c>
      <c r="C35" s="608" t="str">
        <f t="shared" ca="1" si="66"/>
        <v>{"klientschaft":`${p.FamilyName5}, ${p.GirlFirstName5}`,"gueltigkeit":"01.01.2025-31.12.2025","kKasse":"Arcosana AG","versNummer":"123","grundPraemie":"450","unfall":"ja","franchise":"100","bemerkung":"Test","IPV":65,"police":"c:/temp/KrankenVersicherungPolice.docx"}</v>
      </c>
      <c r="D35" s="2"/>
      <c r="E35" s="206" t="s">
        <v>362</v>
      </c>
      <c r="F35" s="609" t="str">
        <f>"${"&amp;$G$5&amp;"}, ${"&amp;$H$136&amp;"}"</f>
        <v>${p.FamilyName5}, ${p.GirlFirstName5}</v>
      </c>
      <c r="G35" s="611" t="s">
        <v>363</v>
      </c>
      <c r="H35" s="640" t="str">
        <f t="shared" ca="1" si="67"/>
        <v>01.01.2025-31.12.2025</v>
      </c>
      <c r="I35" s="611" t="s">
        <v>364</v>
      </c>
      <c r="J35" s="611" t="s">
        <v>353</v>
      </c>
      <c r="K35" s="611" t="s">
        <v>365</v>
      </c>
      <c r="L35" s="611">
        <v>123</v>
      </c>
      <c r="M35" s="611" t="s">
        <v>366</v>
      </c>
      <c r="N35" s="611">
        <v>450</v>
      </c>
      <c r="O35" s="611" t="s">
        <v>367</v>
      </c>
      <c r="P35" s="611" t="s">
        <v>357</v>
      </c>
      <c r="Q35" s="611" t="s">
        <v>368</v>
      </c>
      <c r="R35" s="611">
        <v>100</v>
      </c>
      <c r="S35" s="611" t="s">
        <v>369</v>
      </c>
      <c r="T35" s="611" t="s">
        <v>360</v>
      </c>
      <c r="U35" s="611" t="s">
        <v>370</v>
      </c>
      <c r="V35" s="611">
        <v>65</v>
      </c>
      <c r="W35" s="611" t="s">
        <v>371</v>
      </c>
      <c r="X35" s="2" t="s">
        <v>372</v>
      </c>
      <c r="Y35" s="2" t="s">
        <v>37</v>
      </c>
      <c r="Z35" s="2"/>
      <c r="AA35" s="2"/>
      <c r="AB35" s="2"/>
      <c r="AC35" s="2"/>
      <c r="AD35" s="2"/>
      <c r="AE35" s="2"/>
      <c r="AF35" s="2"/>
      <c r="AG35" s="2"/>
      <c r="AH35" s="2"/>
      <c r="AI35" s="2">
        <v>11092</v>
      </c>
      <c r="AJ35" s="156">
        <f t="shared" ref="AJ35" si="80">AI35/($AI35)</f>
        <v>1</v>
      </c>
      <c r="AK35" s="2"/>
      <c r="AL35" s="156">
        <f t="shared" ref="AL35:AN35" si="81">AK35/($AI35)</f>
        <v>0</v>
      </c>
      <c r="AM35" s="2">
        <v>11092</v>
      </c>
      <c r="AN35" s="156">
        <f t="shared" si="81"/>
        <v>1</v>
      </c>
      <c r="AO35" s="2"/>
      <c r="AP35" s="156">
        <f t="shared" si="2"/>
        <v>0</v>
      </c>
      <c r="AQ35" s="2"/>
      <c r="AR35" s="156">
        <f t="shared" si="2"/>
        <v>0</v>
      </c>
      <c r="AS35" s="2">
        <v>9544</v>
      </c>
      <c r="AT35" s="156">
        <f t="shared" si="2"/>
        <v>0.86043995672556794</v>
      </c>
      <c r="AU35" s="2">
        <v>9304</v>
      </c>
      <c r="AV35" s="156">
        <f t="shared" si="2"/>
        <v>0.83880274071402816</v>
      </c>
      <c r="AW35" s="2">
        <v>9518</v>
      </c>
      <c r="AX35" s="156">
        <f t="shared" si="59"/>
        <v>0.85809592499098453</v>
      </c>
      <c r="AY35" s="2">
        <v>8600</v>
      </c>
      <c r="AZ35" s="156">
        <f t="shared" si="59"/>
        <v>0.77533357374684453</v>
      </c>
      <c r="BA35" s="2">
        <v>8608</v>
      </c>
      <c r="BB35" s="156">
        <f t="shared" si="59"/>
        <v>0.77605481428056255</v>
      </c>
      <c r="BC35" s="2">
        <v>3932</v>
      </c>
      <c r="BD35" s="156">
        <f t="shared" si="59"/>
        <v>0.35448972232239451</v>
      </c>
      <c r="BE35" s="2">
        <v>4174</v>
      </c>
      <c r="BF35" s="156">
        <f t="shared" si="59"/>
        <v>0.37630724846736385</v>
      </c>
      <c r="BG35" s="2">
        <v>3991</v>
      </c>
      <c r="BH35" s="156">
        <f t="shared" si="59"/>
        <v>0.35980887125856476</v>
      </c>
      <c r="BI35" s="12">
        <v>4847</v>
      </c>
      <c r="BJ35" s="12">
        <v>5681</v>
      </c>
      <c r="BK35" s="156">
        <f t="shared" si="5"/>
        <v>0.51217093400649116</v>
      </c>
      <c r="BL35" s="12">
        <v>4812</v>
      </c>
      <c r="BM35" s="156">
        <f t="shared" si="6"/>
        <v>0.43382618103137394</v>
      </c>
      <c r="BN35" s="12">
        <v>6005</v>
      </c>
      <c r="BO35" s="156">
        <f t="shared" si="7"/>
        <v>0.54138117562207</v>
      </c>
      <c r="BP35" s="12">
        <v>5556</v>
      </c>
      <c r="BQ35" s="156">
        <f t="shared" si="8"/>
        <v>0.50090155066714748</v>
      </c>
      <c r="BR35" s="12">
        <v>7057</v>
      </c>
      <c r="BS35" s="156">
        <f t="shared" si="9"/>
        <v>0.63622430580598632</v>
      </c>
      <c r="BT35" s="12">
        <v>4662</v>
      </c>
      <c r="BU35" s="156">
        <f t="shared" si="10"/>
        <v>0.42030292102416156</v>
      </c>
      <c r="BW35" s="12">
        <v>4742</v>
      </c>
      <c r="BY35" s="12">
        <v>5325</v>
      </c>
      <c r="CA35" s="12">
        <v>4451</v>
      </c>
      <c r="CC35" s="12">
        <v>4643</v>
      </c>
      <c r="CE35" s="12">
        <v>4407</v>
      </c>
      <c r="CI35" s="12">
        <v>3632</v>
      </c>
      <c r="CJ35" s="12" t="s">
        <v>1718</v>
      </c>
    </row>
    <row r="36" spans="1:111" s="12" customFormat="1" ht="18.75" customHeight="1">
      <c r="A36" s="678">
        <v>39</v>
      </c>
      <c r="B36" s="122" t="s">
        <v>361</v>
      </c>
      <c r="C36" s="608" t="str">
        <f t="shared" ca="1" si="66"/>
        <v>{"klientschaft":`${p.FamilyName5}, ${p.ManFirstName6}`,"gueltigkeit":"01.01.2025-31.12.2025","kKasse":"Arcosana AG","versNummer":"123","grundPraemie":"450","unfall":"ja","franchise":"100","bemerkung":"Test","IPV":65,"police":"c:/temp/KrankenVersicherungPolice.docx"}</v>
      </c>
      <c r="D36" s="2"/>
      <c r="E36" s="206" t="s">
        <v>362</v>
      </c>
      <c r="F36" s="609" t="str">
        <f>"${"&amp;$G$5&amp;"}, ${"&amp;$H$137&amp;"}"</f>
        <v>${p.FamilyName5}, ${p.ManFirstName6}</v>
      </c>
      <c r="G36" s="611" t="s">
        <v>363</v>
      </c>
      <c r="H36" s="641" t="str">
        <f t="shared" ca="1" si="67"/>
        <v>01.01.2025-31.12.2025</v>
      </c>
      <c r="I36" s="611" t="s">
        <v>364</v>
      </c>
      <c r="J36" s="611" t="s">
        <v>353</v>
      </c>
      <c r="K36" s="611" t="s">
        <v>365</v>
      </c>
      <c r="L36" s="611">
        <v>123</v>
      </c>
      <c r="M36" s="611" t="s">
        <v>366</v>
      </c>
      <c r="N36" s="611">
        <v>450</v>
      </c>
      <c r="O36" s="611" t="s">
        <v>367</v>
      </c>
      <c r="P36" s="611" t="s">
        <v>357</v>
      </c>
      <c r="Q36" s="611" t="s">
        <v>368</v>
      </c>
      <c r="R36" s="611">
        <v>100</v>
      </c>
      <c r="S36" s="611" t="s">
        <v>369</v>
      </c>
      <c r="T36" s="611" t="s">
        <v>360</v>
      </c>
      <c r="U36" s="611" t="s">
        <v>370</v>
      </c>
      <c r="V36" s="611">
        <v>65</v>
      </c>
      <c r="W36" s="611" t="s">
        <v>371</v>
      </c>
      <c r="X36" s="2" t="s">
        <v>372</v>
      </c>
      <c r="Y36" s="2" t="s">
        <v>37</v>
      </c>
      <c r="Z36" s="2"/>
      <c r="AA36" s="2"/>
      <c r="AB36" s="2"/>
      <c r="AC36" s="2"/>
      <c r="AD36" s="2"/>
      <c r="AE36" s="2"/>
      <c r="AF36" s="2"/>
      <c r="AG36" s="2"/>
      <c r="AH36" s="2"/>
      <c r="AI36" s="2">
        <v>11307</v>
      </c>
      <c r="AJ36" s="156">
        <f t="shared" ref="AJ36" si="82">AI36/($AI36)</f>
        <v>1</v>
      </c>
      <c r="AK36" s="2"/>
      <c r="AL36" s="156">
        <f t="shared" ref="AL36:AN36" si="83">AK36/($AI36)</f>
        <v>0</v>
      </c>
      <c r="AM36" s="2">
        <v>11307</v>
      </c>
      <c r="AN36" s="156">
        <f t="shared" si="83"/>
        <v>1</v>
      </c>
      <c r="AO36" s="2"/>
      <c r="AP36" s="156">
        <f t="shared" si="2"/>
        <v>0</v>
      </c>
      <c r="AQ36" s="2"/>
      <c r="AR36" s="156">
        <f t="shared" si="2"/>
        <v>0</v>
      </c>
      <c r="AS36" s="2">
        <v>9652</v>
      </c>
      <c r="AT36" s="156">
        <f t="shared" si="2"/>
        <v>0.85363049438400995</v>
      </c>
      <c r="AU36" s="2">
        <v>9176</v>
      </c>
      <c r="AV36" s="156">
        <f t="shared" si="2"/>
        <v>0.81153267887149549</v>
      </c>
      <c r="AW36" s="2">
        <v>9667</v>
      </c>
      <c r="AX36" s="156">
        <f t="shared" si="59"/>
        <v>0.85495710621738741</v>
      </c>
      <c r="AY36" s="2">
        <v>8734</v>
      </c>
      <c r="AZ36" s="156">
        <f t="shared" si="59"/>
        <v>0.77244185018130362</v>
      </c>
      <c r="BA36" s="2">
        <v>8189</v>
      </c>
      <c r="BB36" s="156">
        <f t="shared" si="59"/>
        <v>0.72424162023525251</v>
      </c>
      <c r="BC36" s="2">
        <v>4046</v>
      </c>
      <c r="BD36" s="156">
        <f t="shared" si="59"/>
        <v>0.35783143185637217</v>
      </c>
      <c r="BE36" s="2">
        <v>3923</v>
      </c>
      <c r="BF36" s="156">
        <f t="shared" si="59"/>
        <v>0.34695321482267621</v>
      </c>
      <c r="BG36" s="2">
        <v>3829</v>
      </c>
      <c r="BH36" s="156">
        <f t="shared" si="59"/>
        <v>0.33863978066684353</v>
      </c>
      <c r="BI36" s="12">
        <v>4845</v>
      </c>
      <c r="BJ36" s="12">
        <v>5298</v>
      </c>
      <c r="BK36" s="156">
        <f t="shared" si="5"/>
        <v>0.46855929954895198</v>
      </c>
      <c r="BL36" s="12">
        <v>9107</v>
      </c>
      <c r="BM36" s="156">
        <f t="shared" si="6"/>
        <v>0.80543026443795873</v>
      </c>
      <c r="BN36" s="12">
        <v>4670</v>
      </c>
      <c r="BO36" s="156">
        <f t="shared" si="7"/>
        <v>0.4130184841248784</v>
      </c>
      <c r="BP36" s="12">
        <v>11290</v>
      </c>
      <c r="BQ36" s="156">
        <f t="shared" si="8"/>
        <v>0.99849650658883882</v>
      </c>
      <c r="BR36" s="12">
        <v>5098</v>
      </c>
      <c r="BS36" s="156">
        <f t="shared" si="9"/>
        <v>0.45087114177058457</v>
      </c>
      <c r="BT36" s="12">
        <v>5547</v>
      </c>
      <c r="BU36" s="156">
        <f t="shared" si="10"/>
        <v>0.49058105598301938</v>
      </c>
      <c r="BW36" s="12">
        <v>5465</v>
      </c>
      <c r="BY36" s="12">
        <v>4473</v>
      </c>
      <c r="CA36" s="12">
        <v>4790</v>
      </c>
      <c r="CC36" s="12">
        <v>4524</v>
      </c>
      <c r="CE36" s="12">
        <v>4298</v>
      </c>
      <c r="CI36" s="12">
        <v>2800</v>
      </c>
      <c r="CJ36" s="12" t="s">
        <v>1718</v>
      </c>
    </row>
    <row r="37" spans="1:111" s="2728" customFormat="1" ht="15.75" customHeight="1">
      <c r="A37" s="3656"/>
      <c r="B37" s="2728" t="s">
        <v>134</v>
      </c>
      <c r="C37" s="2729" t="str">
        <f>E37</f>
        <v>{"username":"Bern.Sachbearbeiterin@diartis.ch","password":"XXxa22?pdTA66-S@"}</v>
      </c>
      <c r="E37" s="2729" t="str">
        <f>F37&amp;G37&amp;H37&amp;I37&amp;J37&amp;K37&amp;L37&amp;M37&amp;N37&amp;O37&amp;P37&amp;Q37&amp;R37&amp;S37&amp;T37&amp;U37&amp;V37&amp;W37&amp;X37</f>
        <v>{"username":"Bern.Sachbearbeiterin@diartis.ch","password":"XXxa22?pdTA66-S@"}</v>
      </c>
      <c r="F37" s="2731" t="s">
        <v>29</v>
      </c>
      <c r="G37" s="2732" t="s">
        <v>30</v>
      </c>
      <c r="H37" s="2731" t="s">
        <v>31</v>
      </c>
      <c r="I37" s="2733" t="s">
        <v>32</v>
      </c>
      <c r="J37" s="2731" t="s">
        <v>37</v>
      </c>
      <c r="K37" s="2734"/>
      <c r="L37" s="2731"/>
      <c r="M37" s="2731"/>
      <c r="N37" s="2731"/>
      <c r="O37" s="2731"/>
      <c r="P37" s="2731"/>
      <c r="Q37" s="2731"/>
      <c r="R37" s="2731"/>
      <c r="S37" s="2731"/>
      <c r="T37" s="2731"/>
      <c r="U37" s="2731"/>
      <c r="V37" s="2731"/>
      <c r="W37" s="2731"/>
      <c r="Z37" s="2729"/>
      <c r="AA37" s="2729"/>
      <c r="AB37" s="2729"/>
      <c r="AC37" s="2729"/>
      <c r="AJ37" s="2735"/>
      <c r="AL37" s="2735"/>
      <c r="AN37" s="2735"/>
      <c r="AP37" s="2735"/>
      <c r="AR37" s="2735"/>
      <c r="AT37" s="2735"/>
      <c r="AV37" s="2735"/>
      <c r="AX37" s="2735"/>
      <c r="AZ37" s="2735"/>
      <c r="BB37" s="2735"/>
      <c r="BD37" s="2735"/>
      <c r="BF37" s="2735"/>
      <c r="BH37" s="2735"/>
      <c r="BK37" s="2735"/>
      <c r="BM37" s="2735"/>
      <c r="BO37" s="2735"/>
      <c r="BQ37" s="2735"/>
      <c r="BS37" s="2735"/>
      <c r="BU37" s="2735"/>
    </row>
    <row r="38" spans="1:111" s="2729" customFormat="1" ht="19.5" customHeight="1">
      <c r="A38" s="3656"/>
      <c r="B38" s="2728" t="s">
        <v>134</v>
      </c>
      <c r="C38" s="2736" t="s">
        <v>138</v>
      </c>
      <c r="E38" s="2729" t="str">
        <f>F38&amp;G38&amp;H38&amp;I38&amp;J38&amp;K38&amp;L38&amp;M38&amp;N38&amp;O38&amp;P38&amp;Q38&amp;R38&amp;S38&amp;T38&amp;U38&amp;V38&amp;W38&amp;X38</f>
        <v>{"username":"Bern.Sachbearbeiterin@diartis.ch","password":"XXxa22?pdTA66-S@"}</v>
      </c>
      <c r="F38" s="2731" t="s">
        <v>29</v>
      </c>
      <c r="G38" s="2737" t="s">
        <v>30</v>
      </c>
      <c r="H38" s="2731" t="s">
        <v>31</v>
      </c>
      <c r="I38" s="2737" t="s">
        <v>32</v>
      </c>
      <c r="J38" s="2731" t="s">
        <v>37</v>
      </c>
      <c r="K38" s="2737"/>
      <c r="L38" s="2731"/>
      <c r="M38" s="2737"/>
      <c r="N38" s="2731"/>
      <c r="O38" s="2737"/>
      <c r="P38" s="2731"/>
      <c r="Q38" s="2737"/>
      <c r="R38" s="2731"/>
      <c r="S38" s="2737"/>
      <c r="T38" s="2731"/>
      <c r="U38" s="2737"/>
      <c r="V38" s="2731"/>
      <c r="W38" s="2737"/>
      <c r="AJ38" s="2735"/>
      <c r="AL38" s="2735"/>
      <c r="AN38" s="2735"/>
      <c r="AP38" s="2735"/>
      <c r="AR38" s="2735"/>
      <c r="AT38" s="2735"/>
      <c r="AV38" s="2735"/>
      <c r="AX38" s="2735"/>
      <c r="AZ38" s="2735"/>
      <c r="BB38" s="2735"/>
      <c r="BD38" s="2735"/>
      <c r="BF38" s="2735"/>
      <c r="BH38" s="2735"/>
      <c r="BK38" s="2735"/>
      <c r="BM38" s="2735"/>
      <c r="BO38" s="2735"/>
      <c r="BQ38" s="2735"/>
      <c r="BS38" s="2735"/>
      <c r="BU38" s="2735"/>
    </row>
    <row r="39" spans="1:111" s="96" customFormat="1" ht="15.75" customHeight="1">
      <c r="A39" s="777">
        <v>42</v>
      </c>
      <c r="B39" s="589" t="s">
        <v>139</v>
      </c>
      <c r="C39" s="603" t="str">
        <f>E39</f>
        <v>{"searchDossierOrKlient":p.DossierName5,"resultType":"Dossiers"}</v>
      </c>
      <c r="D39" s="90"/>
      <c r="E39" s="204" t="str">
        <f>F39&amp;G39&amp;H39&amp;I39&amp;J39&amp;K39&amp;L39&amp;M39&amp;N39&amp;O39&amp;P39&amp;Q39&amp;R39&amp;S39&amp;T39&amp;U39&amp;V39&amp;W39&amp;X39</f>
        <v>{"searchDossierOrKlient":p.DossierName5,"resultType":"Dossiers"}</v>
      </c>
      <c r="F39" s="610" t="s">
        <v>140</v>
      </c>
      <c r="G39" s="610" t="str">
        <f>G18</f>
        <v>p.DossierName5</v>
      </c>
      <c r="H39" s="610" t="s">
        <v>141</v>
      </c>
      <c r="I39" s="611" t="s">
        <v>142</v>
      </c>
      <c r="J39" s="610" t="s">
        <v>37</v>
      </c>
      <c r="K39" s="611"/>
      <c r="L39" s="610"/>
      <c r="M39" s="611"/>
      <c r="N39" s="610"/>
      <c r="O39" s="611"/>
      <c r="P39" s="610"/>
      <c r="Q39" s="611"/>
      <c r="R39" s="610"/>
      <c r="S39" s="611"/>
      <c r="T39" s="610"/>
      <c r="U39" s="611"/>
      <c r="V39" s="610"/>
      <c r="W39" s="611"/>
      <c r="X39" s="90"/>
      <c r="Y39" s="90"/>
      <c r="Z39" s="204"/>
      <c r="AA39" s="204"/>
      <c r="AB39" s="204"/>
      <c r="AC39" s="204"/>
      <c r="AD39" s="90"/>
      <c r="AE39" s="90"/>
      <c r="AF39" s="90"/>
      <c r="AG39" s="90"/>
      <c r="AH39" s="90"/>
      <c r="AI39" s="90">
        <v>11111</v>
      </c>
      <c r="AJ39" s="156">
        <f t="shared" ref="AJ39" si="84">AI39/($AI39)</f>
        <v>1</v>
      </c>
      <c r="AK39" s="90"/>
      <c r="AL39" s="156">
        <f t="shared" ref="AL39:AN39" si="85">AK39/($AI39)</f>
        <v>0</v>
      </c>
      <c r="AM39" s="90">
        <v>11111</v>
      </c>
      <c r="AN39" s="156">
        <f t="shared" si="85"/>
        <v>1</v>
      </c>
      <c r="AO39" s="90"/>
      <c r="AP39" s="156">
        <f t="shared" si="2"/>
        <v>0</v>
      </c>
      <c r="AQ39" s="90"/>
      <c r="AR39" s="156">
        <f t="shared" si="2"/>
        <v>0</v>
      </c>
      <c r="AS39" s="90">
        <v>11046</v>
      </c>
      <c r="AT39" s="156">
        <f t="shared" si="2"/>
        <v>0.99414994149941505</v>
      </c>
      <c r="AU39" s="90">
        <v>11062</v>
      </c>
      <c r="AV39" s="156">
        <f t="shared" si="2"/>
        <v>0.99558995589955901</v>
      </c>
      <c r="AW39" s="90">
        <v>10706</v>
      </c>
      <c r="AX39" s="156">
        <f t="shared" si="59"/>
        <v>0.96354963549635497</v>
      </c>
      <c r="AY39" s="90">
        <v>2467</v>
      </c>
      <c r="AZ39" s="156">
        <f t="shared" si="59"/>
        <v>0.22203222032220321</v>
      </c>
      <c r="BA39" s="2">
        <v>2432</v>
      </c>
      <c r="BB39" s="156">
        <f t="shared" si="59"/>
        <v>0.21888218882188823</v>
      </c>
      <c r="BC39" s="2">
        <v>4818</v>
      </c>
      <c r="BD39" s="156">
        <f t="shared" si="59"/>
        <v>0.43362433624336244</v>
      </c>
      <c r="BE39" s="2">
        <v>4790</v>
      </c>
      <c r="BF39" s="156">
        <f t="shared" si="59"/>
        <v>0.43110431104311042</v>
      </c>
      <c r="BG39" s="2">
        <v>4755</v>
      </c>
      <c r="BH39" s="156">
        <f t="shared" si="59"/>
        <v>0.42795427954279541</v>
      </c>
      <c r="BI39" s="96">
        <v>5055</v>
      </c>
      <c r="BJ39" s="96">
        <v>4254</v>
      </c>
      <c r="BK39" s="156">
        <f t="shared" si="5"/>
        <v>0.38286382863828639</v>
      </c>
      <c r="BL39" s="96">
        <v>6154</v>
      </c>
      <c r="BM39" s="156">
        <f t="shared" si="6"/>
        <v>0.55386553865538657</v>
      </c>
      <c r="BN39" s="96">
        <v>3132</v>
      </c>
      <c r="BO39" s="156">
        <f t="shared" si="7"/>
        <v>0.28188281882818828</v>
      </c>
      <c r="BP39" s="96">
        <v>3052</v>
      </c>
      <c r="BQ39" s="156">
        <f t="shared" si="8"/>
        <v>0.27468274682746829</v>
      </c>
      <c r="BR39" s="96">
        <v>3126</v>
      </c>
      <c r="BS39" s="156">
        <f t="shared" si="9"/>
        <v>0.28134281342813428</v>
      </c>
      <c r="BT39" s="96">
        <v>4490</v>
      </c>
      <c r="BU39" s="156">
        <f t="shared" si="10"/>
        <v>0.40410404104041042</v>
      </c>
      <c r="BW39" s="96">
        <v>4549</v>
      </c>
      <c r="BY39" s="96">
        <v>5143</v>
      </c>
      <c r="CA39" s="96">
        <v>5628</v>
      </c>
      <c r="CC39" s="96">
        <v>4642</v>
      </c>
      <c r="CE39" s="96">
        <v>4336</v>
      </c>
      <c r="CI39" s="96">
        <v>4805</v>
      </c>
      <c r="CJ39" s="96" t="s">
        <v>1718</v>
      </c>
    </row>
    <row r="40" spans="1:111" s="96" customFormat="1" ht="15.75" customHeight="1" thickBot="1">
      <c r="A40" s="777">
        <v>43</v>
      </c>
      <c r="B40" s="122" t="s">
        <v>373</v>
      </c>
      <c r="C40" s="121" t="str">
        <f ca="1">E40</f>
        <v>{"titel":"Ein nettes Gespräch","erstelltAm":"04.11.2025","jurnalArt":"Gespräch","thema":"Bildung","relevantSanktion":"x","interneVerwendung":"","teilnehmende":`"Adrian Messerli"`,"betroffene":`${p.FamilyName5}, ${p.ManFirstName5}`,"notiz":"so was","dateiPfad":"C:/temp/JournalEintrag.docx"}</v>
      </c>
      <c r="D40" s="2"/>
      <c r="E40" s="4" t="str">
        <f ca="1">F40&amp;G40&amp;H40&amp;I40&amp;J40&amp;K40&amp;L40&amp;M40&amp;N40&amp;O40&amp;P40&amp;Q40&amp;R40&amp;S40&amp;T40&amp;U40&amp;V40&amp;W40&amp;X40&amp;Y40&amp;Z40&amp;AA36</f>
        <v>{"titel":"Ein nettes Gespräch","erstelltAm":"04.11.2025","jurnalArt":"Gespräch","thema":"Bildung","relevantSanktion":"x","interneVerwendung":"","teilnehmende":`"Adrian Messerli"`,"betroffene":`${p.FamilyName5}, ${p.ManFirstName5}`,"notiz":"so was","dateiPfad":"C:/temp/JournalEintrag.docx"}</v>
      </c>
      <c r="F40" s="611" t="s">
        <v>374</v>
      </c>
      <c r="G40" s="611" t="s">
        <v>375</v>
      </c>
      <c r="H40" s="611" t="s">
        <v>376</v>
      </c>
      <c r="I40" s="642" t="str">
        <f ca="1">TEXT(TODAY(),"DD")&amp;"."&amp;TEXT(TODAY(),"MM")&amp;"."&amp;TEXT(TODAY(),"YYYY")</f>
        <v>04.11.2025</v>
      </c>
      <c r="J40" s="611" t="s">
        <v>377</v>
      </c>
      <c r="K40" s="611" t="s">
        <v>378</v>
      </c>
      <c r="L40" s="611" t="s">
        <v>379</v>
      </c>
      <c r="M40" s="611" t="s">
        <v>380</v>
      </c>
      <c r="N40" s="611" t="s">
        <v>381</v>
      </c>
      <c r="O40" s="611" t="s">
        <v>170</v>
      </c>
      <c r="P40" s="611" t="s">
        <v>382</v>
      </c>
      <c r="Q40" s="611"/>
      <c r="R40" s="610" t="s">
        <v>383</v>
      </c>
      <c r="S40" s="611" t="s">
        <v>384</v>
      </c>
      <c r="T40" s="611" t="s">
        <v>385</v>
      </c>
      <c r="U40" s="610" t="s">
        <v>386</v>
      </c>
      <c r="V40" s="611" t="s">
        <v>387</v>
      </c>
      <c r="W40" s="611" t="s">
        <v>388</v>
      </c>
      <c r="X40" s="207" t="s">
        <v>1721</v>
      </c>
      <c r="Y40" s="2" t="s">
        <v>389</v>
      </c>
      <c r="Z40" s="2" t="s">
        <v>37</v>
      </c>
      <c r="AA40" s="2"/>
      <c r="AB40" s="2" t="s">
        <v>389</v>
      </c>
      <c r="AC40" s="4"/>
      <c r="AD40" s="2"/>
      <c r="AE40" s="2"/>
      <c r="AF40" s="2"/>
      <c r="AG40" s="2"/>
      <c r="AH40" s="2"/>
      <c r="AI40" s="2">
        <v>12256</v>
      </c>
      <c r="AJ40" s="156">
        <f t="shared" ref="AJ40" si="86">AI40/($AI40)</f>
        <v>1</v>
      </c>
      <c r="AK40" s="2"/>
      <c r="AL40" s="156">
        <f t="shared" ref="AL40:AN40" si="87">AK40/($AI40)</f>
        <v>0</v>
      </c>
      <c r="AM40" s="2">
        <v>12256</v>
      </c>
      <c r="AN40" s="156">
        <f t="shared" si="87"/>
        <v>1</v>
      </c>
      <c r="AO40" s="2"/>
      <c r="AP40" s="156">
        <f t="shared" si="2"/>
        <v>0</v>
      </c>
      <c r="AQ40" s="2"/>
      <c r="AR40" s="156">
        <f t="shared" si="2"/>
        <v>0</v>
      </c>
      <c r="AS40" s="2">
        <v>9952</v>
      </c>
      <c r="AT40" s="156">
        <f t="shared" si="2"/>
        <v>0.81201044386422971</v>
      </c>
      <c r="AU40" s="2">
        <v>10173</v>
      </c>
      <c r="AV40" s="156">
        <f t="shared" si="2"/>
        <v>0.83004242819843344</v>
      </c>
      <c r="AW40" s="2">
        <v>10146</v>
      </c>
      <c r="AX40" s="156">
        <f t="shared" si="59"/>
        <v>0.82783942558746737</v>
      </c>
      <c r="AY40" s="2">
        <v>9303</v>
      </c>
      <c r="AZ40" s="156">
        <f t="shared" si="59"/>
        <v>0.75905678851174929</v>
      </c>
      <c r="BA40" s="2">
        <v>8832</v>
      </c>
      <c r="BB40" s="156">
        <f t="shared" si="59"/>
        <v>0.72062663185378595</v>
      </c>
      <c r="BC40" s="2">
        <v>3776</v>
      </c>
      <c r="BD40" s="156">
        <f t="shared" si="59"/>
        <v>0.30809399477806787</v>
      </c>
      <c r="BE40" s="2">
        <v>3980</v>
      </c>
      <c r="BF40" s="156">
        <f t="shared" si="59"/>
        <v>0.32473890339425587</v>
      </c>
      <c r="BG40" s="2">
        <v>3925</v>
      </c>
      <c r="BH40" s="156">
        <f t="shared" si="59"/>
        <v>0.32025130548302871</v>
      </c>
      <c r="BI40" s="96">
        <v>4937</v>
      </c>
      <c r="BJ40" s="96">
        <v>8915</v>
      </c>
      <c r="BK40" s="156">
        <f t="shared" si="5"/>
        <v>0.7273988250652742</v>
      </c>
      <c r="BL40" s="96">
        <v>7829</v>
      </c>
      <c r="BM40" s="156">
        <f t="shared" si="6"/>
        <v>0.63878916449086165</v>
      </c>
      <c r="BN40" s="96">
        <v>6469</v>
      </c>
      <c r="BO40" s="156">
        <f t="shared" si="7"/>
        <v>0.52782310704960833</v>
      </c>
      <c r="BP40" s="96">
        <v>7198</v>
      </c>
      <c r="BQ40" s="156">
        <f t="shared" si="8"/>
        <v>0.58730417754569186</v>
      </c>
      <c r="BR40" s="96">
        <v>4646</v>
      </c>
      <c r="BS40" s="156">
        <f t="shared" si="9"/>
        <v>0.37907963446475196</v>
      </c>
      <c r="BT40" s="96">
        <v>4965</v>
      </c>
      <c r="BU40" s="156">
        <f t="shared" si="10"/>
        <v>0.40510770234986943</v>
      </c>
      <c r="BW40" s="96">
        <v>4082</v>
      </c>
      <c r="BY40" s="96">
        <v>4507</v>
      </c>
      <c r="CA40" s="96">
        <v>3902</v>
      </c>
      <c r="CC40" s="96">
        <v>3681</v>
      </c>
      <c r="CE40" s="96">
        <v>4283</v>
      </c>
      <c r="CI40" s="96">
        <v>4064</v>
      </c>
      <c r="CJ40" s="96" t="s">
        <v>1718</v>
      </c>
    </row>
    <row r="41" spans="1:111" s="2722" customFormat="1" ht="16.5" customHeight="1" thickBot="1">
      <c r="A41" s="2721">
        <v>50</v>
      </c>
      <c r="B41" s="2722" t="s">
        <v>22</v>
      </c>
      <c r="C41" s="2723" t="s">
        <v>280</v>
      </c>
      <c r="D41" s="2724"/>
      <c r="E41" s="2725"/>
      <c r="F41" s="2726"/>
      <c r="G41" s="2727"/>
      <c r="H41" s="2727"/>
      <c r="I41" s="2727"/>
      <c r="J41" s="2727"/>
      <c r="K41" s="2727"/>
      <c r="L41" s="2727"/>
      <c r="M41" s="2727"/>
      <c r="N41" s="2727"/>
      <c r="O41" s="2727"/>
      <c r="P41" s="2727"/>
      <c r="Q41" s="2727"/>
      <c r="R41" s="2727"/>
      <c r="S41" s="2727"/>
      <c r="T41" s="2727"/>
      <c r="U41" s="2727"/>
      <c r="V41" s="2727"/>
      <c r="W41" s="2727"/>
      <c r="X41" s="2724"/>
      <c r="Y41" s="2724"/>
      <c r="Z41" s="2724"/>
      <c r="AA41" s="2724"/>
      <c r="AB41" s="2724"/>
      <c r="AC41" s="2724"/>
      <c r="AD41" s="2724"/>
      <c r="AE41" s="2724"/>
      <c r="AF41" s="2724"/>
      <c r="AG41" s="2724"/>
      <c r="AH41" s="2724"/>
      <c r="AI41" s="2724">
        <v>2011</v>
      </c>
      <c r="AJ41" s="2728"/>
      <c r="AK41" s="2729"/>
      <c r="AL41" s="2724">
        <v>2008</v>
      </c>
      <c r="AM41" s="2730">
        <f t="shared" ref="AM41" si="88">AL41/($AI41)</f>
        <v>0.99850820487319747</v>
      </c>
      <c r="AN41" s="2724">
        <v>2011</v>
      </c>
      <c r="AO41" s="2730">
        <f t="shared" ref="AO41" si="89">AN41/($AI41)</f>
        <v>1</v>
      </c>
      <c r="AP41" s="2724"/>
      <c r="AQ41" s="2730">
        <f t="shared" ref="AQ41:AY41" si="90">AP41/($AI41)</f>
        <v>0</v>
      </c>
      <c r="AR41" s="2724">
        <v>2013</v>
      </c>
      <c r="AS41" s="2730">
        <f t="shared" si="90"/>
        <v>1.0009945300845351</v>
      </c>
      <c r="AT41" s="2724">
        <v>2020</v>
      </c>
      <c r="AU41" s="2730">
        <f t="shared" si="90"/>
        <v>1.0044753853804078</v>
      </c>
      <c r="AV41" s="2724">
        <v>2017</v>
      </c>
      <c r="AW41" s="2730">
        <f t="shared" si="90"/>
        <v>1.0029835902536051</v>
      </c>
      <c r="AX41" s="2724">
        <v>2019</v>
      </c>
      <c r="AY41" s="2730">
        <f t="shared" si="90"/>
        <v>1.0039781203381402</v>
      </c>
      <c r="AZ41" s="2724">
        <v>2013</v>
      </c>
      <c r="BA41" s="2724"/>
      <c r="BB41" s="2724">
        <v>341</v>
      </c>
      <c r="BC41" s="2730">
        <f t="shared" ref="BC41:BI41" si="91">BB41/($AI41)</f>
        <v>0.16956737941322725</v>
      </c>
      <c r="BD41" s="2724">
        <v>2007</v>
      </c>
      <c r="BE41" s="2730">
        <f t="shared" si="91"/>
        <v>0.99801093983092992</v>
      </c>
      <c r="BF41" s="2724">
        <v>2003</v>
      </c>
      <c r="BG41" s="2730">
        <f t="shared" si="91"/>
        <v>0.99602187966185973</v>
      </c>
      <c r="BH41" s="2724">
        <v>2009</v>
      </c>
      <c r="BI41" s="2730">
        <f t="shared" si="91"/>
        <v>0.99900546991546491</v>
      </c>
      <c r="BK41" s="2722">
        <v>2019</v>
      </c>
      <c r="BL41" s="2730">
        <f t="shared" ref="BL41" si="92">BK41/($AI41)</f>
        <v>1.0039781203381402</v>
      </c>
      <c r="BM41" s="2722">
        <v>2008</v>
      </c>
      <c r="BN41" s="2730">
        <f t="shared" ref="BN41:CV41" si="93">BM41/($AI41)</f>
        <v>0.99850820487319747</v>
      </c>
      <c r="BO41" s="2722">
        <v>2005</v>
      </c>
      <c r="BP41" s="2730">
        <f t="shared" si="93"/>
        <v>0.99701640974639483</v>
      </c>
      <c r="BQ41" s="2722">
        <v>2012</v>
      </c>
      <c r="BR41" s="2730">
        <f t="shared" si="93"/>
        <v>1.0004972650422674</v>
      </c>
      <c r="BS41" s="2722">
        <v>2004</v>
      </c>
      <c r="BT41" s="2730">
        <f t="shared" si="93"/>
        <v>0.99651914470412728</v>
      </c>
      <c r="BU41" s="2722">
        <v>2005</v>
      </c>
      <c r="BV41" s="2730">
        <f t="shared" si="93"/>
        <v>0.99701640974639483</v>
      </c>
      <c r="BW41" s="2722">
        <v>2013</v>
      </c>
      <c r="BX41" s="2730">
        <f t="shared" si="93"/>
        <v>1.0009945300845351</v>
      </c>
      <c r="BY41" s="2722">
        <v>2013</v>
      </c>
      <c r="BZ41" s="2730">
        <f t="shared" si="93"/>
        <v>1.0009945300845351</v>
      </c>
      <c r="CA41" s="2722">
        <v>2006</v>
      </c>
      <c r="CB41" s="2730">
        <f t="shared" si="93"/>
        <v>0.99751367478866237</v>
      </c>
      <c r="CC41" s="2722">
        <v>2006</v>
      </c>
      <c r="CD41" s="2730">
        <f t="shared" si="93"/>
        <v>0.99751367478866237</v>
      </c>
      <c r="CE41" s="2722">
        <v>2015</v>
      </c>
      <c r="CF41" s="2730">
        <f t="shared" si="93"/>
        <v>1.0019890601690702</v>
      </c>
      <c r="CG41" s="2722">
        <v>2010</v>
      </c>
      <c r="CH41" s="2730">
        <f t="shared" si="93"/>
        <v>0.99950273495773245</v>
      </c>
      <c r="CI41" s="2722">
        <v>6021</v>
      </c>
      <c r="CJ41" s="2730" t="s">
        <v>1718</v>
      </c>
      <c r="CK41" s="2722">
        <v>2005</v>
      </c>
      <c r="CL41" s="2730">
        <f t="shared" si="93"/>
        <v>0.99701640974639483</v>
      </c>
      <c r="CN41" s="2730">
        <f t="shared" si="93"/>
        <v>0</v>
      </c>
      <c r="CO41" s="2722">
        <v>4190</v>
      </c>
      <c r="CP41" s="2730">
        <f t="shared" si="93"/>
        <v>2.0835405271009448</v>
      </c>
      <c r="CQ41" s="2722">
        <v>4228</v>
      </c>
      <c r="CR41" s="2730">
        <f t="shared" si="93"/>
        <v>2.102436598707111</v>
      </c>
      <c r="CS41" s="2722">
        <v>4085</v>
      </c>
      <c r="CT41" s="2730">
        <f t="shared" si="93"/>
        <v>2.0313276976628543</v>
      </c>
      <c r="CU41" s="2722">
        <v>4191</v>
      </c>
      <c r="CV41" s="2730">
        <f t="shared" si="93"/>
        <v>2.0840377921432123</v>
      </c>
      <c r="CW41" s="2722">
        <v>4489</v>
      </c>
      <c r="CX41" s="2730">
        <f t="shared" ref="CX41" si="94">CW41/($AI41)</f>
        <v>2.2322227747389358</v>
      </c>
      <c r="CY41" s="2722">
        <v>5077</v>
      </c>
      <c r="DA41" s="2722">
        <v>5624</v>
      </c>
      <c r="DC41" s="2722">
        <v>5469</v>
      </c>
      <c r="DE41" s="2722">
        <v>4557</v>
      </c>
      <c r="DG41" s="2722">
        <v>4480</v>
      </c>
    </row>
    <row r="42" spans="1:111" s="96" customFormat="1" ht="15.75" customHeight="1">
      <c r="A42" s="777">
        <v>44</v>
      </c>
      <c r="B42" s="122" t="s">
        <v>373</v>
      </c>
      <c r="C42" s="121" t="str">
        <f t="shared" ref="C42:C53" ca="1" si="95">E42</f>
        <v>{"titel":"Ein Mail ohne Inhalt","erstelltAm":"04.11.2025","jurnalArt":"Mail","thema":"Bildung","relevantSanktion":"x","interneVerwendung":"","teilnehmende":`"Adrian Messerli"`,"betroffene":`${p.FamilyName5}, ${p.ManFirstName6}`,"notiz":"so was","dateiPfad":"C:/temp/JournalEintrag.docx"}</v>
      </c>
      <c r="D42" s="2"/>
      <c r="E42" s="4" t="str">
        <f ca="1">F42&amp;G42&amp;H42&amp;I42&amp;J42&amp;K42&amp;L42&amp;M42&amp;N42&amp;O42&amp;P42&amp;Q42&amp;R42&amp;S42&amp;T42&amp;U42&amp;V42&amp;W42&amp;X42&amp;Y42&amp;Z42&amp;AA40</f>
        <v>{"titel":"Ein Mail ohne Inhalt","erstelltAm":"04.11.2025","jurnalArt":"Mail","thema":"Bildung","relevantSanktion":"x","interneVerwendung":"","teilnehmende":`"Adrian Messerli"`,"betroffene":`${p.FamilyName5}, ${p.ManFirstName6}`,"notiz":"so was","dateiPfad":"C:/temp/JournalEintrag.docx"}</v>
      </c>
      <c r="F42" s="611" t="s">
        <v>374</v>
      </c>
      <c r="G42" s="611" t="s">
        <v>390</v>
      </c>
      <c r="H42" s="611" t="s">
        <v>376</v>
      </c>
      <c r="I42" s="643" t="str">
        <f t="shared" ref="I42:I52" ca="1" si="96">TEXT(TODAY(),"DD")&amp;"."&amp;TEXT(TODAY(),"MM")&amp;"."&amp;TEXT(TODAY(),"YYYY")</f>
        <v>04.11.2025</v>
      </c>
      <c r="J42" s="611" t="s">
        <v>377</v>
      </c>
      <c r="K42" s="611" t="s">
        <v>391</v>
      </c>
      <c r="L42" s="611" t="s">
        <v>379</v>
      </c>
      <c r="M42" s="611" t="s">
        <v>380</v>
      </c>
      <c r="N42" s="611" t="s">
        <v>381</v>
      </c>
      <c r="O42" s="611" t="s">
        <v>170</v>
      </c>
      <c r="P42" s="611" t="s">
        <v>382</v>
      </c>
      <c r="Q42" s="611"/>
      <c r="R42" s="610" t="s">
        <v>383</v>
      </c>
      <c r="S42" s="611" t="str">
        <f>S40</f>
        <v>"Adrian Messerli"</v>
      </c>
      <c r="T42" s="611" t="s">
        <v>385</v>
      </c>
      <c r="U42" s="610" t="s">
        <v>392</v>
      </c>
      <c r="V42" s="611" t="s">
        <v>387</v>
      </c>
      <c r="W42" s="611" t="s">
        <v>388</v>
      </c>
      <c r="X42" s="207" t="s">
        <v>1721</v>
      </c>
      <c r="Y42" s="2" t="s">
        <v>389</v>
      </c>
      <c r="Z42" s="2" t="s">
        <v>37</v>
      </c>
      <c r="AA42" s="2"/>
      <c r="AB42" s="2" t="s">
        <v>389</v>
      </c>
      <c r="AC42" s="4"/>
      <c r="AD42" s="2"/>
      <c r="AE42" s="2"/>
      <c r="AF42" s="2"/>
      <c r="AG42" s="2"/>
      <c r="AH42" s="2"/>
      <c r="AI42" s="2">
        <v>11644</v>
      </c>
      <c r="AJ42" s="156">
        <f t="shared" ref="AJ42" si="97">AI42/($AI42)</f>
        <v>1</v>
      </c>
      <c r="AK42" s="2"/>
      <c r="AL42" s="156">
        <f t="shared" ref="AL42:AN42" si="98">AK42/($AI42)</f>
        <v>0</v>
      </c>
      <c r="AM42" s="2">
        <v>11644</v>
      </c>
      <c r="AN42" s="156">
        <f t="shared" si="98"/>
        <v>1</v>
      </c>
      <c r="AO42" s="2"/>
      <c r="AP42" s="156">
        <f t="shared" si="2"/>
        <v>0</v>
      </c>
      <c r="AQ42" s="2"/>
      <c r="AR42" s="156">
        <f t="shared" si="2"/>
        <v>0</v>
      </c>
      <c r="AS42" s="2">
        <v>9717</v>
      </c>
      <c r="AT42" s="156">
        <f t="shared" si="2"/>
        <v>0.83450704225352113</v>
      </c>
      <c r="AU42" s="2">
        <v>9594</v>
      </c>
      <c r="AV42" s="156">
        <f t="shared" si="2"/>
        <v>0.823943661971831</v>
      </c>
      <c r="AW42" s="2">
        <v>9657</v>
      </c>
      <c r="AX42" s="156">
        <f t="shared" si="59"/>
        <v>0.82935417382342835</v>
      </c>
      <c r="AY42" s="2">
        <v>8515</v>
      </c>
      <c r="AZ42" s="156">
        <f t="shared" si="59"/>
        <v>0.731277911370663</v>
      </c>
      <c r="BA42" s="2">
        <v>8320</v>
      </c>
      <c r="BB42" s="156">
        <f t="shared" si="59"/>
        <v>0.71453108897286155</v>
      </c>
      <c r="BC42" s="2">
        <v>3287</v>
      </c>
      <c r="BD42" s="156">
        <f t="shared" si="59"/>
        <v>0.28229130882858122</v>
      </c>
      <c r="BE42" s="2">
        <v>3439</v>
      </c>
      <c r="BF42" s="156">
        <f t="shared" si="59"/>
        <v>0.29534524218481623</v>
      </c>
      <c r="BG42" s="2">
        <v>3518</v>
      </c>
      <c r="BH42" s="156">
        <f t="shared" si="59"/>
        <v>0.30212985228443834</v>
      </c>
      <c r="BI42" s="96">
        <v>4437</v>
      </c>
      <c r="BJ42" s="96">
        <v>3592</v>
      </c>
      <c r="BK42" s="156">
        <f t="shared" si="5"/>
        <v>0.30848505668155274</v>
      </c>
      <c r="BL42" s="96">
        <v>3889</v>
      </c>
      <c r="BM42" s="156">
        <f t="shared" si="6"/>
        <v>0.33399175541051185</v>
      </c>
      <c r="BN42" s="96">
        <v>4339</v>
      </c>
      <c r="BO42" s="156">
        <f t="shared" si="7"/>
        <v>0.37263826863620747</v>
      </c>
      <c r="BP42" s="96">
        <v>3609</v>
      </c>
      <c r="BQ42" s="156">
        <f t="shared" si="8"/>
        <v>0.30994503607007901</v>
      </c>
      <c r="BR42" s="96">
        <v>4351</v>
      </c>
      <c r="BS42" s="156">
        <f t="shared" si="9"/>
        <v>0.37366884232222602</v>
      </c>
      <c r="BT42" s="96">
        <v>3480</v>
      </c>
      <c r="BU42" s="156">
        <f t="shared" si="10"/>
        <v>0.2988663689453796</v>
      </c>
      <c r="BW42" s="96">
        <v>3123</v>
      </c>
      <c r="BY42" s="96">
        <v>3397</v>
      </c>
      <c r="CA42" s="96">
        <v>3771</v>
      </c>
      <c r="CC42" s="96">
        <v>5558</v>
      </c>
      <c r="CE42" s="96">
        <v>4503</v>
      </c>
      <c r="CI42" s="96">
        <v>5541</v>
      </c>
      <c r="CJ42" s="96" t="s">
        <v>1718</v>
      </c>
    </row>
    <row r="43" spans="1:111" s="96" customFormat="1" ht="16.5" hidden="1" customHeight="1">
      <c r="A43" s="3657"/>
      <c r="B43" s="2" t="s">
        <v>373</v>
      </c>
      <c r="C43" s="12" t="str">
        <f t="shared" ca="1" si="95"/>
        <v>{"titel":"Ein Telefon über das Wetter","erstelltAm":"04.11.2025","jurnalArt":"Telefon","thema":"Bildung","relevantSanktion":"x","interneVerwendung":"","teilnehmende":`"Adrian Messerli"`,"betroffene":`${p.FamilyName5}, ${p.ManFirstName6}`,"notiz":"so was","dateiPfad":""}</v>
      </c>
      <c r="D43" s="2"/>
      <c r="E43" s="4" t="str">
        <f t="shared" ref="E43:E52" ca="1" si="99">F43&amp;G43&amp;H43&amp;I43&amp;J43&amp;K43&amp;L43&amp;M43&amp;N43&amp;O43&amp;P43&amp;Q43&amp;R43&amp;S43&amp;T43&amp;U43&amp;V43&amp;W43&amp;X43&amp;Y43&amp;Z43&amp;AA42</f>
        <v>{"titel":"Ein Telefon über das Wetter","erstelltAm":"04.11.2025","jurnalArt":"Telefon","thema":"Bildung","relevantSanktion":"x","interneVerwendung":"","teilnehmende":`"Adrian Messerli"`,"betroffene":`${p.FamilyName5}, ${p.ManFirstName6}`,"notiz":"so was","dateiPfad":""}</v>
      </c>
      <c r="F43" s="611" t="s">
        <v>374</v>
      </c>
      <c r="G43" s="611" t="s">
        <v>393</v>
      </c>
      <c r="H43" s="611" t="s">
        <v>376</v>
      </c>
      <c r="I43" s="643" t="str">
        <f t="shared" ca="1" si="96"/>
        <v>04.11.2025</v>
      </c>
      <c r="J43" s="611" t="s">
        <v>377</v>
      </c>
      <c r="K43" s="611" t="s">
        <v>394</v>
      </c>
      <c r="L43" s="611" t="s">
        <v>379</v>
      </c>
      <c r="M43" s="611" t="s">
        <v>380</v>
      </c>
      <c r="N43" s="611" t="s">
        <v>381</v>
      </c>
      <c r="O43" s="611" t="s">
        <v>170</v>
      </c>
      <c r="P43" s="611" t="s">
        <v>382</v>
      </c>
      <c r="Q43" s="611"/>
      <c r="R43" s="610" t="s">
        <v>383</v>
      </c>
      <c r="S43" s="611" t="str">
        <f t="shared" ref="S43:S52" si="100">S42</f>
        <v>"Adrian Messerli"</v>
      </c>
      <c r="T43" s="611" t="s">
        <v>385</v>
      </c>
      <c r="U43" s="610" t="str">
        <f t="shared" ref="U43:U52" si="101">U42</f>
        <v>${p.FamilyName5}, ${p.ManFirstName6}</v>
      </c>
      <c r="V43" s="611" t="s">
        <v>387</v>
      </c>
      <c r="W43" s="611" t="s">
        <v>388</v>
      </c>
      <c r="X43" s="207" t="s">
        <v>1721</v>
      </c>
      <c r="Y43" s="2"/>
      <c r="Z43" s="2" t="s">
        <v>37</v>
      </c>
      <c r="AA43" s="2"/>
      <c r="AB43" s="2" t="s">
        <v>389</v>
      </c>
      <c r="AC43" s="4"/>
      <c r="AD43" s="2"/>
      <c r="AE43" s="2"/>
      <c r="AF43" s="2"/>
      <c r="AG43" s="2"/>
      <c r="AH43" s="2"/>
      <c r="AI43" s="2"/>
      <c r="AJ43" s="156" t="e">
        <f t="shared" ref="AJ43" si="102">AI43/($AI43)</f>
        <v>#DIV/0!</v>
      </c>
      <c r="AK43" s="2"/>
      <c r="AL43" s="156" t="e">
        <f t="shared" ref="AL43:AN43" si="103">AK43/($AI43)</f>
        <v>#DIV/0!</v>
      </c>
      <c r="AM43" s="2"/>
      <c r="AN43" s="156" t="e">
        <f t="shared" si="103"/>
        <v>#DIV/0!</v>
      </c>
      <c r="AO43" s="2"/>
      <c r="AP43" s="156" t="e">
        <f t="shared" si="2"/>
        <v>#DIV/0!</v>
      </c>
      <c r="AQ43" s="2"/>
      <c r="AR43" s="156" t="e">
        <f t="shared" si="2"/>
        <v>#DIV/0!</v>
      </c>
      <c r="AS43" s="2"/>
      <c r="AT43" s="156" t="e">
        <f t="shared" si="2"/>
        <v>#DIV/0!</v>
      </c>
      <c r="AU43" s="2"/>
      <c r="AV43" s="156" t="e">
        <f t="shared" si="2"/>
        <v>#DIV/0!</v>
      </c>
      <c r="AW43" s="2"/>
      <c r="AX43" s="156" t="e">
        <f t="shared" si="59"/>
        <v>#DIV/0!</v>
      </c>
      <c r="AY43" s="2"/>
      <c r="AZ43" s="156" t="e">
        <f t="shared" si="59"/>
        <v>#DIV/0!</v>
      </c>
      <c r="BB43" s="156" t="e">
        <f t="shared" si="59"/>
        <v>#DIV/0!</v>
      </c>
      <c r="BD43" s="156" t="e">
        <f t="shared" si="59"/>
        <v>#DIV/0!</v>
      </c>
      <c r="BF43" s="156" t="e">
        <f t="shared" si="59"/>
        <v>#DIV/0!</v>
      </c>
      <c r="BH43" s="156" t="e">
        <f t="shared" si="59"/>
        <v>#DIV/0!</v>
      </c>
      <c r="BK43" s="156" t="e">
        <f t="shared" si="5"/>
        <v>#DIV/0!</v>
      </c>
      <c r="BM43" s="156" t="e">
        <f t="shared" si="6"/>
        <v>#DIV/0!</v>
      </c>
      <c r="BO43" s="156" t="e">
        <f t="shared" si="7"/>
        <v>#DIV/0!</v>
      </c>
      <c r="BQ43" s="156" t="e">
        <f t="shared" si="8"/>
        <v>#DIV/0!</v>
      </c>
      <c r="BS43" s="156" t="e">
        <f t="shared" si="9"/>
        <v>#DIV/0!</v>
      </c>
      <c r="BU43" s="156" t="e">
        <f t="shared" si="10"/>
        <v>#DIV/0!</v>
      </c>
    </row>
    <row r="44" spans="1:111" s="96" customFormat="1" ht="15.75" hidden="1" customHeight="1">
      <c r="A44" s="3657"/>
      <c r="B44" s="2" t="s">
        <v>373</v>
      </c>
      <c r="C44" s="12" t="str">
        <f t="shared" ca="1" si="95"/>
        <v>{"titel":"Eine unerwartete Notiz","erstelltAm":"04.11.2025","jurnalArt":"Notiz","thema":"Bildung","relevantSanktion":"x","interneVerwendung":"","teilnehmende":`"Adrian Messerli"`,"betroffene":`${p.FamilyName5}, ${p.ManFirstName6}`,"notiz":"so was","dateiPfad":""}</v>
      </c>
      <c r="D44" s="2"/>
      <c r="E44" s="4" t="str">
        <f t="shared" ca="1" si="99"/>
        <v>{"titel":"Eine unerwartete Notiz","erstelltAm":"04.11.2025","jurnalArt":"Notiz","thema":"Bildung","relevantSanktion":"x","interneVerwendung":"","teilnehmende":`"Adrian Messerli"`,"betroffene":`${p.FamilyName5}, ${p.ManFirstName6}`,"notiz":"so was","dateiPfad":""}</v>
      </c>
      <c r="F44" s="611" t="s">
        <v>374</v>
      </c>
      <c r="G44" s="611" t="s">
        <v>395</v>
      </c>
      <c r="H44" s="611" t="s">
        <v>376</v>
      </c>
      <c r="I44" s="643" t="str">
        <f t="shared" ca="1" si="96"/>
        <v>04.11.2025</v>
      </c>
      <c r="J44" s="611" t="s">
        <v>377</v>
      </c>
      <c r="K44" s="611" t="s">
        <v>396</v>
      </c>
      <c r="L44" s="611" t="s">
        <v>379</v>
      </c>
      <c r="M44" s="611" t="s">
        <v>380</v>
      </c>
      <c r="N44" s="611" t="s">
        <v>381</v>
      </c>
      <c r="O44" s="611" t="s">
        <v>170</v>
      </c>
      <c r="P44" s="611" t="s">
        <v>382</v>
      </c>
      <c r="Q44" s="611"/>
      <c r="R44" s="610" t="s">
        <v>383</v>
      </c>
      <c r="S44" s="611" t="str">
        <f t="shared" si="100"/>
        <v>"Adrian Messerli"</v>
      </c>
      <c r="T44" s="611" t="s">
        <v>385</v>
      </c>
      <c r="U44" s="610" t="str">
        <f t="shared" si="101"/>
        <v>${p.FamilyName5}, ${p.ManFirstName6}</v>
      </c>
      <c r="V44" s="611" t="s">
        <v>387</v>
      </c>
      <c r="W44" s="611" t="s">
        <v>388</v>
      </c>
      <c r="X44" s="207" t="s">
        <v>1721</v>
      </c>
      <c r="Y44" s="2"/>
      <c r="Z44" s="2" t="s">
        <v>37</v>
      </c>
      <c r="AA44" s="2"/>
      <c r="AB44" s="2" t="s">
        <v>389</v>
      </c>
      <c r="AC44" s="4"/>
      <c r="AD44" s="2"/>
      <c r="AE44" s="2"/>
      <c r="AF44" s="2"/>
      <c r="AG44" s="2"/>
      <c r="AH44" s="2"/>
      <c r="AI44" s="2"/>
      <c r="AJ44" s="156" t="e">
        <f t="shared" ref="AJ44" si="104">AI44/($AI44)</f>
        <v>#DIV/0!</v>
      </c>
      <c r="AK44" s="2"/>
      <c r="AL44" s="156" t="e">
        <f t="shared" ref="AL44:AN44" si="105">AK44/($AI44)</f>
        <v>#DIV/0!</v>
      </c>
      <c r="AM44" s="2"/>
      <c r="AN44" s="156" t="e">
        <f t="shared" si="105"/>
        <v>#DIV/0!</v>
      </c>
      <c r="AO44" s="2"/>
      <c r="AP44" s="156" t="e">
        <f t="shared" si="2"/>
        <v>#DIV/0!</v>
      </c>
      <c r="AQ44" s="2"/>
      <c r="AR44" s="156" t="e">
        <f t="shared" si="2"/>
        <v>#DIV/0!</v>
      </c>
      <c r="AS44" s="2"/>
      <c r="AT44" s="156" t="e">
        <f t="shared" si="2"/>
        <v>#DIV/0!</v>
      </c>
      <c r="AU44" s="2"/>
      <c r="AV44" s="156" t="e">
        <f t="shared" si="2"/>
        <v>#DIV/0!</v>
      </c>
      <c r="AW44" s="2"/>
      <c r="AX44" s="156" t="e">
        <f t="shared" si="59"/>
        <v>#DIV/0!</v>
      </c>
      <c r="AY44" s="2"/>
      <c r="AZ44" s="156" t="e">
        <f t="shared" si="59"/>
        <v>#DIV/0!</v>
      </c>
      <c r="BB44" s="156" t="e">
        <f t="shared" si="59"/>
        <v>#DIV/0!</v>
      </c>
      <c r="BD44" s="156" t="e">
        <f t="shared" si="59"/>
        <v>#DIV/0!</v>
      </c>
      <c r="BF44" s="156" t="e">
        <f t="shared" si="59"/>
        <v>#DIV/0!</v>
      </c>
      <c r="BH44" s="156" t="e">
        <f t="shared" si="59"/>
        <v>#DIV/0!</v>
      </c>
      <c r="BK44" s="156" t="e">
        <f t="shared" si="5"/>
        <v>#DIV/0!</v>
      </c>
      <c r="BM44" s="156" t="e">
        <f t="shared" si="6"/>
        <v>#DIV/0!</v>
      </c>
      <c r="BO44" s="156" t="e">
        <f t="shared" si="7"/>
        <v>#DIV/0!</v>
      </c>
      <c r="BQ44" s="156" t="e">
        <f t="shared" si="8"/>
        <v>#DIV/0!</v>
      </c>
      <c r="BS44" s="156" t="e">
        <f t="shared" si="9"/>
        <v>#DIV/0!</v>
      </c>
      <c r="BU44" s="156" t="e">
        <f t="shared" si="10"/>
        <v>#DIV/0!</v>
      </c>
    </row>
    <row r="45" spans="1:111" s="96" customFormat="1" ht="15.75" hidden="1" customHeight="1">
      <c r="A45" s="3657"/>
      <c r="B45" s="2" t="s">
        <v>373</v>
      </c>
      <c r="C45" s="12" t="str">
        <f t="shared" ca="1" si="95"/>
        <v>{"titel":"Situaion ist gut","erstelltAm":"04.11.2025","jurnalArt":"Situationsbeschrieb","thema":"Bildung","relevantSanktion":"x","interneVerwendung":"","teilnehmende":`"Adrian Messerli"`,"betroffene":`${p.FamilyName5}, ${p.ManFirstName6}`,"notiz":"so was","dateiPfad":""}</v>
      </c>
      <c r="D45" s="2"/>
      <c r="E45" s="4" t="str">
        <f t="shared" ca="1" si="99"/>
        <v>{"titel":"Situaion ist gut","erstelltAm":"04.11.2025","jurnalArt":"Situationsbeschrieb","thema":"Bildung","relevantSanktion":"x","interneVerwendung":"","teilnehmende":`"Adrian Messerli"`,"betroffene":`${p.FamilyName5}, ${p.ManFirstName6}`,"notiz":"so was","dateiPfad":""}</v>
      </c>
      <c r="F45" s="611" t="s">
        <v>374</v>
      </c>
      <c r="G45" s="611" t="s">
        <v>397</v>
      </c>
      <c r="H45" s="611" t="s">
        <v>376</v>
      </c>
      <c r="I45" s="643" t="str">
        <f t="shared" ca="1" si="96"/>
        <v>04.11.2025</v>
      </c>
      <c r="J45" s="611" t="s">
        <v>377</v>
      </c>
      <c r="K45" s="611" t="s">
        <v>398</v>
      </c>
      <c r="L45" s="611" t="s">
        <v>379</v>
      </c>
      <c r="M45" s="611" t="s">
        <v>380</v>
      </c>
      <c r="N45" s="611" t="s">
        <v>381</v>
      </c>
      <c r="O45" s="611" t="s">
        <v>170</v>
      </c>
      <c r="P45" s="611" t="s">
        <v>382</v>
      </c>
      <c r="Q45" s="611"/>
      <c r="R45" s="610" t="s">
        <v>383</v>
      </c>
      <c r="S45" s="611" t="str">
        <f t="shared" si="100"/>
        <v>"Adrian Messerli"</v>
      </c>
      <c r="T45" s="611" t="s">
        <v>385</v>
      </c>
      <c r="U45" s="610" t="str">
        <f t="shared" si="101"/>
        <v>${p.FamilyName5}, ${p.ManFirstName6}</v>
      </c>
      <c r="V45" s="611" t="s">
        <v>387</v>
      </c>
      <c r="W45" s="611" t="s">
        <v>388</v>
      </c>
      <c r="X45" s="207" t="s">
        <v>1721</v>
      </c>
      <c r="Y45" s="2"/>
      <c r="Z45" s="2" t="s">
        <v>37</v>
      </c>
      <c r="AA45" s="2"/>
      <c r="AB45" s="2" t="s">
        <v>389</v>
      </c>
      <c r="AC45" s="4"/>
      <c r="AD45" s="2"/>
      <c r="AE45" s="2"/>
      <c r="AF45" s="2"/>
      <c r="AG45" s="2"/>
      <c r="AH45" s="2"/>
      <c r="AI45" s="2"/>
      <c r="AJ45" s="156" t="e">
        <f t="shared" ref="AJ45" si="106">AI45/($AI45)</f>
        <v>#DIV/0!</v>
      </c>
      <c r="AK45" s="2"/>
      <c r="AL45" s="156" t="e">
        <f t="shared" ref="AL45:AN45" si="107">AK45/($AI45)</f>
        <v>#DIV/0!</v>
      </c>
      <c r="AM45" s="2"/>
      <c r="AN45" s="156" t="e">
        <f t="shared" si="107"/>
        <v>#DIV/0!</v>
      </c>
      <c r="AO45" s="2"/>
      <c r="AP45" s="156" t="e">
        <f t="shared" si="2"/>
        <v>#DIV/0!</v>
      </c>
      <c r="AQ45" s="2"/>
      <c r="AR45" s="156" t="e">
        <f t="shared" si="2"/>
        <v>#DIV/0!</v>
      </c>
      <c r="AS45" s="2"/>
      <c r="AT45" s="156" t="e">
        <f t="shared" si="2"/>
        <v>#DIV/0!</v>
      </c>
      <c r="AU45" s="2"/>
      <c r="AV45" s="156" t="e">
        <f t="shared" si="2"/>
        <v>#DIV/0!</v>
      </c>
      <c r="AW45" s="2"/>
      <c r="AX45" s="156" t="e">
        <f t="shared" si="59"/>
        <v>#DIV/0!</v>
      </c>
      <c r="AY45" s="2"/>
      <c r="AZ45" s="156" t="e">
        <f t="shared" si="59"/>
        <v>#DIV/0!</v>
      </c>
      <c r="BB45" s="156" t="e">
        <f t="shared" si="59"/>
        <v>#DIV/0!</v>
      </c>
      <c r="BD45" s="156" t="e">
        <f t="shared" si="59"/>
        <v>#DIV/0!</v>
      </c>
      <c r="BF45" s="156" t="e">
        <f t="shared" si="59"/>
        <v>#DIV/0!</v>
      </c>
      <c r="BH45" s="156" t="e">
        <f t="shared" si="59"/>
        <v>#DIV/0!</v>
      </c>
      <c r="BK45" s="156" t="e">
        <f t="shared" si="5"/>
        <v>#DIV/0!</v>
      </c>
      <c r="BM45" s="156" t="e">
        <f t="shared" si="6"/>
        <v>#DIV/0!</v>
      </c>
      <c r="BO45" s="156" t="e">
        <f t="shared" si="7"/>
        <v>#DIV/0!</v>
      </c>
      <c r="BQ45" s="156" t="e">
        <f t="shared" si="8"/>
        <v>#DIV/0!</v>
      </c>
      <c r="BS45" s="156" t="e">
        <f t="shared" si="9"/>
        <v>#DIV/0!</v>
      </c>
      <c r="BU45" s="156" t="e">
        <f t="shared" si="10"/>
        <v>#DIV/0!</v>
      </c>
    </row>
    <row r="46" spans="1:111" s="96" customFormat="1" ht="15.75" hidden="1" customHeight="1">
      <c r="A46" s="3657"/>
      <c r="B46" s="2" t="s">
        <v>373</v>
      </c>
      <c r="C46" s="12" t="str">
        <f t="shared" ca="1" si="95"/>
        <v>{"titel":"Das Telefon klingelt","erstelltAm":"04.11.2025","jurnalArt":"Telefon","thema":"Bildung","relevantSanktion":"x","interneVerwendung":"","teilnehmende":`"Adrian Messerli"`,"betroffene":`${p.FamilyName5}, ${p.ManFirstName6}`,"notiz":"so was","dateiPfad":""}</v>
      </c>
      <c r="D46" s="2"/>
      <c r="E46" s="4" t="str">
        <f t="shared" ca="1" si="99"/>
        <v>{"titel":"Das Telefon klingelt","erstelltAm":"04.11.2025","jurnalArt":"Telefon","thema":"Bildung","relevantSanktion":"x","interneVerwendung":"","teilnehmende":`"Adrian Messerli"`,"betroffene":`${p.FamilyName5}, ${p.ManFirstName6}`,"notiz":"so was","dateiPfad":""}</v>
      </c>
      <c r="F46" s="611" t="s">
        <v>374</v>
      </c>
      <c r="G46" s="611" t="s">
        <v>399</v>
      </c>
      <c r="H46" s="611" t="s">
        <v>376</v>
      </c>
      <c r="I46" s="643" t="str">
        <f t="shared" ca="1" si="96"/>
        <v>04.11.2025</v>
      </c>
      <c r="J46" s="611" t="s">
        <v>377</v>
      </c>
      <c r="K46" s="611" t="s">
        <v>394</v>
      </c>
      <c r="L46" s="611" t="s">
        <v>379</v>
      </c>
      <c r="M46" s="611" t="s">
        <v>380</v>
      </c>
      <c r="N46" s="611" t="s">
        <v>381</v>
      </c>
      <c r="O46" s="611" t="s">
        <v>170</v>
      </c>
      <c r="P46" s="611" t="s">
        <v>382</v>
      </c>
      <c r="Q46" s="611"/>
      <c r="R46" s="610" t="s">
        <v>383</v>
      </c>
      <c r="S46" s="611" t="str">
        <f t="shared" si="100"/>
        <v>"Adrian Messerli"</v>
      </c>
      <c r="T46" s="611" t="s">
        <v>385</v>
      </c>
      <c r="U46" s="610" t="str">
        <f t="shared" si="101"/>
        <v>${p.FamilyName5}, ${p.ManFirstName6}</v>
      </c>
      <c r="V46" s="611" t="s">
        <v>387</v>
      </c>
      <c r="W46" s="611" t="s">
        <v>388</v>
      </c>
      <c r="X46" s="207" t="s">
        <v>1721</v>
      </c>
      <c r="Y46" s="2"/>
      <c r="Z46" s="2" t="s">
        <v>37</v>
      </c>
      <c r="AA46" s="2"/>
      <c r="AB46" s="2" t="s">
        <v>389</v>
      </c>
      <c r="AC46" s="4"/>
      <c r="AD46" s="2"/>
      <c r="AE46" s="2"/>
      <c r="AF46" s="2"/>
      <c r="AG46" s="2"/>
      <c r="AH46" s="2"/>
      <c r="AI46" s="2"/>
      <c r="AJ46" s="156" t="e">
        <f t="shared" ref="AJ46" si="108">AI46/($AI46)</f>
        <v>#DIV/0!</v>
      </c>
      <c r="AK46" s="2"/>
      <c r="AL46" s="156" t="e">
        <f t="shared" ref="AL46:AN46" si="109">AK46/($AI46)</f>
        <v>#DIV/0!</v>
      </c>
      <c r="AM46" s="2"/>
      <c r="AN46" s="156" t="e">
        <f t="shared" si="109"/>
        <v>#DIV/0!</v>
      </c>
      <c r="AO46" s="2"/>
      <c r="AP46" s="156" t="e">
        <f t="shared" si="2"/>
        <v>#DIV/0!</v>
      </c>
      <c r="AQ46" s="2"/>
      <c r="AR46" s="156" t="e">
        <f t="shared" si="2"/>
        <v>#DIV/0!</v>
      </c>
      <c r="AS46" s="2"/>
      <c r="AT46" s="156" t="e">
        <f t="shared" si="2"/>
        <v>#DIV/0!</v>
      </c>
      <c r="AU46" s="2"/>
      <c r="AV46" s="156" t="e">
        <f t="shared" si="2"/>
        <v>#DIV/0!</v>
      </c>
      <c r="AW46" s="2"/>
      <c r="AX46" s="156" t="e">
        <f t="shared" si="59"/>
        <v>#DIV/0!</v>
      </c>
      <c r="AY46" s="2"/>
      <c r="AZ46" s="156" t="e">
        <f t="shared" si="59"/>
        <v>#DIV/0!</v>
      </c>
      <c r="BB46" s="156" t="e">
        <f t="shared" si="59"/>
        <v>#DIV/0!</v>
      </c>
      <c r="BD46" s="156" t="e">
        <f t="shared" si="59"/>
        <v>#DIV/0!</v>
      </c>
      <c r="BF46" s="156" t="e">
        <f t="shared" si="59"/>
        <v>#DIV/0!</v>
      </c>
      <c r="BH46" s="156" t="e">
        <f t="shared" si="59"/>
        <v>#DIV/0!</v>
      </c>
      <c r="BK46" s="156" t="e">
        <f t="shared" si="5"/>
        <v>#DIV/0!</v>
      </c>
      <c r="BM46" s="156" t="e">
        <f t="shared" si="6"/>
        <v>#DIV/0!</v>
      </c>
      <c r="BO46" s="156" t="e">
        <f t="shared" si="7"/>
        <v>#DIV/0!</v>
      </c>
      <c r="BQ46" s="156" t="e">
        <f t="shared" si="8"/>
        <v>#DIV/0!</v>
      </c>
      <c r="BS46" s="156" t="e">
        <f t="shared" si="9"/>
        <v>#DIV/0!</v>
      </c>
      <c r="BU46" s="156" t="e">
        <f t="shared" si="10"/>
        <v>#DIV/0!</v>
      </c>
    </row>
    <row r="47" spans="1:111" s="96" customFormat="1" ht="15.75" hidden="1" customHeight="1">
      <c r="A47" s="3657"/>
      <c r="B47" s="2" t="s">
        <v>373</v>
      </c>
      <c r="C47" s="12" t="str">
        <f t="shared" ca="1" si="95"/>
        <v>{"titel":"Das ist anders als erwaret","erstelltAm":"04.11.2025","jurnalArt":"Andere","thema":"Bildung","relevantSanktion":"x","interneVerwendung":"","teilnehmende":`"Adrian Messerli"`,"betroffene":`${p.FamilyName5}, ${p.ManFirstName6}`,"notiz":"so was","dateiPfad":""}</v>
      </c>
      <c r="D47" s="2"/>
      <c r="E47" s="4" t="str">
        <f t="shared" ca="1" si="99"/>
        <v>{"titel":"Das ist anders als erwaret","erstelltAm":"04.11.2025","jurnalArt":"Andere","thema":"Bildung","relevantSanktion":"x","interneVerwendung":"","teilnehmende":`"Adrian Messerli"`,"betroffene":`${p.FamilyName5}, ${p.ManFirstName6}`,"notiz":"so was","dateiPfad":""}</v>
      </c>
      <c r="F47" s="611" t="s">
        <v>374</v>
      </c>
      <c r="G47" s="611" t="s">
        <v>400</v>
      </c>
      <c r="H47" s="611" t="s">
        <v>376</v>
      </c>
      <c r="I47" s="643" t="str">
        <f t="shared" ca="1" si="96"/>
        <v>04.11.2025</v>
      </c>
      <c r="J47" s="611" t="s">
        <v>377</v>
      </c>
      <c r="K47" s="611" t="s">
        <v>401</v>
      </c>
      <c r="L47" s="611" t="s">
        <v>379</v>
      </c>
      <c r="M47" s="611" t="s">
        <v>380</v>
      </c>
      <c r="N47" s="611" t="s">
        <v>381</v>
      </c>
      <c r="O47" s="611" t="s">
        <v>170</v>
      </c>
      <c r="P47" s="611" t="s">
        <v>382</v>
      </c>
      <c r="Q47" s="611"/>
      <c r="R47" s="610" t="s">
        <v>383</v>
      </c>
      <c r="S47" s="611" t="str">
        <f t="shared" si="100"/>
        <v>"Adrian Messerli"</v>
      </c>
      <c r="T47" s="611" t="s">
        <v>385</v>
      </c>
      <c r="U47" s="610" t="str">
        <f t="shared" si="101"/>
        <v>${p.FamilyName5}, ${p.ManFirstName6}</v>
      </c>
      <c r="V47" s="611" t="s">
        <v>387</v>
      </c>
      <c r="W47" s="611" t="s">
        <v>388</v>
      </c>
      <c r="X47" s="207" t="s">
        <v>1721</v>
      </c>
      <c r="Y47" s="2"/>
      <c r="Z47" s="2" t="s">
        <v>37</v>
      </c>
      <c r="AA47" s="2"/>
      <c r="AB47" s="2" t="s">
        <v>389</v>
      </c>
      <c r="AC47" s="4"/>
      <c r="AD47" s="2"/>
      <c r="AE47" s="2"/>
      <c r="AF47" s="2"/>
      <c r="AG47" s="2"/>
      <c r="AH47" s="2"/>
      <c r="AI47" s="2"/>
      <c r="AJ47" s="156" t="e">
        <f t="shared" ref="AJ47" si="110">AI47/($AI47)</f>
        <v>#DIV/0!</v>
      </c>
      <c r="AK47" s="2"/>
      <c r="AL47" s="156" t="e">
        <f t="shared" ref="AL47:AN47" si="111">AK47/($AI47)</f>
        <v>#DIV/0!</v>
      </c>
      <c r="AM47" s="2"/>
      <c r="AN47" s="156" t="e">
        <f t="shared" si="111"/>
        <v>#DIV/0!</v>
      </c>
      <c r="AO47" s="2"/>
      <c r="AP47" s="156" t="e">
        <f t="shared" si="2"/>
        <v>#DIV/0!</v>
      </c>
      <c r="AQ47" s="2"/>
      <c r="AR47" s="156" t="e">
        <f t="shared" si="2"/>
        <v>#DIV/0!</v>
      </c>
      <c r="AS47" s="2"/>
      <c r="AT47" s="156" t="e">
        <f t="shared" si="2"/>
        <v>#DIV/0!</v>
      </c>
      <c r="AU47" s="2"/>
      <c r="AV47" s="156" t="e">
        <f t="shared" si="2"/>
        <v>#DIV/0!</v>
      </c>
      <c r="AW47" s="2"/>
      <c r="AX47" s="156" t="e">
        <f t="shared" si="59"/>
        <v>#DIV/0!</v>
      </c>
      <c r="AY47" s="2"/>
      <c r="AZ47" s="156" t="e">
        <f t="shared" si="59"/>
        <v>#DIV/0!</v>
      </c>
      <c r="BB47" s="156" t="e">
        <f t="shared" si="59"/>
        <v>#DIV/0!</v>
      </c>
      <c r="BD47" s="156" t="e">
        <f t="shared" si="59"/>
        <v>#DIV/0!</v>
      </c>
      <c r="BF47" s="156" t="e">
        <f t="shared" si="59"/>
        <v>#DIV/0!</v>
      </c>
      <c r="BH47" s="156" t="e">
        <f t="shared" si="59"/>
        <v>#DIV/0!</v>
      </c>
      <c r="BK47" s="156" t="e">
        <f t="shared" si="5"/>
        <v>#DIV/0!</v>
      </c>
      <c r="BM47" s="156" t="e">
        <f t="shared" si="6"/>
        <v>#DIV/0!</v>
      </c>
      <c r="BO47" s="156" t="e">
        <f t="shared" si="7"/>
        <v>#DIV/0!</v>
      </c>
      <c r="BQ47" s="156" t="e">
        <f t="shared" si="8"/>
        <v>#DIV/0!</v>
      </c>
      <c r="BS47" s="156" t="e">
        <f t="shared" si="9"/>
        <v>#DIV/0!</v>
      </c>
      <c r="BU47" s="156" t="e">
        <f t="shared" si="10"/>
        <v>#DIV/0!</v>
      </c>
    </row>
    <row r="48" spans="1:111" s="96" customFormat="1" ht="15.75" hidden="1" customHeight="1">
      <c r="A48" s="3657"/>
      <c r="B48" s="2" t="s">
        <v>373</v>
      </c>
      <c r="C48" s="12" t="str">
        <f t="shared" ca="1" si="95"/>
        <v>{"titel":"Ein erwärmendes Gespräche","erstelltAm":"04.11.2025","jurnalArt":"Gespräch","thema":"Bildung","relevantSanktion":"x","interneVerwendung":"","teilnehmende":`"Adrian Messerli"`,"betroffene":`${p.FamilyName5}, ${p.ManFirstName6}`,"notiz":"so was","dateiPfad":""}</v>
      </c>
      <c r="D48" s="2"/>
      <c r="E48" s="4" t="str">
        <f t="shared" ca="1" si="99"/>
        <v>{"titel":"Ein erwärmendes Gespräche","erstelltAm":"04.11.2025","jurnalArt":"Gespräch","thema":"Bildung","relevantSanktion":"x","interneVerwendung":"","teilnehmende":`"Adrian Messerli"`,"betroffene":`${p.FamilyName5}, ${p.ManFirstName6}`,"notiz":"so was","dateiPfad":""}</v>
      </c>
      <c r="F48" s="611" t="s">
        <v>374</v>
      </c>
      <c r="G48" s="611" t="s">
        <v>402</v>
      </c>
      <c r="H48" s="611" t="s">
        <v>376</v>
      </c>
      <c r="I48" s="643" t="str">
        <f t="shared" ca="1" si="96"/>
        <v>04.11.2025</v>
      </c>
      <c r="J48" s="611" t="s">
        <v>377</v>
      </c>
      <c r="K48" s="611" t="s">
        <v>378</v>
      </c>
      <c r="L48" s="611" t="s">
        <v>379</v>
      </c>
      <c r="M48" s="611" t="s">
        <v>380</v>
      </c>
      <c r="N48" s="611" t="s">
        <v>381</v>
      </c>
      <c r="O48" s="611" t="s">
        <v>170</v>
      </c>
      <c r="P48" s="611" t="s">
        <v>382</v>
      </c>
      <c r="Q48" s="611"/>
      <c r="R48" s="610" t="s">
        <v>383</v>
      </c>
      <c r="S48" s="611" t="str">
        <f t="shared" si="100"/>
        <v>"Adrian Messerli"</v>
      </c>
      <c r="T48" s="611" t="s">
        <v>385</v>
      </c>
      <c r="U48" s="610" t="str">
        <f t="shared" si="101"/>
        <v>${p.FamilyName5}, ${p.ManFirstName6}</v>
      </c>
      <c r="V48" s="611" t="s">
        <v>387</v>
      </c>
      <c r="W48" s="611" t="s">
        <v>388</v>
      </c>
      <c r="X48" s="207" t="s">
        <v>1721</v>
      </c>
      <c r="Y48" s="2"/>
      <c r="Z48" s="2" t="s">
        <v>37</v>
      </c>
      <c r="AA48" s="2"/>
      <c r="AB48" s="2" t="s">
        <v>389</v>
      </c>
      <c r="AC48" s="4"/>
      <c r="AD48" s="2"/>
      <c r="AE48" s="2"/>
      <c r="AF48" s="2"/>
      <c r="AG48" s="2"/>
      <c r="AH48" s="2"/>
      <c r="AI48" s="2"/>
      <c r="AJ48" s="156" t="e">
        <f t="shared" ref="AJ48" si="112">AI48/($AI48)</f>
        <v>#DIV/0!</v>
      </c>
      <c r="AK48" s="2"/>
      <c r="AL48" s="156" t="e">
        <f t="shared" ref="AL48:AN48" si="113">AK48/($AI48)</f>
        <v>#DIV/0!</v>
      </c>
      <c r="AM48" s="2"/>
      <c r="AN48" s="156" t="e">
        <f t="shared" si="113"/>
        <v>#DIV/0!</v>
      </c>
      <c r="AO48" s="2"/>
      <c r="AP48" s="156" t="e">
        <f t="shared" si="2"/>
        <v>#DIV/0!</v>
      </c>
      <c r="AQ48" s="2"/>
      <c r="AR48" s="156" t="e">
        <f t="shared" si="2"/>
        <v>#DIV/0!</v>
      </c>
      <c r="AS48" s="2"/>
      <c r="AT48" s="156" t="e">
        <f t="shared" si="2"/>
        <v>#DIV/0!</v>
      </c>
      <c r="AU48" s="2"/>
      <c r="AV48" s="156" t="e">
        <f t="shared" si="2"/>
        <v>#DIV/0!</v>
      </c>
      <c r="AW48" s="2"/>
      <c r="AX48" s="156" t="e">
        <f t="shared" si="59"/>
        <v>#DIV/0!</v>
      </c>
      <c r="AY48" s="2"/>
      <c r="AZ48" s="156" t="e">
        <f t="shared" si="59"/>
        <v>#DIV/0!</v>
      </c>
      <c r="BB48" s="156" t="e">
        <f t="shared" si="59"/>
        <v>#DIV/0!</v>
      </c>
      <c r="BD48" s="156" t="e">
        <f t="shared" si="59"/>
        <v>#DIV/0!</v>
      </c>
      <c r="BF48" s="156" t="e">
        <f t="shared" si="59"/>
        <v>#DIV/0!</v>
      </c>
      <c r="BH48" s="156" t="e">
        <f t="shared" si="59"/>
        <v>#DIV/0!</v>
      </c>
      <c r="BK48" s="156" t="e">
        <f t="shared" si="5"/>
        <v>#DIV/0!</v>
      </c>
      <c r="BM48" s="156" t="e">
        <f t="shared" si="6"/>
        <v>#DIV/0!</v>
      </c>
      <c r="BO48" s="156" t="e">
        <f t="shared" si="7"/>
        <v>#DIV/0!</v>
      </c>
      <c r="BQ48" s="156" t="e">
        <f t="shared" si="8"/>
        <v>#DIV/0!</v>
      </c>
      <c r="BS48" s="156" t="e">
        <f t="shared" si="9"/>
        <v>#DIV/0!</v>
      </c>
      <c r="BU48" s="156" t="e">
        <f t="shared" si="10"/>
        <v>#DIV/0!</v>
      </c>
    </row>
    <row r="49" spans="1:73" s="96" customFormat="1" ht="15.75" hidden="1" customHeight="1">
      <c r="A49" s="3657"/>
      <c r="B49" s="2" t="s">
        <v>373</v>
      </c>
      <c r="C49" s="12" t="str">
        <f t="shared" ca="1" si="95"/>
        <v>{"titel":"Ein neues Mail","erstelltAm":"04.11.2025","jurnalArt":"Mail","thema":"Bildung","relevantSanktion":"x","interneVerwendung":"","teilnehmende":`"Adrian Messerli"`,"betroffene":`${p.FamilyName5}, ${p.ManFirstName6}`,"notiz":"so was","dateiPfad":""}</v>
      </c>
      <c r="D49" s="2"/>
      <c r="E49" s="4" t="str">
        <f t="shared" ca="1" si="99"/>
        <v>{"titel":"Ein neues Mail","erstelltAm":"04.11.2025","jurnalArt":"Mail","thema":"Bildung","relevantSanktion":"x","interneVerwendung":"","teilnehmende":`"Adrian Messerli"`,"betroffene":`${p.FamilyName5}, ${p.ManFirstName6}`,"notiz":"so was","dateiPfad":""}</v>
      </c>
      <c r="F49" s="611" t="s">
        <v>374</v>
      </c>
      <c r="G49" s="611" t="s">
        <v>403</v>
      </c>
      <c r="H49" s="611" t="s">
        <v>376</v>
      </c>
      <c r="I49" s="643" t="str">
        <f t="shared" ca="1" si="96"/>
        <v>04.11.2025</v>
      </c>
      <c r="J49" s="611" t="s">
        <v>377</v>
      </c>
      <c r="K49" s="611" t="s">
        <v>391</v>
      </c>
      <c r="L49" s="611" t="s">
        <v>379</v>
      </c>
      <c r="M49" s="611" t="s">
        <v>380</v>
      </c>
      <c r="N49" s="611" t="s">
        <v>381</v>
      </c>
      <c r="O49" s="611" t="s">
        <v>170</v>
      </c>
      <c r="P49" s="611" t="s">
        <v>382</v>
      </c>
      <c r="Q49" s="611"/>
      <c r="R49" s="610" t="s">
        <v>383</v>
      </c>
      <c r="S49" s="611" t="str">
        <f t="shared" si="100"/>
        <v>"Adrian Messerli"</v>
      </c>
      <c r="T49" s="611" t="s">
        <v>385</v>
      </c>
      <c r="U49" s="610" t="str">
        <f t="shared" si="101"/>
        <v>${p.FamilyName5}, ${p.ManFirstName6}</v>
      </c>
      <c r="V49" s="611" t="s">
        <v>387</v>
      </c>
      <c r="W49" s="611" t="s">
        <v>388</v>
      </c>
      <c r="X49" s="207" t="s">
        <v>1721</v>
      </c>
      <c r="Y49" s="2"/>
      <c r="Z49" s="2" t="s">
        <v>37</v>
      </c>
      <c r="AA49" s="2"/>
      <c r="AB49" s="2" t="s">
        <v>389</v>
      </c>
      <c r="AC49" s="4"/>
      <c r="AD49" s="2"/>
      <c r="AE49" s="2"/>
      <c r="AF49" s="2"/>
      <c r="AG49" s="2"/>
      <c r="AH49" s="2"/>
      <c r="AI49" s="2"/>
      <c r="AJ49" s="156" t="e">
        <f t="shared" ref="AJ49" si="114">AI49/($AI49)</f>
        <v>#DIV/0!</v>
      </c>
      <c r="AK49" s="2"/>
      <c r="AL49" s="156" t="e">
        <f t="shared" ref="AL49:AN49" si="115">AK49/($AI49)</f>
        <v>#DIV/0!</v>
      </c>
      <c r="AM49" s="2"/>
      <c r="AN49" s="156" t="e">
        <f t="shared" si="115"/>
        <v>#DIV/0!</v>
      </c>
      <c r="AO49" s="2"/>
      <c r="AP49" s="156" t="e">
        <f t="shared" si="2"/>
        <v>#DIV/0!</v>
      </c>
      <c r="AQ49" s="2"/>
      <c r="AR49" s="156" t="e">
        <f t="shared" si="2"/>
        <v>#DIV/0!</v>
      </c>
      <c r="AS49" s="2"/>
      <c r="AT49" s="156" t="e">
        <f t="shared" si="2"/>
        <v>#DIV/0!</v>
      </c>
      <c r="AU49" s="2"/>
      <c r="AV49" s="156" t="e">
        <f t="shared" si="2"/>
        <v>#DIV/0!</v>
      </c>
      <c r="AW49" s="2"/>
      <c r="AX49" s="156" t="e">
        <f t="shared" si="59"/>
        <v>#DIV/0!</v>
      </c>
      <c r="AY49" s="2"/>
      <c r="AZ49" s="156" t="e">
        <f t="shared" si="59"/>
        <v>#DIV/0!</v>
      </c>
      <c r="BB49" s="156" t="e">
        <f t="shared" si="59"/>
        <v>#DIV/0!</v>
      </c>
      <c r="BD49" s="156" t="e">
        <f t="shared" si="59"/>
        <v>#DIV/0!</v>
      </c>
      <c r="BF49" s="156" t="e">
        <f t="shared" si="59"/>
        <v>#DIV/0!</v>
      </c>
      <c r="BH49" s="156" t="e">
        <f t="shared" si="59"/>
        <v>#DIV/0!</v>
      </c>
      <c r="BK49" s="156" t="e">
        <f t="shared" si="5"/>
        <v>#DIV/0!</v>
      </c>
      <c r="BM49" s="156" t="e">
        <f t="shared" si="6"/>
        <v>#DIV/0!</v>
      </c>
      <c r="BO49" s="156" t="e">
        <f t="shared" si="7"/>
        <v>#DIV/0!</v>
      </c>
      <c r="BQ49" s="156" t="e">
        <f t="shared" si="8"/>
        <v>#DIV/0!</v>
      </c>
      <c r="BS49" s="156" t="e">
        <f t="shared" si="9"/>
        <v>#DIV/0!</v>
      </c>
      <c r="BU49" s="156" t="e">
        <f t="shared" si="10"/>
        <v>#DIV/0!</v>
      </c>
    </row>
    <row r="50" spans="1:73" s="96" customFormat="1" ht="15.75" hidden="1" customHeight="1">
      <c r="A50" s="3657"/>
      <c r="B50" s="2" t="s">
        <v>373</v>
      </c>
      <c r="C50" s="12" t="str">
        <f t="shared" ca="1" si="95"/>
        <v>{"titel":"Ein weiteres Telefon","erstelltAm":"04.11.2025","jurnalArt":"Telefon","thema":"Bildung","relevantSanktion":"x","interneVerwendung":"","teilnehmende":`"Adrian Messerli"`,"betroffene":`${p.FamilyName5}, ${p.ManFirstName6}`,"notiz":"so was","dateiPfad":""}</v>
      </c>
      <c r="D50" s="2"/>
      <c r="E50" s="4" t="str">
        <f t="shared" ca="1" si="99"/>
        <v>{"titel":"Ein weiteres Telefon","erstelltAm":"04.11.2025","jurnalArt":"Telefon","thema":"Bildung","relevantSanktion":"x","interneVerwendung":"","teilnehmende":`"Adrian Messerli"`,"betroffene":`${p.FamilyName5}, ${p.ManFirstName6}`,"notiz":"so was","dateiPfad":""}</v>
      </c>
      <c r="F50" s="611" t="s">
        <v>374</v>
      </c>
      <c r="G50" s="611" t="s">
        <v>404</v>
      </c>
      <c r="H50" s="611" t="s">
        <v>376</v>
      </c>
      <c r="I50" s="643" t="str">
        <f t="shared" ca="1" si="96"/>
        <v>04.11.2025</v>
      </c>
      <c r="J50" s="611" t="s">
        <v>377</v>
      </c>
      <c r="K50" s="611" t="s">
        <v>394</v>
      </c>
      <c r="L50" s="611" t="s">
        <v>379</v>
      </c>
      <c r="M50" s="611" t="s">
        <v>380</v>
      </c>
      <c r="N50" s="611" t="s">
        <v>381</v>
      </c>
      <c r="O50" s="611" t="s">
        <v>170</v>
      </c>
      <c r="P50" s="611" t="s">
        <v>382</v>
      </c>
      <c r="Q50" s="611"/>
      <c r="R50" s="610" t="s">
        <v>383</v>
      </c>
      <c r="S50" s="611" t="str">
        <f t="shared" si="100"/>
        <v>"Adrian Messerli"</v>
      </c>
      <c r="T50" s="611" t="s">
        <v>385</v>
      </c>
      <c r="U50" s="610" t="str">
        <f t="shared" si="101"/>
        <v>${p.FamilyName5}, ${p.ManFirstName6}</v>
      </c>
      <c r="V50" s="611" t="s">
        <v>387</v>
      </c>
      <c r="W50" s="611" t="s">
        <v>388</v>
      </c>
      <c r="X50" s="207" t="s">
        <v>1721</v>
      </c>
      <c r="Y50" s="2"/>
      <c r="Z50" s="2" t="s">
        <v>37</v>
      </c>
      <c r="AA50" s="2"/>
      <c r="AB50" s="2" t="s">
        <v>389</v>
      </c>
      <c r="AC50" s="4"/>
      <c r="AD50" s="2"/>
      <c r="AE50" s="2"/>
      <c r="AF50" s="2"/>
      <c r="AG50" s="2"/>
      <c r="AH50" s="2"/>
      <c r="AI50" s="2"/>
      <c r="AJ50" s="156" t="e">
        <f t="shared" ref="AJ50" si="116">AI50/($AI50)</f>
        <v>#DIV/0!</v>
      </c>
      <c r="AK50" s="2"/>
      <c r="AL50" s="156" t="e">
        <f t="shared" ref="AL50:AN50" si="117">AK50/($AI50)</f>
        <v>#DIV/0!</v>
      </c>
      <c r="AM50" s="2"/>
      <c r="AN50" s="156" t="e">
        <f t="shared" si="117"/>
        <v>#DIV/0!</v>
      </c>
      <c r="AO50" s="2"/>
      <c r="AP50" s="156" t="e">
        <f t="shared" si="2"/>
        <v>#DIV/0!</v>
      </c>
      <c r="AQ50" s="2"/>
      <c r="AR50" s="156" t="e">
        <f t="shared" si="2"/>
        <v>#DIV/0!</v>
      </c>
      <c r="AS50" s="2"/>
      <c r="AT50" s="156" t="e">
        <f t="shared" si="2"/>
        <v>#DIV/0!</v>
      </c>
      <c r="AU50" s="2"/>
      <c r="AV50" s="156" t="e">
        <f t="shared" si="2"/>
        <v>#DIV/0!</v>
      </c>
      <c r="AW50" s="2"/>
      <c r="AX50" s="156" t="e">
        <f t="shared" si="59"/>
        <v>#DIV/0!</v>
      </c>
      <c r="AY50" s="2"/>
      <c r="AZ50" s="156" t="e">
        <f t="shared" si="59"/>
        <v>#DIV/0!</v>
      </c>
      <c r="BB50" s="156" t="e">
        <f t="shared" si="59"/>
        <v>#DIV/0!</v>
      </c>
      <c r="BD50" s="156" t="e">
        <f t="shared" si="59"/>
        <v>#DIV/0!</v>
      </c>
      <c r="BF50" s="156" t="e">
        <f t="shared" si="59"/>
        <v>#DIV/0!</v>
      </c>
      <c r="BH50" s="156" t="e">
        <f t="shared" si="59"/>
        <v>#DIV/0!</v>
      </c>
      <c r="BK50" s="156" t="e">
        <f t="shared" si="5"/>
        <v>#DIV/0!</v>
      </c>
      <c r="BM50" s="156" t="e">
        <f t="shared" si="6"/>
        <v>#DIV/0!</v>
      </c>
      <c r="BO50" s="156" t="e">
        <f t="shared" si="7"/>
        <v>#DIV/0!</v>
      </c>
      <c r="BQ50" s="156" t="e">
        <f t="shared" si="8"/>
        <v>#DIV/0!</v>
      </c>
      <c r="BS50" s="156" t="e">
        <f t="shared" si="9"/>
        <v>#DIV/0!</v>
      </c>
      <c r="BU50" s="156" t="e">
        <f t="shared" si="10"/>
        <v>#DIV/0!</v>
      </c>
    </row>
    <row r="51" spans="1:73" s="96" customFormat="1" ht="15.75" hidden="1" customHeight="1">
      <c r="A51" s="3657"/>
      <c r="B51" s="2" t="s">
        <v>373</v>
      </c>
      <c r="C51" s="12" t="str">
        <f t="shared" ca="1" si="95"/>
        <v>{"titel":"Eine tolle Notiz","erstelltAm":"04.11.2025","jurnalArt":"Notiz","thema":"Bildung","relevantSanktion":"x","interneVerwendung":"","teilnehmende":`"Adrian Messerli"`,"betroffene":`${p.FamilyName5}, ${p.ManFirstName6}`,"notiz":"so was","dateiPfad":""}</v>
      </c>
      <c r="D51" s="2"/>
      <c r="E51" s="4" t="str">
        <f t="shared" ca="1" si="99"/>
        <v>{"titel":"Eine tolle Notiz","erstelltAm":"04.11.2025","jurnalArt":"Notiz","thema":"Bildung","relevantSanktion":"x","interneVerwendung":"","teilnehmende":`"Adrian Messerli"`,"betroffene":`${p.FamilyName5}, ${p.ManFirstName6}`,"notiz":"so was","dateiPfad":""}</v>
      </c>
      <c r="F51" s="611" t="s">
        <v>374</v>
      </c>
      <c r="G51" s="611" t="s">
        <v>405</v>
      </c>
      <c r="H51" s="611" t="s">
        <v>376</v>
      </c>
      <c r="I51" s="643" t="str">
        <f t="shared" ca="1" si="96"/>
        <v>04.11.2025</v>
      </c>
      <c r="J51" s="611" t="s">
        <v>377</v>
      </c>
      <c r="K51" s="611" t="s">
        <v>396</v>
      </c>
      <c r="L51" s="611" t="s">
        <v>379</v>
      </c>
      <c r="M51" s="611" t="s">
        <v>380</v>
      </c>
      <c r="N51" s="611" t="s">
        <v>381</v>
      </c>
      <c r="O51" s="611" t="s">
        <v>170</v>
      </c>
      <c r="P51" s="611" t="s">
        <v>382</v>
      </c>
      <c r="Q51" s="611"/>
      <c r="R51" s="610" t="s">
        <v>383</v>
      </c>
      <c r="S51" s="611" t="str">
        <f t="shared" si="100"/>
        <v>"Adrian Messerli"</v>
      </c>
      <c r="T51" s="611" t="s">
        <v>385</v>
      </c>
      <c r="U51" s="610" t="str">
        <f t="shared" si="101"/>
        <v>${p.FamilyName5}, ${p.ManFirstName6}</v>
      </c>
      <c r="V51" s="611" t="s">
        <v>387</v>
      </c>
      <c r="W51" s="611" t="s">
        <v>388</v>
      </c>
      <c r="X51" s="207" t="s">
        <v>1721</v>
      </c>
      <c r="Y51" s="2"/>
      <c r="Z51" s="2" t="s">
        <v>37</v>
      </c>
      <c r="AA51" s="2"/>
      <c r="AB51" s="2" t="s">
        <v>389</v>
      </c>
      <c r="AC51" s="4"/>
      <c r="AD51" s="2"/>
      <c r="AE51" s="2"/>
      <c r="AF51" s="2"/>
      <c r="AG51" s="2"/>
      <c r="AH51" s="2"/>
      <c r="AI51" s="2"/>
      <c r="AJ51" s="156" t="e">
        <f t="shared" ref="AJ51" si="118">AI51/($AI51)</f>
        <v>#DIV/0!</v>
      </c>
      <c r="AK51" s="2"/>
      <c r="AL51" s="156" t="e">
        <f t="shared" ref="AL51:AN51" si="119">AK51/($AI51)</f>
        <v>#DIV/0!</v>
      </c>
      <c r="AM51" s="2"/>
      <c r="AN51" s="156" t="e">
        <f t="shared" si="119"/>
        <v>#DIV/0!</v>
      </c>
      <c r="AO51" s="2"/>
      <c r="AP51" s="156" t="e">
        <f t="shared" si="2"/>
        <v>#DIV/0!</v>
      </c>
      <c r="AQ51" s="2"/>
      <c r="AR51" s="156" t="e">
        <f t="shared" si="2"/>
        <v>#DIV/0!</v>
      </c>
      <c r="AS51" s="2"/>
      <c r="AT51" s="156" t="e">
        <f t="shared" si="2"/>
        <v>#DIV/0!</v>
      </c>
      <c r="AU51" s="2"/>
      <c r="AV51" s="156" t="e">
        <f t="shared" si="2"/>
        <v>#DIV/0!</v>
      </c>
      <c r="AW51" s="2"/>
      <c r="AX51" s="156" t="e">
        <f t="shared" si="59"/>
        <v>#DIV/0!</v>
      </c>
      <c r="AY51" s="2"/>
      <c r="AZ51" s="156" t="e">
        <f t="shared" si="59"/>
        <v>#DIV/0!</v>
      </c>
      <c r="BB51" s="156" t="e">
        <f t="shared" si="59"/>
        <v>#DIV/0!</v>
      </c>
      <c r="BD51" s="156" t="e">
        <f t="shared" si="59"/>
        <v>#DIV/0!</v>
      </c>
      <c r="BF51" s="156" t="e">
        <f t="shared" si="59"/>
        <v>#DIV/0!</v>
      </c>
      <c r="BH51" s="156" t="e">
        <f t="shared" si="59"/>
        <v>#DIV/0!</v>
      </c>
      <c r="BK51" s="156" t="e">
        <f t="shared" si="5"/>
        <v>#DIV/0!</v>
      </c>
      <c r="BM51" s="156" t="e">
        <f t="shared" si="6"/>
        <v>#DIV/0!</v>
      </c>
      <c r="BO51" s="156" t="e">
        <f t="shared" si="7"/>
        <v>#DIV/0!</v>
      </c>
      <c r="BQ51" s="156" t="e">
        <f t="shared" si="8"/>
        <v>#DIV/0!</v>
      </c>
      <c r="BS51" s="156" t="e">
        <f t="shared" si="9"/>
        <v>#DIV/0!</v>
      </c>
      <c r="BU51" s="156" t="e">
        <f t="shared" si="10"/>
        <v>#DIV/0!</v>
      </c>
    </row>
    <row r="52" spans="1:73" s="96" customFormat="1" ht="15.75" hidden="1" customHeight="1">
      <c r="A52" s="3657"/>
      <c r="B52" s="2" t="s">
        <v>373</v>
      </c>
      <c r="C52" s="12" t="str">
        <f t="shared" ca="1" si="95"/>
        <v>{"titel":"Oh so war es","erstelltAm":"04.11.2025","jurnalArt":"Situationsbeschrieb","thema":"Bildung","relevantSanktion":"x","interneVerwendung":"","teilnehmende":`"Adrian Messerli"`,"betroffene":`${p.FamilyName5}, ${p.ManFirstName6}`,"notiz":"so was","dateiPfad":""}</v>
      </c>
      <c r="D52" s="2"/>
      <c r="E52" s="4" t="str">
        <f t="shared" ca="1" si="99"/>
        <v>{"titel":"Oh so war es","erstelltAm":"04.11.2025","jurnalArt":"Situationsbeschrieb","thema":"Bildung","relevantSanktion":"x","interneVerwendung":"","teilnehmende":`"Adrian Messerli"`,"betroffene":`${p.FamilyName5}, ${p.ManFirstName6}`,"notiz":"so was","dateiPfad":""}</v>
      </c>
      <c r="F52" s="611" t="s">
        <v>374</v>
      </c>
      <c r="G52" s="611" t="s">
        <v>406</v>
      </c>
      <c r="H52" s="611" t="s">
        <v>376</v>
      </c>
      <c r="I52" s="644" t="str">
        <f t="shared" ca="1" si="96"/>
        <v>04.11.2025</v>
      </c>
      <c r="J52" s="611" t="s">
        <v>377</v>
      </c>
      <c r="K52" s="611" t="s">
        <v>398</v>
      </c>
      <c r="L52" s="611" t="s">
        <v>379</v>
      </c>
      <c r="M52" s="611" t="s">
        <v>380</v>
      </c>
      <c r="N52" s="611" t="s">
        <v>381</v>
      </c>
      <c r="O52" s="611" t="s">
        <v>170</v>
      </c>
      <c r="P52" s="611" t="s">
        <v>382</v>
      </c>
      <c r="Q52" s="611"/>
      <c r="R52" s="610" t="s">
        <v>383</v>
      </c>
      <c r="S52" s="611" t="str">
        <f t="shared" si="100"/>
        <v>"Adrian Messerli"</v>
      </c>
      <c r="T52" s="611" t="s">
        <v>385</v>
      </c>
      <c r="U52" s="610" t="str">
        <f t="shared" si="101"/>
        <v>${p.FamilyName5}, ${p.ManFirstName6}</v>
      </c>
      <c r="V52" s="611" t="s">
        <v>387</v>
      </c>
      <c r="W52" s="611" t="s">
        <v>388</v>
      </c>
      <c r="X52" s="207" t="s">
        <v>1721</v>
      </c>
      <c r="Y52" s="2"/>
      <c r="Z52" s="2" t="s">
        <v>37</v>
      </c>
      <c r="AA52" s="2"/>
      <c r="AB52" s="2" t="s">
        <v>389</v>
      </c>
      <c r="AC52" s="4"/>
      <c r="AD52" s="2"/>
      <c r="AE52" s="2"/>
      <c r="AF52" s="2"/>
      <c r="AG52" s="2"/>
      <c r="AH52" s="2"/>
      <c r="AI52" s="2"/>
      <c r="AJ52" s="156" t="e">
        <f t="shared" ref="AJ52" si="120">AI52/($AI52)</f>
        <v>#DIV/0!</v>
      </c>
      <c r="AK52" s="2"/>
      <c r="AL52" s="156" t="e">
        <f t="shared" ref="AL52:AN52" si="121">AK52/($AI52)</f>
        <v>#DIV/0!</v>
      </c>
      <c r="AM52" s="2"/>
      <c r="AN52" s="156" t="e">
        <f t="shared" si="121"/>
        <v>#DIV/0!</v>
      </c>
      <c r="AO52" s="2"/>
      <c r="AP52" s="156" t="e">
        <f t="shared" si="2"/>
        <v>#DIV/0!</v>
      </c>
      <c r="AQ52" s="2"/>
      <c r="AR52" s="156" t="e">
        <f t="shared" si="2"/>
        <v>#DIV/0!</v>
      </c>
      <c r="AS52" s="2"/>
      <c r="AT52" s="156" t="e">
        <f t="shared" si="2"/>
        <v>#DIV/0!</v>
      </c>
      <c r="AU52" s="2"/>
      <c r="AV52" s="156" t="e">
        <f t="shared" si="2"/>
        <v>#DIV/0!</v>
      </c>
      <c r="AW52" s="2"/>
      <c r="AX52" s="156" t="e">
        <f t="shared" si="59"/>
        <v>#DIV/0!</v>
      </c>
      <c r="AY52" s="2"/>
      <c r="AZ52" s="156" t="e">
        <f t="shared" si="59"/>
        <v>#DIV/0!</v>
      </c>
      <c r="BB52" s="156" t="e">
        <f t="shared" si="59"/>
        <v>#DIV/0!</v>
      </c>
      <c r="BD52" s="156" t="e">
        <f t="shared" si="59"/>
        <v>#DIV/0!</v>
      </c>
      <c r="BF52" s="156" t="e">
        <f t="shared" si="59"/>
        <v>#DIV/0!</v>
      </c>
      <c r="BH52" s="156" t="e">
        <f t="shared" si="59"/>
        <v>#DIV/0!</v>
      </c>
      <c r="BK52" s="156" t="e">
        <f t="shared" si="5"/>
        <v>#DIV/0!</v>
      </c>
      <c r="BM52" s="156" t="e">
        <f t="shared" si="6"/>
        <v>#DIV/0!</v>
      </c>
      <c r="BO52" s="156" t="e">
        <f t="shared" si="7"/>
        <v>#DIV/0!</v>
      </c>
      <c r="BQ52" s="156" t="e">
        <f t="shared" si="8"/>
        <v>#DIV/0!</v>
      </c>
      <c r="BS52" s="156" t="e">
        <f t="shared" si="9"/>
        <v>#DIV/0!</v>
      </c>
      <c r="BU52" s="156" t="e">
        <f t="shared" si="10"/>
        <v>#DIV/0!</v>
      </c>
    </row>
    <row r="53" spans="1:73" s="96" customFormat="1" ht="15.75" hidden="1" customHeight="1">
      <c r="A53" s="3658"/>
      <c r="B53" s="31" t="s">
        <v>134</v>
      </c>
      <c r="C53" s="190" t="str">
        <f t="shared" si="95"/>
        <v>{"username":"Bern.Sachbearbeiterin@diartis.ch","password":"XXxa22?pdTA66-S@"}</v>
      </c>
      <c r="D53" s="81"/>
      <c r="E53" s="34" t="str">
        <f>F53&amp;G53&amp;H53&amp;I53&amp;J53&amp;K53&amp;L53&amp;M53&amp;N53&amp;O53&amp;P53&amp;Q53&amp;R53&amp;S53&amp;T53&amp;U53&amp;V53&amp;W53&amp;X53</f>
        <v>{"username":"Bern.Sachbearbeiterin@diartis.ch","password":"XXxa22?pdTA66-S@"}</v>
      </c>
      <c r="F53" s="610" t="s">
        <v>29</v>
      </c>
      <c r="G53" s="632" t="s">
        <v>30</v>
      </c>
      <c r="H53" s="610" t="s">
        <v>31</v>
      </c>
      <c r="I53" s="638" t="s">
        <v>32</v>
      </c>
      <c r="J53" s="610" t="s">
        <v>37</v>
      </c>
      <c r="K53" s="635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81"/>
      <c r="Y53" s="81"/>
      <c r="Z53" s="34"/>
      <c r="AA53" s="34"/>
      <c r="AB53" s="34"/>
      <c r="AC53" s="34"/>
      <c r="AD53" s="81"/>
      <c r="AE53" s="81"/>
      <c r="AF53" s="81"/>
      <c r="AG53" s="81"/>
      <c r="AH53" s="81"/>
      <c r="AI53" s="81"/>
      <c r="AJ53" s="156" t="e">
        <f t="shared" ref="AJ53" si="122">AI53/($AI53)</f>
        <v>#DIV/0!</v>
      </c>
      <c r="AK53" s="81"/>
      <c r="AL53" s="156" t="e">
        <f t="shared" ref="AL53:AN53" si="123">AK53/($AI53)</f>
        <v>#DIV/0!</v>
      </c>
      <c r="AM53" s="81"/>
      <c r="AN53" s="156" t="e">
        <f t="shared" si="123"/>
        <v>#DIV/0!</v>
      </c>
      <c r="AO53" s="81"/>
      <c r="AP53" s="156" t="e">
        <f t="shared" si="2"/>
        <v>#DIV/0!</v>
      </c>
      <c r="AQ53" s="81"/>
      <c r="AR53" s="156" t="e">
        <f t="shared" si="2"/>
        <v>#DIV/0!</v>
      </c>
      <c r="AS53" s="81"/>
      <c r="AT53" s="156" t="e">
        <f t="shared" si="2"/>
        <v>#DIV/0!</v>
      </c>
      <c r="AU53" s="81"/>
      <c r="AV53" s="156" t="e">
        <f t="shared" si="2"/>
        <v>#DIV/0!</v>
      </c>
      <c r="AW53" s="81"/>
      <c r="AX53" s="156" t="e">
        <f t="shared" si="59"/>
        <v>#DIV/0!</v>
      </c>
      <c r="AY53" s="81"/>
      <c r="AZ53" s="156" t="e">
        <f t="shared" si="59"/>
        <v>#DIV/0!</v>
      </c>
      <c r="BB53" s="156" t="e">
        <f t="shared" si="59"/>
        <v>#DIV/0!</v>
      </c>
      <c r="BD53" s="156" t="e">
        <f t="shared" si="59"/>
        <v>#DIV/0!</v>
      </c>
      <c r="BF53" s="156" t="e">
        <f t="shared" si="59"/>
        <v>#DIV/0!</v>
      </c>
      <c r="BH53" s="156" t="e">
        <f t="shared" si="59"/>
        <v>#DIV/0!</v>
      </c>
      <c r="BK53" s="156" t="e">
        <f t="shared" si="5"/>
        <v>#DIV/0!</v>
      </c>
      <c r="BM53" s="156" t="e">
        <f t="shared" si="6"/>
        <v>#DIV/0!</v>
      </c>
      <c r="BO53" s="156" t="e">
        <f t="shared" si="7"/>
        <v>#DIV/0!</v>
      </c>
      <c r="BQ53" s="156" t="e">
        <f t="shared" si="8"/>
        <v>#DIV/0!</v>
      </c>
      <c r="BS53" s="156" t="e">
        <f t="shared" si="9"/>
        <v>#DIV/0!</v>
      </c>
      <c r="BU53" s="156" t="e">
        <f t="shared" si="10"/>
        <v>#DIV/0!</v>
      </c>
    </row>
    <row r="54" spans="1:73" ht="15.75" hidden="1" customHeight="1">
      <c r="A54" s="3658"/>
      <c r="B54" s="31" t="s">
        <v>134</v>
      </c>
      <c r="C54" s="203" t="s">
        <v>138</v>
      </c>
      <c r="E54" s="4" t="str">
        <f>F54&amp;G54&amp;H54&amp;I54&amp;J54&amp;K54&amp;L54&amp;M54&amp;N54&amp;O54&amp;P54&amp;Q54&amp;R54&amp;S54&amp;T54&amp;U54&amp;V54&amp;W54&amp;X54</f>
        <v>{"username":"Bern.Sachbearbeiterin@diartis.ch","password":"XXxa22?pdTA66-S@"}</v>
      </c>
      <c r="F54" s="610" t="s">
        <v>29</v>
      </c>
      <c r="G54" s="36" t="s">
        <v>30</v>
      </c>
      <c r="H54" s="610" t="s">
        <v>31</v>
      </c>
      <c r="I54" s="36" t="s">
        <v>32</v>
      </c>
      <c r="J54" s="610" t="s">
        <v>37</v>
      </c>
      <c r="AJ54" s="156" t="e">
        <f t="shared" ref="AJ54" si="124">AI54/($AI54)</f>
        <v>#DIV/0!</v>
      </c>
      <c r="AL54" s="156" t="e">
        <f t="shared" ref="AL54:AN54" si="125">AK54/($AI54)</f>
        <v>#DIV/0!</v>
      </c>
      <c r="AN54" s="156" t="e">
        <f t="shared" si="125"/>
        <v>#DIV/0!</v>
      </c>
      <c r="AP54" s="156" t="e">
        <f t="shared" si="2"/>
        <v>#DIV/0!</v>
      </c>
      <c r="AR54" s="156" t="e">
        <f t="shared" si="2"/>
        <v>#DIV/0!</v>
      </c>
      <c r="AT54" s="156" t="e">
        <f t="shared" si="2"/>
        <v>#DIV/0!</v>
      </c>
      <c r="AV54" s="156" t="e">
        <f t="shared" si="2"/>
        <v>#DIV/0!</v>
      </c>
      <c r="AX54" s="156" t="e">
        <f t="shared" si="59"/>
        <v>#DIV/0!</v>
      </c>
      <c r="AZ54" s="156" t="e">
        <f t="shared" si="59"/>
        <v>#DIV/0!</v>
      </c>
      <c r="BB54" s="156" t="e">
        <f t="shared" si="59"/>
        <v>#DIV/0!</v>
      </c>
      <c r="BD54" s="156" t="e">
        <f t="shared" si="59"/>
        <v>#DIV/0!</v>
      </c>
      <c r="BF54" s="156" t="e">
        <f t="shared" si="59"/>
        <v>#DIV/0!</v>
      </c>
      <c r="BH54" s="156" t="e">
        <f t="shared" si="59"/>
        <v>#DIV/0!</v>
      </c>
      <c r="BK54" s="156" t="e">
        <f t="shared" si="5"/>
        <v>#DIV/0!</v>
      </c>
      <c r="BM54" s="156" t="e">
        <f t="shared" si="6"/>
        <v>#DIV/0!</v>
      </c>
      <c r="BO54" s="156" t="e">
        <f t="shared" si="7"/>
        <v>#DIV/0!</v>
      </c>
      <c r="BQ54" s="156" t="e">
        <f t="shared" si="8"/>
        <v>#DIV/0!</v>
      </c>
      <c r="BS54" s="156" t="e">
        <f t="shared" si="9"/>
        <v>#DIV/0!</v>
      </c>
      <c r="BU54" s="156" t="e">
        <f t="shared" si="10"/>
        <v>#DIV/0!</v>
      </c>
    </row>
    <row r="55" spans="1:73" s="96" customFormat="1" ht="15.75" hidden="1" customHeight="1">
      <c r="A55" s="3657"/>
      <c r="B55" s="194" t="s">
        <v>139</v>
      </c>
      <c r="C55" s="195" t="str">
        <f>E55</f>
        <v>{"searchDossierOrKlient":`p.DossierName5`,"resultType":"Dossiers"}</v>
      </c>
      <c r="D55" s="90"/>
      <c r="E55" s="204" t="str">
        <f>F55&amp;G55&amp;H55&amp;I55&amp;J55&amp;K55&amp;L55&amp;M55&amp;N55&amp;O55&amp;P55&amp;Q55&amp;R55&amp;S55&amp;T55&amp;U55&amp;V55&amp;W55&amp;X55</f>
        <v>{"searchDossierOrKlient":`p.DossierName5`,"resultType":"Dossiers"}</v>
      </c>
      <c r="F55" s="610" t="s">
        <v>407</v>
      </c>
      <c r="G55" s="610" t="str">
        <f>$G$18</f>
        <v>p.DossierName5</v>
      </c>
      <c r="H55" s="610" t="s">
        <v>408</v>
      </c>
      <c r="I55" s="611" t="s">
        <v>142</v>
      </c>
      <c r="J55" s="610" t="s">
        <v>37</v>
      </c>
      <c r="K55" s="611"/>
      <c r="L55" s="610"/>
      <c r="M55" s="611"/>
      <c r="N55" s="610"/>
      <c r="O55" s="611"/>
      <c r="P55" s="610"/>
      <c r="Q55" s="611"/>
      <c r="R55" s="610"/>
      <c r="S55" s="611"/>
      <c r="T55" s="610"/>
      <c r="U55" s="611"/>
      <c r="V55" s="610"/>
      <c r="W55" s="611"/>
      <c r="X55" s="90"/>
      <c r="Y55" s="90"/>
      <c r="Z55" s="204"/>
      <c r="AA55" s="204"/>
      <c r="AB55" s="204"/>
      <c r="AC55" s="204"/>
      <c r="AD55" s="90"/>
      <c r="AE55" s="90"/>
      <c r="AF55" s="90"/>
      <c r="AG55" s="90"/>
      <c r="AH55" s="90"/>
      <c r="AI55" s="90"/>
      <c r="AJ55" s="156" t="e">
        <f t="shared" ref="AJ55" si="126">AI55/($AI55)</f>
        <v>#DIV/0!</v>
      </c>
      <c r="AK55" s="90"/>
      <c r="AL55" s="156" t="e">
        <f t="shared" ref="AL55:AN55" si="127">AK55/($AI55)</f>
        <v>#DIV/0!</v>
      </c>
      <c r="AM55" s="90"/>
      <c r="AN55" s="156" t="e">
        <f t="shared" si="127"/>
        <v>#DIV/0!</v>
      </c>
      <c r="AO55" s="90"/>
      <c r="AP55" s="156" t="e">
        <f t="shared" si="2"/>
        <v>#DIV/0!</v>
      </c>
      <c r="AQ55" s="90"/>
      <c r="AR55" s="156" t="e">
        <f t="shared" si="2"/>
        <v>#DIV/0!</v>
      </c>
      <c r="AS55" s="90"/>
      <c r="AT55" s="156" t="e">
        <f t="shared" si="2"/>
        <v>#DIV/0!</v>
      </c>
      <c r="AU55" s="90"/>
      <c r="AV55" s="156" t="e">
        <f t="shared" si="2"/>
        <v>#DIV/0!</v>
      </c>
      <c r="AW55" s="90"/>
      <c r="AX55" s="156" t="e">
        <f t="shared" si="59"/>
        <v>#DIV/0!</v>
      </c>
      <c r="AY55" s="90"/>
      <c r="AZ55" s="156" t="e">
        <f t="shared" si="59"/>
        <v>#DIV/0!</v>
      </c>
      <c r="BB55" s="156" t="e">
        <f t="shared" si="59"/>
        <v>#DIV/0!</v>
      </c>
      <c r="BD55" s="156" t="e">
        <f t="shared" si="59"/>
        <v>#DIV/0!</v>
      </c>
      <c r="BF55" s="156" t="e">
        <f t="shared" si="59"/>
        <v>#DIV/0!</v>
      </c>
      <c r="BH55" s="156" t="e">
        <f t="shared" si="59"/>
        <v>#DIV/0!</v>
      </c>
      <c r="BK55" s="156" t="e">
        <f t="shared" si="5"/>
        <v>#DIV/0!</v>
      </c>
      <c r="BM55" s="156" t="e">
        <f t="shared" si="6"/>
        <v>#DIV/0!</v>
      </c>
      <c r="BO55" s="156" t="e">
        <f t="shared" si="7"/>
        <v>#DIV/0!</v>
      </c>
      <c r="BQ55" s="156" t="e">
        <f t="shared" si="8"/>
        <v>#DIV/0!</v>
      </c>
      <c r="BS55" s="156" t="e">
        <f t="shared" si="9"/>
        <v>#DIV/0!</v>
      </c>
      <c r="BU55" s="156" t="e">
        <f t="shared" si="10"/>
        <v>#DIV/0!</v>
      </c>
    </row>
    <row r="56" spans="1:73" s="12" customFormat="1" ht="29.25" hidden="1" customHeight="1">
      <c r="A56" s="3657"/>
      <c r="B56" s="2" t="s">
        <v>409</v>
      </c>
      <c r="C56" s="2" t="str">
        <f ca="1">E56&amp;F56&amp;G56&amp;H56&amp;I56&amp;J56&amp;K56&amp;L56&amp;M56&amp;N56 &amp;O56&amp;P56&amp;Q56&amp;R56&amp;S56&amp;T56&amp;U56&amp;V56&amp;W56&amp;X56&amp;Y56&amp;Z56&amp;AA56&amp;AB56</f>
        <v>{"Titel":"Alles ist ein Ziel 1","ZielVom":"04.11.2025","FristBis":"04.12.2025","Mitarbeiter":"Bern Sozialarbeiterin 1A","Klientschaft":`${p.FamilyName5}, ${p.ManFirstName5}`,"Thema":"Bildung","Status":"offen","Beschreibung":"Ein kleiner Text","ErwarteteHandlung":"Eine wichtige Handlung","BeschaeftigungsMassnahme":"Eine wichtige Handlung","Partner":"AFOREM"}</v>
      </c>
      <c r="D56" s="2"/>
      <c r="E56" s="2"/>
      <c r="F56" s="611" t="s">
        <v>410</v>
      </c>
      <c r="G56" s="611" t="s">
        <v>411</v>
      </c>
      <c r="H56" s="611" t="s">
        <v>412</v>
      </c>
      <c r="I56" s="645" t="str">
        <f ca="1">TEXT(TEXT(TODAY(),"DD")&amp;"."&amp;TEXT(TODAY(),"MM")&amp;"."&amp;TEXT(TODAY(),"YYYY"),"DD.MM.YYYY")</f>
        <v>04.11.2025</v>
      </c>
      <c r="J56" s="611" t="s">
        <v>413</v>
      </c>
      <c r="K56" s="645" t="str">
        <f ca="1">TEXT(TEXT(TODAY()+30,"DD")&amp;"."&amp;TEXT(TODAY()+30,"MM")&amp;"."&amp;TEXT(TODAY(),"YYYY"),"DD.MM.YYYY")</f>
        <v>04.12.2025</v>
      </c>
      <c r="L56" s="611" t="s">
        <v>414</v>
      </c>
      <c r="M56" s="611" t="s">
        <v>116</v>
      </c>
      <c r="N56" s="611" t="s">
        <v>415</v>
      </c>
      <c r="O56" s="146" t="str">
        <f>"${"&amp;$G$5&amp;"}, ${"&amp;$H$134&amp;"}"</f>
        <v>${p.FamilyName5}, ${p.ManFirstName5}</v>
      </c>
      <c r="P56" s="611" t="s">
        <v>416</v>
      </c>
      <c r="Q56" s="611" t="s">
        <v>380</v>
      </c>
      <c r="R56" s="611" t="s">
        <v>417</v>
      </c>
      <c r="S56" s="611" t="s">
        <v>418</v>
      </c>
      <c r="T56" s="611" t="s">
        <v>419</v>
      </c>
      <c r="U56" s="611" t="s">
        <v>420</v>
      </c>
      <c r="V56" s="611" t="s">
        <v>421</v>
      </c>
      <c r="W56" s="611" t="s">
        <v>422</v>
      </c>
      <c r="X56" s="2" t="s">
        <v>423</v>
      </c>
      <c r="Y56" s="2" t="s">
        <v>422</v>
      </c>
      <c r="Z56" s="2" t="s">
        <v>424</v>
      </c>
      <c r="AA56" s="2" t="s">
        <v>425</v>
      </c>
      <c r="AB56" s="2" t="s">
        <v>37</v>
      </c>
      <c r="AC56" s="2"/>
      <c r="AD56" s="2"/>
      <c r="AE56" s="2"/>
      <c r="AF56" s="2"/>
      <c r="AG56" s="2"/>
      <c r="AH56" s="2"/>
      <c r="AI56" s="2"/>
      <c r="AJ56" s="165"/>
      <c r="AK56" s="2"/>
      <c r="AL56" s="165"/>
      <c r="AM56" s="2"/>
      <c r="AN56" s="165"/>
      <c r="AO56" s="2"/>
      <c r="AP56" s="165"/>
      <c r="AQ56" s="2"/>
      <c r="AR56" s="165"/>
      <c r="AS56" s="2"/>
      <c r="AT56" s="165"/>
      <c r="AU56" s="2"/>
      <c r="AV56" s="165"/>
      <c r="AW56" s="2"/>
      <c r="AX56" s="165"/>
      <c r="AY56" s="2"/>
      <c r="AZ56" s="165"/>
      <c r="BB56" s="165"/>
      <c r="BD56" s="165"/>
      <c r="BF56" s="165"/>
      <c r="BH56" s="165"/>
      <c r="BK56" s="165"/>
      <c r="BM56" s="165"/>
      <c r="BO56" s="165"/>
      <c r="BQ56" s="165"/>
      <c r="BS56" s="165"/>
      <c r="BU56" s="165"/>
    </row>
    <row r="57" spans="1:73" s="12" customFormat="1" ht="18" hidden="1" customHeight="1">
      <c r="A57" s="3657"/>
      <c r="B57" s="208" t="s">
        <v>426</v>
      </c>
      <c r="C57" s="168" t="str">
        <f>E57&amp;F57&amp;G57&amp;H57&amp;I57&amp;J57&amp;K57&amp;L57&amp;M57&amp;N57 &amp;O57&amp;P57&amp;Q57&amp;R57&amp;S57&amp;T57&amp;U57&amp;V57&amp;W57&amp;X57&amp;Y57&amp;Z57&amp;AA57&amp;AB57</f>
        <v>{"dossier":`p.DossierName5`,"bemerkung":"Wichtige Bemerkung","zugeZielTitelSelect":"Alles ist ein Ziel 1","unterzeichnZielvereinbarungPfad":""}</v>
      </c>
      <c r="D57" s="2"/>
      <c r="E57" s="209"/>
      <c r="F57" s="619" t="s">
        <v>348</v>
      </c>
      <c r="G57" s="146" t="str">
        <f>G12</f>
        <v>p.DossierName5</v>
      </c>
      <c r="H57" s="611" t="s">
        <v>427</v>
      </c>
      <c r="I57" s="611" t="s">
        <v>428</v>
      </c>
      <c r="J57" s="611" t="s">
        <v>429</v>
      </c>
      <c r="K57" s="611" t="s">
        <v>411</v>
      </c>
      <c r="L57" s="611" t="s">
        <v>430</v>
      </c>
      <c r="M57" s="611"/>
      <c r="N57" s="611" t="s">
        <v>37</v>
      </c>
      <c r="O57" s="611"/>
      <c r="P57" s="611"/>
      <c r="Q57" s="611"/>
      <c r="R57" s="611"/>
      <c r="S57" s="611"/>
      <c r="T57" s="611"/>
      <c r="U57" s="611"/>
      <c r="V57" s="611"/>
      <c r="W57" s="61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165"/>
      <c r="AK57" s="2"/>
      <c r="AL57" s="165"/>
      <c r="AM57" s="2"/>
      <c r="AN57" s="165"/>
      <c r="AO57" s="2"/>
      <c r="AP57" s="165"/>
      <c r="AQ57" s="2"/>
      <c r="AR57" s="165"/>
      <c r="AS57" s="2"/>
      <c r="AT57" s="165"/>
      <c r="AU57" s="2"/>
      <c r="AV57" s="165"/>
      <c r="AW57" s="2"/>
      <c r="AX57" s="165"/>
      <c r="AY57" s="2"/>
      <c r="AZ57" s="165"/>
      <c r="BB57" s="165"/>
      <c r="BD57" s="165"/>
      <c r="BF57" s="165"/>
      <c r="BH57" s="165"/>
      <c r="BK57" s="165"/>
      <c r="BM57" s="165"/>
      <c r="BO57" s="165"/>
      <c r="BQ57" s="165"/>
      <c r="BS57" s="165"/>
      <c r="BU57" s="165"/>
    </row>
    <row r="58" spans="1:73" s="96" customFormat="1" ht="15.75" hidden="1" customHeight="1">
      <c r="A58" s="3658"/>
      <c r="B58" s="31" t="s">
        <v>134</v>
      </c>
      <c r="C58" s="190" t="str">
        <f>E58</f>
        <v>{"username":"Bern.Sachbearbeiterin@diartis.ch","password":"XXxa22?pdTA66-S@"}</v>
      </c>
      <c r="D58" s="81"/>
      <c r="E58" s="34" t="str">
        <f>F58&amp;G58&amp;H58&amp;I58&amp;J58&amp;K58&amp;L58&amp;M58&amp;N58&amp;O58&amp;P58&amp;Q58&amp;R58&amp;S58&amp;T58&amp;U58&amp;V58&amp;W58&amp;X58</f>
        <v>{"username":"Bern.Sachbearbeiterin@diartis.ch","password":"XXxa22?pdTA66-S@"}</v>
      </c>
      <c r="F58" s="610" t="s">
        <v>29</v>
      </c>
      <c r="G58" s="632" t="s">
        <v>30</v>
      </c>
      <c r="H58" s="610" t="s">
        <v>31</v>
      </c>
      <c r="I58" s="638" t="s">
        <v>32</v>
      </c>
      <c r="J58" s="610" t="s">
        <v>37</v>
      </c>
      <c r="K58" s="635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81"/>
      <c r="Y58" s="81"/>
      <c r="Z58" s="34"/>
      <c r="AA58" s="34"/>
      <c r="AB58" s="34"/>
      <c r="AC58" s="34"/>
      <c r="AD58" s="81"/>
      <c r="AE58" s="81"/>
      <c r="AF58" s="81"/>
      <c r="AG58" s="81"/>
      <c r="AH58" s="81"/>
      <c r="AI58" s="81"/>
      <c r="AJ58" s="165"/>
      <c r="AK58" s="81"/>
      <c r="AL58" s="165"/>
      <c r="AM58" s="81"/>
      <c r="AN58" s="165"/>
      <c r="AO58" s="81"/>
      <c r="AP58" s="165"/>
      <c r="AQ58" s="81"/>
      <c r="AR58" s="165"/>
      <c r="AS58" s="81"/>
      <c r="AT58" s="165"/>
      <c r="AU58" s="81"/>
      <c r="AV58" s="165"/>
      <c r="AW58" s="81"/>
      <c r="AX58" s="165"/>
      <c r="AY58" s="81"/>
      <c r="AZ58" s="165"/>
      <c r="BB58" s="165"/>
      <c r="BD58" s="165"/>
      <c r="BF58" s="165"/>
      <c r="BH58" s="165"/>
      <c r="BK58" s="165"/>
      <c r="BM58" s="165"/>
      <c r="BO58" s="165"/>
      <c r="BQ58" s="165"/>
      <c r="BS58" s="165"/>
      <c r="BU58" s="165"/>
    </row>
    <row r="59" spans="1:73" ht="15.75" hidden="1" customHeight="1">
      <c r="A59" s="3658"/>
      <c r="B59" s="31" t="s">
        <v>134</v>
      </c>
      <c r="C59" s="203" t="s">
        <v>138</v>
      </c>
      <c r="E59" s="4" t="str">
        <f>F59&amp;G59&amp;H59&amp;I59&amp;J59&amp;K59&amp;L59&amp;M59&amp;N59&amp;O59&amp;P59&amp;Q59&amp;R59&amp;S59&amp;T59&amp;U59&amp;V59&amp;W59&amp;X59</f>
        <v>{"username":"Bern.Sachbearbeiterin@diartis.ch","password":"XXxa22?pdTA66-S@"}</v>
      </c>
      <c r="F59" s="610" t="s">
        <v>29</v>
      </c>
      <c r="G59" s="36" t="s">
        <v>30</v>
      </c>
      <c r="H59" s="610" t="s">
        <v>31</v>
      </c>
      <c r="I59" s="36" t="s">
        <v>32</v>
      </c>
      <c r="J59" s="610" t="s">
        <v>37</v>
      </c>
      <c r="AJ59" s="165"/>
      <c r="AL59" s="165"/>
      <c r="AN59" s="165"/>
      <c r="AP59" s="165"/>
      <c r="AR59" s="165"/>
      <c r="AT59" s="165"/>
      <c r="AV59" s="165"/>
      <c r="AX59" s="165"/>
      <c r="AZ59" s="165"/>
      <c r="BB59" s="165"/>
      <c r="BD59" s="165"/>
      <c r="BF59" s="165"/>
      <c r="BH59" s="165"/>
      <c r="BK59" s="165"/>
      <c r="BM59" s="165"/>
      <c r="BO59" s="165"/>
      <c r="BQ59" s="165"/>
      <c r="BS59" s="165"/>
      <c r="BU59" s="165"/>
    </row>
    <row r="60" spans="1:73" s="96" customFormat="1" ht="15.75" hidden="1" customHeight="1">
      <c r="A60" s="3657"/>
      <c r="B60" s="194" t="s">
        <v>139</v>
      </c>
      <c r="C60" s="195" t="str">
        <f>E60</f>
        <v>{"searchDossierOrKlient":`p.DossierName5`,"resultType":"Dossiers"}</v>
      </c>
      <c r="D60" s="90"/>
      <c r="E60" s="204" t="str">
        <f>F60&amp;G60&amp;H60&amp;I60&amp;J60&amp;K60&amp;L60&amp;M60&amp;N60&amp;O60&amp;P60&amp;Q60&amp;R60&amp;S60&amp;T60&amp;U60&amp;V60&amp;W60&amp;X60</f>
        <v>{"searchDossierOrKlient":`p.DossierName5`,"resultType":"Dossiers"}</v>
      </c>
      <c r="F60" s="610" t="s">
        <v>407</v>
      </c>
      <c r="G60" s="610" t="str">
        <f>$G$18</f>
        <v>p.DossierName5</v>
      </c>
      <c r="H60" s="610" t="s">
        <v>408</v>
      </c>
      <c r="I60" s="611" t="s">
        <v>142</v>
      </c>
      <c r="J60" s="610" t="s">
        <v>37</v>
      </c>
      <c r="K60" s="611"/>
      <c r="L60" s="610"/>
      <c r="M60" s="611"/>
      <c r="N60" s="610"/>
      <c r="O60" s="611"/>
      <c r="P60" s="610"/>
      <c r="Q60" s="611"/>
      <c r="R60" s="610"/>
      <c r="S60" s="611"/>
      <c r="T60" s="610"/>
      <c r="U60" s="611"/>
      <c r="V60" s="610"/>
      <c r="W60" s="611"/>
      <c r="X60" s="90"/>
      <c r="Y60" s="90"/>
      <c r="Z60" s="204"/>
      <c r="AA60" s="204"/>
      <c r="AB60" s="204"/>
      <c r="AC60" s="204"/>
      <c r="AD60" s="90"/>
      <c r="AE60" s="90"/>
      <c r="AF60" s="90"/>
      <c r="AG60" s="90"/>
      <c r="AH60" s="90"/>
      <c r="AI60" s="90"/>
      <c r="AJ60" s="165"/>
      <c r="AK60" s="90"/>
      <c r="AL60" s="165"/>
      <c r="AM60" s="90"/>
      <c r="AN60" s="165"/>
      <c r="AO60" s="90"/>
      <c r="AP60" s="165"/>
      <c r="AQ60" s="90"/>
      <c r="AR60" s="165"/>
      <c r="AS60" s="90"/>
      <c r="AT60" s="165"/>
      <c r="AU60" s="90"/>
      <c r="AV60" s="165"/>
      <c r="AW60" s="90"/>
      <c r="AX60" s="165"/>
      <c r="AY60" s="90"/>
      <c r="AZ60" s="165"/>
      <c r="BB60" s="165"/>
      <c r="BD60" s="165"/>
      <c r="BF60" s="165"/>
      <c r="BH60" s="165"/>
      <c r="BK60" s="165"/>
      <c r="BM60" s="165"/>
      <c r="BO60" s="165"/>
      <c r="BQ60" s="165"/>
      <c r="BS60" s="165"/>
      <c r="BU60" s="165"/>
    </row>
    <row r="61" spans="1:73" s="12" customFormat="1" ht="15.75" hidden="1" customHeight="1">
      <c r="A61" s="3657"/>
      <c r="B61" s="2" t="s">
        <v>409</v>
      </c>
      <c r="C61" s="2" t="str">
        <f ca="1">E61&amp;F61&amp;G61&amp;H61&amp;I61&amp;J61&amp;K61&amp;L61&amp;M61&amp;N61 &amp;O61&amp;P61&amp;Q61&amp;R61&amp;S61&amp;T61&amp;U61&amp;V61&amp;W61&amp;X61&amp;Y61&amp;Z61&amp;AA61&amp;AB61</f>
        <v>{"Titel":"Alles ist ein Ziel 2","ZielVom":"04.11.2025","FristBis":"04.12.2025","Mitarbeiter":"Bern Sozialarbeiterin 1A","Klientschaft":`${p.FamilyName5}, ${p.WomanFirstName5}`,"Thema":"Bildung","Status":"offen","Beschreibung":"Ein kleiner Text","ErwarteteHandlung":"Eine wichtige Handlung","BeschaeftigungsMassnahme":"Eine wichtige Handlung","Partner":"AFOREM"}</v>
      </c>
      <c r="D61" s="2"/>
      <c r="E61" s="2"/>
      <c r="F61" s="611" t="s">
        <v>410</v>
      </c>
      <c r="G61" s="611" t="s">
        <v>431</v>
      </c>
      <c r="H61" s="611" t="s">
        <v>412</v>
      </c>
      <c r="I61" s="645" t="str">
        <f ca="1">TEXT(TEXT(TODAY(),"DD")&amp;"."&amp;TEXT(TODAY(),"MM")&amp;"."&amp;TEXT(TODAY(),"YYYY"),"DD.MM.YYYY")</f>
        <v>04.11.2025</v>
      </c>
      <c r="J61" s="611" t="s">
        <v>413</v>
      </c>
      <c r="K61" s="645" t="str">
        <f ca="1">TEXT(TEXT(TODAY()+30,"DD")&amp;"."&amp;TEXT(TODAY()+30,"MM")&amp;"."&amp;TEXT(TODAY(),"YYYY"),"DD.MM.YYYY")</f>
        <v>04.12.2025</v>
      </c>
      <c r="L61" s="611" t="s">
        <v>414</v>
      </c>
      <c r="M61" s="611" t="s">
        <v>116</v>
      </c>
      <c r="N61" s="611" t="s">
        <v>415</v>
      </c>
      <c r="O61" s="146" t="str">
        <f>"${"&amp;$G$5&amp;"}, ${"&amp;$H$135&amp;"}"</f>
        <v>${p.FamilyName5}, ${p.WomanFirstName5}</v>
      </c>
      <c r="P61" s="611" t="s">
        <v>416</v>
      </c>
      <c r="Q61" s="611" t="s">
        <v>380</v>
      </c>
      <c r="R61" s="611" t="s">
        <v>417</v>
      </c>
      <c r="S61" s="611" t="s">
        <v>418</v>
      </c>
      <c r="T61" s="611" t="s">
        <v>419</v>
      </c>
      <c r="U61" s="611" t="s">
        <v>420</v>
      </c>
      <c r="V61" s="611" t="s">
        <v>421</v>
      </c>
      <c r="W61" s="611" t="s">
        <v>422</v>
      </c>
      <c r="X61" s="2" t="s">
        <v>423</v>
      </c>
      <c r="Y61" s="2" t="s">
        <v>422</v>
      </c>
      <c r="Z61" s="2" t="s">
        <v>424</v>
      </c>
      <c r="AA61" s="2" t="s">
        <v>425</v>
      </c>
      <c r="AB61" s="2" t="s">
        <v>37</v>
      </c>
      <c r="AC61" s="2"/>
      <c r="AD61" s="2"/>
    </row>
    <row r="62" spans="1:73" s="12" customFormat="1" ht="17.25" hidden="1" customHeight="1">
      <c r="A62" s="3657"/>
      <c r="B62" s="208" t="s">
        <v>426</v>
      </c>
      <c r="C62" s="168" t="str">
        <f>E62&amp;F62&amp;G62&amp;H62&amp;I62&amp;J62&amp;K62&amp;L62&amp;M62&amp;N62 &amp;O62&amp;P62&amp;Q62&amp;R62&amp;S62&amp;T62&amp;U62&amp;V62&amp;W62&amp;X62&amp;Y62&amp;Z62&amp;AA62&amp;AB62</f>
        <v>{"dossier":`p.DossierName5`,"bemerkung":"Wichtige Bemerkung 1","zugeZielTitelSelect":"Alles ist ein Ziel 2","unterzeichnZielvereinbarungPfad":""}</v>
      </c>
      <c r="D62" s="2"/>
      <c r="E62" s="209"/>
      <c r="F62" s="619" t="s">
        <v>348</v>
      </c>
      <c r="G62" s="146" t="str">
        <f>G57</f>
        <v>p.DossierName5</v>
      </c>
      <c r="H62" s="611" t="s">
        <v>427</v>
      </c>
      <c r="I62" s="611" t="s">
        <v>432</v>
      </c>
      <c r="J62" s="611" t="s">
        <v>429</v>
      </c>
      <c r="K62" s="611" t="s">
        <v>431</v>
      </c>
      <c r="L62" s="611" t="s">
        <v>430</v>
      </c>
      <c r="M62" s="611"/>
      <c r="N62" s="611" t="s">
        <v>37</v>
      </c>
      <c r="O62" s="611"/>
      <c r="P62" s="611"/>
      <c r="Q62" s="611"/>
      <c r="R62" s="611"/>
      <c r="S62" s="611"/>
      <c r="T62" s="611"/>
      <c r="U62" s="611"/>
      <c r="V62" s="611"/>
      <c r="W62" s="611"/>
      <c r="X62" s="2"/>
      <c r="Y62" s="2"/>
      <c r="Z62" s="2"/>
      <c r="AA62" s="2"/>
      <c r="AB62" s="2"/>
      <c r="AC62" s="2"/>
      <c r="AD62" s="2"/>
    </row>
    <row r="63" spans="1:73" s="96" customFormat="1" ht="15.75" hidden="1" customHeight="1">
      <c r="A63" s="3658"/>
      <c r="B63" s="31" t="s">
        <v>134</v>
      </c>
      <c r="C63" s="190" t="str">
        <f>E63</f>
        <v>{"username":"Bern.Sachbearbeiterin@diartis.ch","password":"XXxa22?pdTA66-S@"}</v>
      </c>
      <c r="D63" s="81"/>
      <c r="E63" s="34" t="str">
        <f>F63&amp;G63&amp;H63&amp;I63&amp;J63&amp;K63&amp;L63&amp;M63&amp;N63&amp;O63&amp;P63&amp;Q63&amp;R63&amp;S63&amp;T63&amp;U63&amp;V63&amp;W63&amp;X63</f>
        <v>{"username":"Bern.Sachbearbeiterin@diartis.ch","password":"XXxa22?pdTA66-S@"}</v>
      </c>
      <c r="F63" s="610" t="s">
        <v>29</v>
      </c>
      <c r="G63" s="632" t="s">
        <v>30</v>
      </c>
      <c r="H63" s="610" t="s">
        <v>31</v>
      </c>
      <c r="I63" s="638" t="s">
        <v>32</v>
      </c>
      <c r="J63" s="610" t="s">
        <v>37</v>
      </c>
      <c r="K63" s="635"/>
      <c r="L63" s="610"/>
      <c r="M63" s="610"/>
      <c r="N63" s="610"/>
      <c r="O63" s="610"/>
      <c r="P63" s="610"/>
      <c r="Q63" s="610"/>
      <c r="R63" s="610"/>
      <c r="S63" s="610"/>
      <c r="T63" s="610"/>
      <c r="U63" s="610"/>
      <c r="V63" s="610"/>
      <c r="W63" s="610"/>
      <c r="X63" s="81"/>
      <c r="Y63" s="81"/>
      <c r="Z63" s="34"/>
      <c r="AA63" s="34"/>
      <c r="AB63" s="34"/>
      <c r="AC63" s="34"/>
      <c r="AD63" s="81"/>
    </row>
    <row r="64" spans="1:73" ht="15.75" hidden="1" customHeight="1">
      <c r="A64" s="3658"/>
      <c r="B64" s="31" t="s">
        <v>134</v>
      </c>
      <c r="C64" s="203" t="s">
        <v>138</v>
      </c>
      <c r="E64" s="4" t="str">
        <f>F64&amp;G64&amp;H64&amp;I64&amp;J64&amp;K64&amp;L64&amp;M64&amp;N64&amp;O64&amp;P64&amp;Q64&amp;R64&amp;S64&amp;T64&amp;U64&amp;V64&amp;W64&amp;X64</f>
        <v>{"username":"Bern.Sachbearbeiterin@diartis.ch","password":"XXxa22?pdTA66-S@"}</v>
      </c>
      <c r="F64" s="610" t="s">
        <v>29</v>
      </c>
      <c r="G64" s="36" t="s">
        <v>30</v>
      </c>
      <c r="H64" s="610" t="s">
        <v>31</v>
      </c>
      <c r="I64" s="36" t="s">
        <v>32</v>
      </c>
      <c r="J64" s="610" t="s">
        <v>37</v>
      </c>
    </row>
    <row r="65" spans="1:30" s="96" customFormat="1" ht="15.75" hidden="1" customHeight="1">
      <c r="A65" s="3657"/>
      <c r="B65" s="194" t="s">
        <v>139</v>
      </c>
      <c r="C65" s="195" t="str">
        <f>E65</f>
        <v>{"searchDossierOrKlient":`p.DossierName5`,"resultType":"Dossiers"}</v>
      </c>
      <c r="D65" s="90"/>
      <c r="E65" s="204" t="str">
        <f>F65&amp;G65&amp;H65&amp;I65&amp;J65&amp;K65&amp;L65&amp;M65&amp;N65&amp;O65&amp;P65&amp;Q65&amp;R65&amp;S65&amp;T65&amp;U65&amp;V65&amp;W65&amp;X65</f>
        <v>{"searchDossierOrKlient":`p.DossierName5`,"resultType":"Dossiers"}</v>
      </c>
      <c r="F65" s="610" t="s">
        <v>407</v>
      </c>
      <c r="G65" s="610" t="str">
        <f>$G$18</f>
        <v>p.DossierName5</v>
      </c>
      <c r="H65" s="610" t="s">
        <v>408</v>
      </c>
      <c r="I65" s="611" t="s">
        <v>142</v>
      </c>
      <c r="J65" s="610" t="s">
        <v>37</v>
      </c>
      <c r="K65" s="611"/>
      <c r="L65" s="610"/>
      <c r="M65" s="611"/>
      <c r="N65" s="610"/>
      <c r="O65" s="611"/>
      <c r="P65" s="610"/>
      <c r="Q65" s="611"/>
      <c r="R65" s="610"/>
      <c r="S65" s="611"/>
      <c r="T65" s="610"/>
      <c r="U65" s="611"/>
      <c r="V65" s="610"/>
      <c r="W65" s="611"/>
      <c r="X65" s="90"/>
      <c r="Y65" s="90"/>
      <c r="Z65" s="204"/>
      <c r="AA65" s="204"/>
      <c r="AB65" s="204"/>
      <c r="AC65" s="204"/>
      <c r="AD65" s="90"/>
    </row>
    <row r="66" spans="1:30" s="12" customFormat="1" ht="20.25" hidden="1" customHeight="1">
      <c r="A66" s="3657"/>
      <c r="B66" s="2" t="s">
        <v>409</v>
      </c>
      <c r="C66" s="2" t="str">
        <f ca="1">E66&amp;F66&amp;G66&amp;H66&amp;I66&amp;J66&amp;K66&amp;L66&amp;M66&amp;N66 &amp;O66&amp;P66&amp;Q66&amp;R66&amp;S66&amp;T66&amp;U66&amp;V66&amp;W66&amp;X66&amp;Y66&amp;Z66&amp;AA66&amp;AB66</f>
        <v>{"Titel":"Alles ist ein Ziel 3","ZielVom":"04.11.2025","FristBis":"04.12.2025","Mitarbeiter":"Bern Sozialarbeiterin 1A","Klientschaft":`${p.FamilyName5}, ${p.GirlFirstName5}`,"Thema":"Bildung","Status":"offen","Beschreibung":"Ein kleiner Text","ErwarteteHandlung":"Eine wichtige Handlung","BeschaeftigungsMassnahme":"Eine wichtige Handlung","Partner":"AFOREM"}</v>
      </c>
      <c r="D66" s="2"/>
      <c r="E66" s="2"/>
      <c r="F66" s="611" t="s">
        <v>410</v>
      </c>
      <c r="G66" s="611" t="s">
        <v>433</v>
      </c>
      <c r="H66" s="611" t="s">
        <v>412</v>
      </c>
      <c r="I66" s="645" t="str">
        <f ca="1">TEXT(TEXT(TODAY(),"DD")&amp;"."&amp;TEXT(TODAY(),"MM")&amp;"."&amp;TEXT(TODAY(),"YYYY"),"DD.MM.YYYY")</f>
        <v>04.11.2025</v>
      </c>
      <c r="J66" s="611" t="s">
        <v>413</v>
      </c>
      <c r="K66" s="645" t="str">
        <f ca="1">TEXT(TEXT(TODAY()+30,"DD")&amp;"."&amp;TEXT(TODAY()+30,"MM")&amp;"."&amp;TEXT(TODAY(),"YYYY"),"DD.MM.YYYY")</f>
        <v>04.12.2025</v>
      </c>
      <c r="L66" s="611" t="s">
        <v>414</v>
      </c>
      <c r="M66" s="611" t="s">
        <v>116</v>
      </c>
      <c r="N66" s="611" t="s">
        <v>415</v>
      </c>
      <c r="O66" s="146" t="str">
        <f>"${"&amp;$G$5&amp;"}, ${"&amp;$H$136&amp;"}"</f>
        <v>${p.FamilyName5}, ${p.GirlFirstName5}</v>
      </c>
      <c r="P66" s="611" t="s">
        <v>416</v>
      </c>
      <c r="Q66" s="611" t="s">
        <v>380</v>
      </c>
      <c r="R66" s="611" t="s">
        <v>417</v>
      </c>
      <c r="S66" s="611" t="s">
        <v>418</v>
      </c>
      <c r="T66" s="611" t="s">
        <v>419</v>
      </c>
      <c r="U66" s="611" t="s">
        <v>420</v>
      </c>
      <c r="V66" s="611" t="s">
        <v>421</v>
      </c>
      <c r="W66" s="611" t="s">
        <v>422</v>
      </c>
      <c r="X66" s="2" t="s">
        <v>423</v>
      </c>
      <c r="Y66" s="2" t="s">
        <v>422</v>
      </c>
      <c r="Z66" s="2" t="s">
        <v>424</v>
      </c>
      <c r="AA66" s="2" t="s">
        <v>425</v>
      </c>
      <c r="AB66" s="2" t="s">
        <v>37</v>
      </c>
      <c r="AC66" s="2"/>
      <c r="AD66" s="2"/>
    </row>
    <row r="67" spans="1:30" s="12" customFormat="1" ht="18.75" hidden="1" customHeight="1">
      <c r="A67" s="3657"/>
      <c r="B67" s="208" t="s">
        <v>426</v>
      </c>
      <c r="C67" s="168" t="str">
        <f>E67&amp;F67&amp;G67&amp;H67&amp;I67&amp;J67&amp;K67&amp;L67&amp;M67&amp;N67 &amp;O67&amp;P67&amp;Q67&amp;R67&amp;S67&amp;T67&amp;U67&amp;V67&amp;W67&amp;X67&amp;Y67&amp;Z67&amp;AA67&amp;AB67</f>
        <v>{"dossier":`p.DossierName5`,"bemerkung":"Wichtige Bemerkung 2","zugeZielTitelSelect":"Alles ist ein Ziel 3","unterzeichnZielvereinbarungPfad":""}</v>
      </c>
      <c r="D67" s="2"/>
      <c r="E67" s="209"/>
      <c r="F67" s="619" t="s">
        <v>348</v>
      </c>
      <c r="G67" s="146" t="str">
        <f>G62</f>
        <v>p.DossierName5</v>
      </c>
      <c r="H67" s="611" t="s">
        <v>427</v>
      </c>
      <c r="I67" s="611" t="s">
        <v>434</v>
      </c>
      <c r="J67" s="611" t="s">
        <v>429</v>
      </c>
      <c r="K67" s="611" t="s">
        <v>433</v>
      </c>
      <c r="L67" s="611" t="s">
        <v>430</v>
      </c>
      <c r="M67" s="611"/>
      <c r="N67" s="611" t="s">
        <v>37</v>
      </c>
      <c r="O67" s="611"/>
      <c r="P67" s="611"/>
      <c r="Q67" s="611"/>
      <c r="R67" s="611"/>
      <c r="S67" s="611"/>
      <c r="T67" s="611"/>
      <c r="U67" s="611"/>
      <c r="V67" s="611"/>
      <c r="W67" s="611"/>
      <c r="X67" s="2"/>
      <c r="Y67" s="2"/>
      <c r="Z67" s="2"/>
      <c r="AA67" s="2"/>
      <c r="AB67" s="2"/>
      <c r="AC67" s="2"/>
      <c r="AD67" s="2"/>
    </row>
    <row r="68" spans="1:30" s="96" customFormat="1" ht="15.75" hidden="1" customHeight="1">
      <c r="A68" s="3657"/>
      <c r="B68" s="31" t="s">
        <v>134</v>
      </c>
      <c r="C68" s="190" t="str">
        <f>E68</f>
        <v>{"username":"Bern.Sachbearbeiterin@diartis.ch","password":"XXxa22?pdTA66-S@"}</v>
      </c>
      <c r="D68" s="81"/>
      <c r="E68" s="34" t="str">
        <f>F68&amp;G68&amp;H68&amp;I68&amp;J68&amp;K68&amp;L68&amp;M68&amp;N68&amp;O68&amp;P68&amp;Q68&amp;R68&amp;S68&amp;T68&amp;U68&amp;V68&amp;W68&amp;X68</f>
        <v>{"username":"Bern.Sachbearbeiterin@diartis.ch","password":"XXxa22?pdTA66-S@"}</v>
      </c>
      <c r="F68" s="610" t="s">
        <v>29</v>
      </c>
      <c r="G68" s="632" t="s">
        <v>30</v>
      </c>
      <c r="H68" s="610" t="s">
        <v>31</v>
      </c>
      <c r="I68" s="638" t="s">
        <v>32</v>
      </c>
      <c r="J68" s="610" t="s">
        <v>37</v>
      </c>
      <c r="K68" s="635"/>
      <c r="L68" s="610"/>
      <c r="M68" s="610"/>
      <c r="N68" s="610"/>
      <c r="O68" s="610"/>
      <c r="P68" s="610"/>
      <c r="Q68" s="610"/>
      <c r="R68" s="610"/>
      <c r="S68" s="610"/>
      <c r="T68" s="610"/>
      <c r="U68" s="610"/>
      <c r="V68" s="610"/>
      <c r="W68" s="610"/>
      <c r="X68" s="81"/>
      <c r="Y68" s="81"/>
      <c r="Z68" s="34"/>
      <c r="AA68" s="34"/>
      <c r="AB68" s="34"/>
      <c r="AC68" s="34"/>
      <c r="AD68" s="81"/>
    </row>
    <row r="69" spans="1:30" ht="15.75" hidden="1" customHeight="1">
      <c r="A69" s="3657"/>
      <c r="B69" s="31" t="s">
        <v>134</v>
      </c>
      <c r="C69" s="203" t="s">
        <v>138</v>
      </c>
      <c r="E69" s="4" t="str">
        <f>F69&amp;G69&amp;H69&amp;I69&amp;J69&amp;K69&amp;L69&amp;M69&amp;N69&amp;O69&amp;P69&amp;Q69&amp;R69&amp;S69&amp;T69&amp;U69&amp;V69&amp;W69&amp;X69</f>
        <v>{"username":"Bern.Sachbearbeiterin@diartis.ch","password":"XXxa22?pdTA66-S@"}</v>
      </c>
      <c r="F69" s="610" t="s">
        <v>29</v>
      </c>
      <c r="G69" s="36" t="s">
        <v>30</v>
      </c>
      <c r="H69" s="610" t="s">
        <v>31</v>
      </c>
      <c r="I69" s="36" t="s">
        <v>32</v>
      </c>
      <c r="J69" s="610" t="s">
        <v>37</v>
      </c>
    </row>
    <row r="70" spans="1:30" s="96" customFormat="1" ht="15.75" hidden="1" customHeight="1">
      <c r="A70" s="3657"/>
      <c r="B70" s="194" t="s">
        <v>139</v>
      </c>
      <c r="C70" s="195" t="str">
        <f>E70</f>
        <v>{"searchDossierOrKlient":`p.DossierName5`,"resultType":"Dossiers"}</v>
      </c>
      <c r="D70" s="90"/>
      <c r="E70" s="204" t="str">
        <f>F70&amp;G70&amp;H70&amp;I70&amp;J70&amp;K70&amp;L70&amp;M70&amp;N70&amp;O70&amp;P70&amp;Q70&amp;R70&amp;S70&amp;T70&amp;U70&amp;V70&amp;W70&amp;X70</f>
        <v>{"searchDossierOrKlient":`p.DossierName5`,"resultType":"Dossiers"}</v>
      </c>
      <c r="F70" s="610" t="s">
        <v>407</v>
      </c>
      <c r="G70" s="610" t="str">
        <f>$G$18</f>
        <v>p.DossierName5</v>
      </c>
      <c r="H70" s="610" t="s">
        <v>408</v>
      </c>
      <c r="I70" s="611" t="s">
        <v>142</v>
      </c>
      <c r="J70" s="610" t="s">
        <v>37</v>
      </c>
      <c r="K70" s="611"/>
      <c r="L70" s="610"/>
      <c r="M70" s="611"/>
      <c r="N70" s="610"/>
      <c r="O70" s="611"/>
      <c r="P70" s="610"/>
      <c r="Q70" s="611"/>
      <c r="R70" s="610"/>
      <c r="S70" s="611"/>
      <c r="T70" s="610"/>
      <c r="U70" s="611"/>
      <c r="V70" s="610"/>
      <c r="W70" s="611"/>
      <c r="X70" s="90"/>
      <c r="Y70" s="90"/>
      <c r="Z70" s="204"/>
      <c r="AA70" s="204"/>
      <c r="AB70" s="204"/>
      <c r="AC70" s="204"/>
      <c r="AD70" s="90"/>
    </row>
    <row r="71" spans="1:30" s="12" customFormat="1" ht="19.5" hidden="1" customHeight="1">
      <c r="A71" s="3657"/>
      <c r="B71" s="2" t="s">
        <v>409</v>
      </c>
      <c r="C71" s="2" t="str">
        <f ca="1">E71&amp;F71&amp;G71&amp;H71&amp;I71&amp;J71&amp;K71&amp;L71&amp;M71&amp;N71 &amp;O71&amp;P71&amp;Q71&amp;R71&amp;S71&amp;T71&amp;U71&amp;V71&amp;W71&amp;X71&amp;Y71&amp;Z71&amp;AA71&amp;AB71</f>
        <v>{"Titel":"Alles ist ein Ziel 4","ZielVom":"04.11.2025","FristBis":"04.12.2025","Mitarbeiter":"Bern Sozialarbeiterin 1A","Klientschaft":`${p.FamilyName5}, ${p.ManFirstName6}`,"Thema":"Bildung","Status":"offen","Beschreibung":"Ein kleiner Text","ErwarteteHandlung":"Eine wichtige Handlung","BeschaeftigungsMassnahme":"Eine wichtige Handlung","Partner":"AFOREM"}</v>
      </c>
      <c r="D71" s="2"/>
      <c r="E71" s="2"/>
      <c r="F71" s="611" t="s">
        <v>410</v>
      </c>
      <c r="G71" s="611" t="s">
        <v>435</v>
      </c>
      <c r="H71" s="611" t="s">
        <v>412</v>
      </c>
      <c r="I71" s="645" t="str">
        <f ca="1">TEXT(TEXT(TODAY(),"DD")&amp;"."&amp;TEXT(TODAY(),"MM")&amp;"."&amp;TEXT(TODAY(),"YYYY"),"DD.MM.YYYY")</f>
        <v>04.11.2025</v>
      </c>
      <c r="J71" s="611" t="s">
        <v>413</v>
      </c>
      <c r="K71" s="645" t="str">
        <f ca="1">TEXT(TEXT(TODAY()+30,"DD")&amp;"."&amp;TEXT(TODAY()+30,"MM")&amp;"."&amp;TEXT(TODAY(),"YYYY"),"DD.MM.YYYY")</f>
        <v>04.12.2025</v>
      </c>
      <c r="L71" s="611" t="s">
        <v>414</v>
      </c>
      <c r="M71" s="611" t="s">
        <v>116</v>
      </c>
      <c r="N71" s="611" t="s">
        <v>415</v>
      </c>
      <c r="O71" s="146" t="str">
        <f>"${"&amp;$G$5&amp;"}, ${"&amp;$H$137&amp;"}"</f>
        <v>${p.FamilyName5}, ${p.ManFirstName6}</v>
      </c>
      <c r="P71" s="611" t="s">
        <v>416</v>
      </c>
      <c r="Q71" s="611" t="s">
        <v>380</v>
      </c>
      <c r="R71" s="611" t="s">
        <v>417</v>
      </c>
      <c r="S71" s="611" t="s">
        <v>418</v>
      </c>
      <c r="T71" s="611" t="s">
        <v>419</v>
      </c>
      <c r="U71" s="611" t="s">
        <v>420</v>
      </c>
      <c r="V71" s="611" t="s">
        <v>421</v>
      </c>
      <c r="W71" s="611" t="s">
        <v>422</v>
      </c>
      <c r="X71" s="2" t="s">
        <v>423</v>
      </c>
      <c r="Y71" s="2" t="s">
        <v>422</v>
      </c>
      <c r="Z71" s="2" t="s">
        <v>424</v>
      </c>
      <c r="AA71" s="2" t="s">
        <v>425</v>
      </c>
      <c r="AB71" s="2" t="s">
        <v>37</v>
      </c>
      <c r="AC71" s="2"/>
      <c r="AD71" s="2"/>
    </row>
    <row r="72" spans="1:30" s="12" customFormat="1" ht="17.25" hidden="1" customHeight="1">
      <c r="A72" s="3657"/>
      <c r="B72" s="208" t="s">
        <v>426</v>
      </c>
      <c r="C72" s="168" t="str">
        <f>E72&amp;F72&amp;G72&amp;H72&amp;I72&amp;J72&amp;K72&amp;L72&amp;M72&amp;N72 &amp;O72&amp;P72&amp;Q72&amp;R72&amp;S72&amp;T72&amp;U72&amp;V72&amp;W72&amp;X72&amp;Y72&amp;Z72&amp;AA72&amp;AB72</f>
        <v>{"dossier":`p.DossierName5`,"bemerkung":"Wichtige Bemerkung 3","zugeZielTitelSelect":"Alles ist ein Ziel 4","unterzeichnZielvereinbarungPfad":""}</v>
      </c>
      <c r="D72" s="2"/>
      <c r="E72" s="209"/>
      <c r="F72" s="619" t="s">
        <v>348</v>
      </c>
      <c r="G72" s="146" t="str">
        <f>G67</f>
        <v>p.DossierName5</v>
      </c>
      <c r="H72" s="611" t="s">
        <v>427</v>
      </c>
      <c r="I72" s="611" t="s">
        <v>436</v>
      </c>
      <c r="J72" s="611" t="s">
        <v>429</v>
      </c>
      <c r="K72" s="611" t="s">
        <v>435</v>
      </c>
      <c r="L72" s="611" t="s">
        <v>430</v>
      </c>
      <c r="M72" s="611"/>
      <c r="N72" s="611" t="s">
        <v>37</v>
      </c>
      <c r="O72" s="611"/>
      <c r="P72" s="611"/>
      <c r="Q72" s="611"/>
      <c r="R72" s="611"/>
      <c r="S72" s="611"/>
      <c r="T72" s="611"/>
      <c r="U72" s="611"/>
      <c r="V72" s="611"/>
      <c r="W72" s="611"/>
      <c r="X72" s="2"/>
      <c r="Y72" s="2"/>
      <c r="Z72" s="2"/>
      <c r="AA72" s="2"/>
      <c r="AB72" s="2"/>
      <c r="AC72" s="2"/>
      <c r="AD72" s="2"/>
    </row>
    <row r="73" spans="1:30" s="96" customFormat="1" ht="15.75" hidden="1" customHeight="1">
      <c r="A73" s="3658"/>
      <c r="B73" s="31" t="s">
        <v>134</v>
      </c>
      <c r="C73" s="190" t="str">
        <f>E73</f>
        <v>{"username":"Bern.Sachbearbeiterin@diartis.ch","password":"XXxa22?pdTA66-S@"}</v>
      </c>
      <c r="D73" s="81"/>
      <c r="E73" s="34" t="str">
        <f>F73&amp;G73&amp;H73&amp;I73&amp;J73&amp;K73&amp;L73&amp;M73&amp;N73&amp;O73&amp;P73&amp;Q73&amp;R73&amp;S73&amp;T73&amp;U73&amp;V73&amp;W73&amp;X73</f>
        <v>{"username":"Bern.Sachbearbeiterin@diartis.ch","password":"XXxa22?pdTA66-S@"}</v>
      </c>
      <c r="F73" s="610" t="s">
        <v>29</v>
      </c>
      <c r="G73" s="632" t="s">
        <v>30</v>
      </c>
      <c r="H73" s="610" t="s">
        <v>31</v>
      </c>
      <c r="I73" s="638" t="s">
        <v>32</v>
      </c>
      <c r="J73" s="610" t="s">
        <v>37</v>
      </c>
      <c r="K73" s="635"/>
      <c r="L73" s="610"/>
      <c r="M73" s="610"/>
      <c r="N73" s="610"/>
      <c r="O73" s="610"/>
      <c r="P73" s="610"/>
      <c r="Q73" s="610"/>
      <c r="R73" s="610"/>
      <c r="S73" s="610"/>
      <c r="T73" s="610"/>
      <c r="U73" s="610"/>
      <c r="V73" s="610"/>
      <c r="W73" s="610"/>
      <c r="X73" s="81"/>
      <c r="Y73" s="81"/>
      <c r="Z73" s="34"/>
      <c r="AA73" s="34"/>
      <c r="AB73" s="34"/>
      <c r="AC73" s="34"/>
      <c r="AD73" s="81"/>
    </row>
    <row r="74" spans="1:30" ht="15.75" hidden="1" customHeight="1">
      <c r="A74" s="3658"/>
      <c r="B74" s="31" t="s">
        <v>134</v>
      </c>
      <c r="C74" s="203" t="s">
        <v>138</v>
      </c>
      <c r="E74" s="4" t="str">
        <f>F74&amp;G74&amp;H74&amp;I74&amp;J74&amp;K74&amp;L74&amp;M74&amp;N74&amp;O74&amp;P74&amp;Q74&amp;R74&amp;S74&amp;T74&amp;U74&amp;V74&amp;W74&amp;X74</f>
        <v>{"username":"Bern.Sachbearbeiterin@diartis.ch","password":"XXxa22?pdTA66-S@"}</v>
      </c>
      <c r="F74" s="610" t="s">
        <v>29</v>
      </c>
      <c r="G74" s="36" t="s">
        <v>30</v>
      </c>
      <c r="H74" s="610" t="s">
        <v>31</v>
      </c>
      <c r="I74" s="36" t="s">
        <v>32</v>
      </c>
      <c r="J74" s="610" t="s">
        <v>37</v>
      </c>
    </row>
    <row r="75" spans="1:30" s="96" customFormat="1" ht="15.75" hidden="1" customHeight="1">
      <c r="A75" s="3657"/>
      <c r="B75" s="194" t="s">
        <v>139</v>
      </c>
      <c r="C75" s="195" t="str">
        <f>E75</f>
        <v>{"searchDossierOrKlient":`p.DossierName5`,"resultType":"Dossiers"}</v>
      </c>
      <c r="D75" s="90"/>
      <c r="E75" s="204" t="str">
        <f>F75&amp;G75&amp;H75&amp;I75&amp;J75&amp;K75&amp;L75&amp;M75&amp;N75&amp;O75&amp;P75&amp;Q75&amp;R75&amp;S75&amp;T75&amp;U75&amp;V75&amp;W75&amp;X75</f>
        <v>{"searchDossierOrKlient":`p.DossierName5`,"resultType":"Dossiers"}</v>
      </c>
      <c r="F75" s="610" t="s">
        <v>407</v>
      </c>
      <c r="G75" s="610" t="str">
        <f>$G$18</f>
        <v>p.DossierName5</v>
      </c>
      <c r="H75" s="610" t="s">
        <v>408</v>
      </c>
      <c r="I75" s="611" t="s">
        <v>142</v>
      </c>
      <c r="J75" s="610" t="s">
        <v>37</v>
      </c>
      <c r="K75" s="611"/>
      <c r="L75" s="610"/>
      <c r="M75" s="611"/>
      <c r="N75" s="610"/>
      <c r="O75" s="611"/>
      <c r="P75" s="610"/>
      <c r="Q75" s="611"/>
      <c r="R75" s="610"/>
      <c r="S75" s="611"/>
      <c r="T75" s="610"/>
      <c r="U75" s="611"/>
      <c r="V75" s="610"/>
      <c r="W75" s="611"/>
      <c r="X75" s="90"/>
      <c r="Y75" s="90"/>
      <c r="Z75" s="204"/>
      <c r="AA75" s="204"/>
      <c r="AB75" s="204"/>
      <c r="AC75" s="204"/>
      <c r="AD75" s="90"/>
    </row>
    <row r="76" spans="1:30" s="12" customFormat="1" ht="17.25" hidden="1" customHeight="1">
      <c r="A76" s="3657"/>
      <c r="B76" s="2" t="s">
        <v>409</v>
      </c>
      <c r="C76" s="2" t="str">
        <f ca="1">E76&amp;F76&amp;G76&amp;H76&amp;I76&amp;J76&amp;K76&amp;L76&amp;M76&amp;N76 &amp;O76&amp;P76&amp;Q76&amp;R76&amp;S76&amp;T76&amp;U76&amp;V76&amp;W76&amp;X76&amp;Y76&amp;Z76&amp;AA76&amp;AB76</f>
        <v>{"Titel":"Alles ist ein Ziel 5","ZielVom":"04.11.2025","FristBis":"04.12.2025","Mitarbeiter":"Bern Sozialarbeiterin 1A","Klientschaft":`${p.FamilyName5}, ${p.ManFirstName6}`,"Thema":"Bildung","Status":"offen","Beschreibung":"Ein kleiner Text","ErwarteteHandlung":"Eine wichtige Handlung","BeschaeftigungsMassnahme":"Eine wichtige Handlung","Partner":"AFOREM"}</v>
      </c>
      <c r="D76" s="2"/>
      <c r="E76" s="2"/>
      <c r="F76" s="611" t="s">
        <v>410</v>
      </c>
      <c r="G76" s="611" t="s">
        <v>437</v>
      </c>
      <c r="H76" s="611" t="s">
        <v>412</v>
      </c>
      <c r="I76" s="645" t="str">
        <f ca="1">TEXT(TEXT(TODAY(),"DD")&amp;"."&amp;TEXT(TODAY(),"MM")&amp;"."&amp;TEXT(TODAY(),"YYYY"),"DD.MM.YYYY")</f>
        <v>04.11.2025</v>
      </c>
      <c r="J76" s="611" t="s">
        <v>413</v>
      </c>
      <c r="K76" s="645" t="str">
        <f ca="1">TEXT(TEXT(TODAY()+30,"DD")&amp;"."&amp;TEXT(TODAY()+30,"MM")&amp;"."&amp;TEXT(TODAY(),"YYYY"),"DD.MM.YYYY")</f>
        <v>04.12.2025</v>
      </c>
      <c r="L76" s="611" t="s">
        <v>414</v>
      </c>
      <c r="M76" s="611" t="s">
        <v>116</v>
      </c>
      <c r="N76" s="611" t="s">
        <v>415</v>
      </c>
      <c r="O76" s="146" t="str">
        <f>"${"&amp;$G$5&amp;"}, ${"&amp;$H$137&amp;"}"</f>
        <v>${p.FamilyName5}, ${p.ManFirstName6}</v>
      </c>
      <c r="P76" s="611" t="s">
        <v>416</v>
      </c>
      <c r="Q76" s="611" t="s">
        <v>380</v>
      </c>
      <c r="R76" s="611" t="s">
        <v>417</v>
      </c>
      <c r="S76" s="611" t="s">
        <v>418</v>
      </c>
      <c r="T76" s="611" t="s">
        <v>419</v>
      </c>
      <c r="U76" s="611" t="s">
        <v>420</v>
      </c>
      <c r="V76" s="611" t="s">
        <v>421</v>
      </c>
      <c r="W76" s="611" t="s">
        <v>422</v>
      </c>
      <c r="X76" s="2" t="s">
        <v>423</v>
      </c>
      <c r="Y76" s="2" t="s">
        <v>422</v>
      </c>
      <c r="Z76" s="2" t="s">
        <v>424</v>
      </c>
      <c r="AA76" s="2" t="s">
        <v>425</v>
      </c>
      <c r="AB76" s="2" t="s">
        <v>37</v>
      </c>
      <c r="AC76" s="2"/>
      <c r="AD76" s="2"/>
    </row>
    <row r="77" spans="1:30" s="12" customFormat="1" ht="19.5" hidden="1" customHeight="1">
      <c r="A77" s="3657"/>
      <c r="B77" s="208" t="s">
        <v>426</v>
      </c>
      <c r="C77" s="168" t="str">
        <f>E77&amp;F77&amp;G77&amp;H77&amp;I77&amp;J77&amp;K77&amp;L77&amp;M77&amp;N77 &amp;O77&amp;P77&amp;Q77&amp;R77&amp;S77&amp;T77&amp;U77&amp;V77&amp;W77&amp;X77&amp;Y77&amp;Z77&amp;AA77&amp;AB77</f>
        <v>{"dossier":`p.DossierName5`,"bemerkung":"Wichtige Bemerkung 4","zugeZielTitelSelect":"Alles ist ein Ziel 5","unterzeichnZielvereinbarungPfad":""}</v>
      </c>
      <c r="D77" s="2"/>
      <c r="E77" s="209"/>
      <c r="F77" s="619" t="s">
        <v>348</v>
      </c>
      <c r="G77" s="146" t="str">
        <f>G72</f>
        <v>p.DossierName5</v>
      </c>
      <c r="H77" s="611" t="s">
        <v>427</v>
      </c>
      <c r="I77" s="611" t="s">
        <v>438</v>
      </c>
      <c r="J77" s="611" t="s">
        <v>429</v>
      </c>
      <c r="K77" s="611" t="s">
        <v>437</v>
      </c>
      <c r="L77" s="611" t="s">
        <v>430</v>
      </c>
      <c r="M77" s="611"/>
      <c r="N77" s="611" t="s">
        <v>37</v>
      </c>
      <c r="O77" s="611"/>
      <c r="P77" s="611"/>
      <c r="Q77" s="611"/>
      <c r="R77" s="611"/>
      <c r="S77" s="611"/>
      <c r="T77" s="611"/>
      <c r="U77" s="611"/>
      <c r="V77" s="611"/>
      <c r="W77" s="611"/>
      <c r="X77" s="2"/>
      <c r="Y77" s="2"/>
      <c r="Z77" s="2"/>
      <c r="AA77" s="2"/>
      <c r="AB77" s="2"/>
      <c r="AC77" s="2"/>
      <c r="AD77" s="2"/>
    </row>
    <row r="78" spans="1:30" s="96" customFormat="1" ht="15.75" hidden="1" customHeight="1">
      <c r="A78" s="3658"/>
      <c r="B78" s="31" t="s">
        <v>134</v>
      </c>
      <c r="C78" s="190" t="str">
        <f>E78</f>
        <v>{"username":"Bern.Sachbearbeiterin@diartis.ch","password":"XXxa22?pdTA66-S@"}</v>
      </c>
      <c r="D78" s="81"/>
      <c r="E78" s="34" t="str">
        <f t="shared" ref="E78:E84" si="128">F78&amp;G78&amp;H78&amp;I78&amp;J78&amp;K78&amp;L78&amp;M78&amp;N78&amp;O78&amp;P78&amp;Q78&amp;R78&amp;S78&amp;T78&amp;U78&amp;V78&amp;W78&amp;X78</f>
        <v>{"username":"Bern.Sachbearbeiterin@diartis.ch","password":"XXxa22?pdTA66-S@"}</v>
      </c>
      <c r="F78" s="610" t="s">
        <v>29</v>
      </c>
      <c r="G78" s="632" t="s">
        <v>30</v>
      </c>
      <c r="H78" s="610" t="s">
        <v>31</v>
      </c>
      <c r="I78" s="638" t="s">
        <v>32</v>
      </c>
      <c r="J78" s="610" t="s">
        <v>37</v>
      </c>
      <c r="K78" s="635"/>
      <c r="L78" s="610"/>
      <c r="M78" s="610"/>
      <c r="N78" s="610"/>
      <c r="O78" s="610"/>
      <c r="P78" s="610"/>
      <c r="Q78" s="610"/>
      <c r="R78" s="610"/>
      <c r="S78" s="610"/>
      <c r="T78" s="610"/>
      <c r="U78" s="610"/>
      <c r="V78" s="610"/>
      <c r="W78" s="610"/>
      <c r="X78" s="81"/>
      <c r="Y78" s="81"/>
      <c r="Z78" s="34"/>
      <c r="AA78" s="34"/>
      <c r="AB78" s="34"/>
      <c r="AC78" s="34"/>
      <c r="AD78" s="81"/>
    </row>
    <row r="79" spans="1:30" ht="15.75" hidden="1" customHeight="1">
      <c r="A79" s="3658"/>
      <c r="B79" s="31" t="s">
        <v>134</v>
      </c>
      <c r="C79" s="203" t="s">
        <v>138</v>
      </c>
      <c r="E79" s="4" t="str">
        <f t="shared" si="128"/>
        <v>{"username":"Bern.Sachbearbeiterin@diartis.ch","password":"XXxa22?pdTA66-S@"}</v>
      </c>
      <c r="F79" s="610" t="s">
        <v>29</v>
      </c>
      <c r="G79" s="36" t="s">
        <v>30</v>
      </c>
      <c r="H79" s="610" t="s">
        <v>31</v>
      </c>
      <c r="I79" s="36" t="s">
        <v>32</v>
      </c>
      <c r="J79" s="610" t="s">
        <v>37</v>
      </c>
    </row>
    <row r="80" spans="1:30" s="96" customFormat="1" ht="15.75" hidden="1" customHeight="1">
      <c r="A80" s="3659"/>
      <c r="B80" s="194" t="s">
        <v>139</v>
      </c>
      <c r="C80" s="195" t="str">
        <f>E80</f>
        <v>{"searchDossierOrKlient":p.DossierName5,"resultType":"Dossiers"}</v>
      </c>
      <c r="D80" s="90"/>
      <c r="E80" s="204" t="str">
        <f t="shared" si="128"/>
        <v>{"searchDossierOrKlient":p.DossierName5,"resultType":"Dossiers"}</v>
      </c>
      <c r="F80" s="610" t="s">
        <v>140</v>
      </c>
      <c r="G80" s="610" t="str">
        <f>$G$18</f>
        <v>p.DossierName5</v>
      </c>
      <c r="H80" s="610" t="s">
        <v>141</v>
      </c>
      <c r="I80" s="611" t="s">
        <v>142</v>
      </c>
      <c r="J80" s="610" t="s">
        <v>37</v>
      </c>
      <c r="K80" s="611"/>
      <c r="L80" s="610"/>
      <c r="M80" s="611"/>
      <c r="N80" s="610"/>
      <c r="O80" s="611"/>
      <c r="P80" s="610"/>
      <c r="Q80" s="611"/>
      <c r="R80" s="610"/>
      <c r="S80" s="611"/>
      <c r="T80" s="610"/>
      <c r="U80" s="611"/>
      <c r="V80" s="610"/>
      <c r="W80" s="611"/>
      <c r="X80" s="90"/>
      <c r="Y80" s="90"/>
      <c r="Z80" s="204"/>
      <c r="AA80" s="204"/>
      <c r="AB80" s="204"/>
      <c r="AC80" s="204"/>
      <c r="AD80" s="90"/>
    </row>
    <row r="81" spans="1:30" s="10" customFormat="1" ht="18" hidden="1" customHeight="1">
      <c r="A81" s="210"/>
      <c r="B81" s="208" t="s">
        <v>439</v>
      </c>
      <c r="C81" s="12" t="str">
        <f>E81</f>
        <v>{"vorlage":"IIZ Formular - Deutsch","titel":"Wunderbar","klient":`${p.FamilyName5}, ${p.ManFirstName5}`,"adresse":"Wohnsituation: Strasse_906 7, 3302 Moosseedorf"}</v>
      </c>
      <c r="D81" s="2" t="s">
        <v>28</v>
      </c>
      <c r="E81" s="12" t="str">
        <f>F81&amp;G81&amp;H81&amp;I81&amp;J81&amp;K81&amp;L81&amp;M81&amp;N81&amp;O81&amp;P81&amp;Q81&amp;R81&amp;S81&amp;T81&amp;U81&amp;V81&amp;W81&amp;X81</f>
        <v>{"vorlage":"IIZ Formular - Deutsch","titel":"Wunderbar","klient":`${p.FamilyName5}, ${p.ManFirstName5}`,"adresse":"Wohnsituation: Strasse_906 7, 3302 Moosseedorf"}</v>
      </c>
      <c r="F81" s="609" t="s">
        <v>440</v>
      </c>
      <c r="G81" s="619" t="s">
        <v>441</v>
      </c>
      <c r="H81" s="609" t="s">
        <v>442</v>
      </c>
      <c r="I81" s="609" t="s">
        <v>443</v>
      </c>
      <c r="J81" s="609" t="s">
        <v>444</v>
      </c>
      <c r="K81" s="609" t="str">
        <f>O56</f>
        <v>${p.FamilyName5}, ${p.ManFirstName5}</v>
      </c>
      <c r="L81" s="609" t="s">
        <v>445</v>
      </c>
      <c r="M81" s="611" t="s">
        <v>446</v>
      </c>
      <c r="N81" s="609"/>
      <c r="O81" s="613"/>
      <c r="P81" s="646"/>
      <c r="Q81" s="611" t="s">
        <v>37</v>
      </c>
      <c r="R81" s="609"/>
      <c r="S81" s="611"/>
      <c r="T81" s="609"/>
      <c r="U81" s="611"/>
      <c r="V81" s="613"/>
      <c r="W81" s="611"/>
      <c r="X81" s="2"/>
      <c r="Y81" s="2"/>
      <c r="Z81" s="2"/>
      <c r="AA81" s="2"/>
      <c r="AB81" s="2"/>
      <c r="AC81" s="2"/>
      <c r="AD81" s="2"/>
    </row>
    <row r="82" spans="1:30" s="96" customFormat="1" ht="15" hidden="1" customHeight="1">
      <c r="A82" s="3659"/>
      <c r="B82" s="31" t="s">
        <v>134</v>
      </c>
      <c r="C82" s="190" t="str">
        <f>E82</f>
        <v>{"username":"Bern.Sachbearbeiterin@diartis.ch","password":"XXxa22?pdTA66-S@"}</v>
      </c>
      <c r="D82" s="81"/>
      <c r="E82" s="34" t="str">
        <f t="shared" si="128"/>
        <v>{"username":"Bern.Sachbearbeiterin@diartis.ch","password":"XXxa22?pdTA66-S@"}</v>
      </c>
      <c r="F82" s="610" t="s">
        <v>29</v>
      </c>
      <c r="G82" s="632" t="s">
        <v>30</v>
      </c>
      <c r="H82" s="610" t="s">
        <v>31</v>
      </c>
      <c r="I82" s="638" t="s">
        <v>32</v>
      </c>
      <c r="J82" s="610" t="s">
        <v>37</v>
      </c>
      <c r="K82" s="635"/>
      <c r="L82" s="610"/>
      <c r="M82" s="610"/>
      <c r="N82" s="610"/>
      <c r="O82" s="610"/>
      <c r="P82" s="610"/>
      <c r="Q82" s="610"/>
      <c r="R82" s="610"/>
      <c r="S82" s="610"/>
      <c r="T82" s="610"/>
      <c r="U82" s="610"/>
      <c r="V82" s="610"/>
      <c r="W82" s="610"/>
      <c r="X82" s="81"/>
      <c r="Y82" s="81"/>
      <c r="Z82" s="34"/>
      <c r="AA82" s="34"/>
      <c r="AB82" s="34"/>
      <c r="AC82" s="34"/>
      <c r="AD82" s="81"/>
    </row>
    <row r="83" spans="1:30" ht="15" hidden="1" customHeight="1">
      <c r="A83" s="3659"/>
      <c r="B83" s="31" t="s">
        <v>134</v>
      </c>
      <c r="C83" s="203" t="s">
        <v>138</v>
      </c>
      <c r="E83" s="4" t="str">
        <f t="shared" si="128"/>
        <v>{"username":"Bern.Sachbearbeiterin@diartis.ch","password":"XXxa22?pdTA66-S@"}</v>
      </c>
      <c r="F83" s="610" t="s">
        <v>29</v>
      </c>
      <c r="G83" s="36" t="s">
        <v>30</v>
      </c>
      <c r="H83" s="610" t="s">
        <v>31</v>
      </c>
      <c r="I83" s="36" t="s">
        <v>32</v>
      </c>
      <c r="J83" s="610" t="s">
        <v>37</v>
      </c>
    </row>
    <row r="84" spans="1:30" s="96" customFormat="1" ht="15.75" hidden="1" customHeight="1">
      <c r="A84" s="3659"/>
      <c r="B84" s="194" t="s">
        <v>139</v>
      </c>
      <c r="C84" s="195" t="str">
        <f>E84</f>
        <v>{"searchDossierOrKlient":p.DossierName5,"resultType":"Dossiers"}</v>
      </c>
      <c r="D84" s="90"/>
      <c r="E84" s="204" t="str">
        <f t="shared" si="128"/>
        <v>{"searchDossierOrKlient":p.DossierName5,"resultType":"Dossiers"}</v>
      </c>
      <c r="F84" s="610" t="s">
        <v>140</v>
      </c>
      <c r="G84" s="610" t="str">
        <f>$G$18</f>
        <v>p.DossierName5</v>
      </c>
      <c r="H84" s="610" t="s">
        <v>141</v>
      </c>
      <c r="I84" s="611" t="s">
        <v>142</v>
      </c>
      <c r="J84" s="610" t="s">
        <v>37</v>
      </c>
      <c r="K84" s="611"/>
      <c r="L84" s="610"/>
      <c r="M84" s="611"/>
      <c r="N84" s="610"/>
      <c r="O84" s="611"/>
      <c r="P84" s="610"/>
      <c r="Q84" s="611"/>
      <c r="R84" s="610"/>
      <c r="S84" s="611"/>
      <c r="T84" s="610"/>
      <c r="U84" s="611"/>
      <c r="V84" s="610"/>
      <c r="W84" s="611"/>
      <c r="X84" s="90"/>
      <c r="Y84" s="90"/>
      <c r="Z84" s="204"/>
      <c r="AA84" s="204"/>
      <c r="AB84" s="204"/>
      <c r="AC84" s="204"/>
      <c r="AD84" s="90"/>
    </row>
    <row r="85" spans="1:30" s="10" customFormat="1" ht="22.5" hidden="1" customHeight="1">
      <c r="A85" s="210"/>
      <c r="B85" s="208" t="s">
        <v>439</v>
      </c>
      <c r="C85" s="12" t="str">
        <f>E85</f>
        <v>{"vorlage":"IIZ Formular - Deutsch","titel":"Wunder 2 ist alles schön","klient":`${p.FamilyName5}, ${p.ManFirstName5}`,"adresse":"Wohnsituation: Strasse_906 7, 3302 Moosseedorf"}</v>
      </c>
      <c r="D85" s="2" t="s">
        <v>28</v>
      </c>
      <c r="E85" s="12" t="str">
        <f>F85&amp;G85&amp;H85&amp;I85&amp;J85&amp;K85&amp;L85&amp;M85&amp;N85&amp;O85&amp;P85&amp;Q85&amp;R85&amp;S85&amp;T85&amp;U85&amp;V85&amp;W85&amp;X85</f>
        <v>{"vorlage":"IIZ Formular - Deutsch","titel":"Wunder 2 ist alles schön","klient":`${p.FamilyName5}, ${p.ManFirstName5}`,"adresse":"Wohnsituation: Strasse_906 7, 3302 Moosseedorf"}</v>
      </c>
      <c r="F85" s="609" t="s">
        <v>440</v>
      </c>
      <c r="G85" s="619" t="s">
        <v>441</v>
      </c>
      <c r="H85" s="609" t="s">
        <v>442</v>
      </c>
      <c r="I85" s="609" t="s">
        <v>447</v>
      </c>
      <c r="J85" s="609" t="s">
        <v>444</v>
      </c>
      <c r="K85" s="609" t="str">
        <f>K81</f>
        <v>${p.FamilyName5}, ${p.ManFirstName5}</v>
      </c>
      <c r="L85" s="609" t="s">
        <v>445</v>
      </c>
      <c r="M85" s="611" t="str">
        <f>M81</f>
        <v>Wohnsituation: Strasse_906 7, 3302 Moosseedorf</v>
      </c>
      <c r="N85" s="609"/>
      <c r="O85" s="613"/>
      <c r="P85" s="646"/>
      <c r="Q85" s="611" t="s">
        <v>37</v>
      </c>
      <c r="R85" s="609"/>
      <c r="S85" s="611"/>
      <c r="T85" s="609"/>
      <c r="U85" s="611"/>
      <c r="V85" s="613"/>
      <c r="W85" s="611"/>
      <c r="X85" s="2"/>
      <c r="Y85" s="2"/>
      <c r="Z85" s="2"/>
      <c r="AA85" s="2"/>
      <c r="AB85" s="2"/>
      <c r="AC85" s="2"/>
      <c r="AD85" s="2"/>
    </row>
    <row r="86" spans="1:30" s="96" customFormat="1" ht="15" hidden="1" customHeight="1">
      <c r="A86" s="3659"/>
      <c r="B86" s="212" t="s">
        <v>448</v>
      </c>
      <c r="C86" s="4" t="str">
        <f>E86</f>
        <v>{"dossier":p.DossierName1,"name":"Moser","vorname":"Luici","rolle":"Clown","zusatz":"","strasse":"Strassenweg","hausNummer":"12","Ort":"4566 Halten"}</v>
      </c>
      <c r="D86" s="4"/>
      <c r="E86" s="4" t="str">
        <f>F86&amp;G86&amp;H86&amp;I86&amp;J86&amp;K86&amp;L86&amp;M86&amp;N86&amp;O86&amp;P86&amp;Q86&amp;R86&amp;S86&amp;T86&amp;U86&amp;V86&amp;W86&amp;X86&amp;Y86</f>
        <v>{"dossier":p.DossierName1,"name":"Moser","vorname":"Luici","rolle":"Clown","zusatz":"","strasse":"Strassenweg","hausNummer":"12","Ort":"4566 Halten"}</v>
      </c>
      <c r="F86" s="36" t="s">
        <v>159</v>
      </c>
      <c r="G86" s="633" t="s">
        <v>449</v>
      </c>
      <c r="H86" s="610" t="s">
        <v>450</v>
      </c>
      <c r="I86" s="610" t="s">
        <v>451</v>
      </c>
      <c r="J86" s="610" t="s">
        <v>452</v>
      </c>
      <c r="K86" s="611" t="s">
        <v>453</v>
      </c>
      <c r="L86" s="610" t="s">
        <v>454</v>
      </c>
      <c r="M86" s="611" t="s">
        <v>455</v>
      </c>
      <c r="N86" s="610" t="s">
        <v>456</v>
      </c>
      <c r="O86" s="634"/>
      <c r="P86" s="647" t="s">
        <v>101</v>
      </c>
      <c r="Q86" s="611" t="s">
        <v>457</v>
      </c>
      <c r="R86" s="610" t="s">
        <v>458</v>
      </c>
      <c r="S86" s="611">
        <v>12</v>
      </c>
      <c r="T86" s="610" t="s">
        <v>459</v>
      </c>
      <c r="U86" s="611" t="s">
        <v>460</v>
      </c>
      <c r="V86" s="634" t="s">
        <v>37</v>
      </c>
      <c r="W86" s="611"/>
      <c r="X86" s="2"/>
      <c r="Y86" s="2"/>
      <c r="Z86" s="2"/>
      <c r="AA86" s="2"/>
      <c r="AB86" s="2"/>
      <c r="AC86" s="4"/>
      <c r="AD86" s="4"/>
    </row>
    <row r="87" spans="1:30" s="96" customFormat="1" ht="15.75" hidden="1" customHeight="1">
      <c r="A87" s="3657"/>
      <c r="B87" s="200" t="s">
        <v>22</v>
      </c>
      <c r="C87" s="195" t="s">
        <v>461</v>
      </c>
      <c r="D87" s="56"/>
      <c r="E87" s="201"/>
      <c r="F87" s="36"/>
      <c r="G87" s="632"/>
      <c r="H87" s="611"/>
      <c r="I87" s="611"/>
      <c r="J87" s="611"/>
      <c r="K87" s="611"/>
      <c r="L87" s="611"/>
      <c r="M87" s="611"/>
      <c r="N87" s="611"/>
      <c r="O87" s="611"/>
      <c r="P87" s="611"/>
      <c r="Q87" s="611"/>
      <c r="R87" s="611"/>
      <c r="S87" s="611"/>
      <c r="T87" s="611"/>
      <c r="U87" s="611"/>
      <c r="V87" s="611"/>
      <c r="W87" s="611"/>
      <c r="X87" s="56"/>
      <c r="Y87" s="56"/>
      <c r="Z87" s="196"/>
      <c r="AA87" s="196"/>
      <c r="AB87" s="56"/>
      <c r="AC87" s="56"/>
      <c r="AD87" s="56"/>
    </row>
    <row r="88" spans="1:30" s="96" customFormat="1" ht="12.75" hidden="1" customHeight="1">
      <c r="A88" s="3657"/>
      <c r="B88" s="213" t="s">
        <v>462</v>
      </c>
      <c r="C88" s="190" t="e">
        <f>E88</f>
        <v>#REF!</v>
      </c>
      <c r="D88" s="2" t="s">
        <v>28</v>
      </c>
      <c r="E88" s="2" t="e">
        <f>F88&amp;G88&amp;H88&amp;I88&amp;J88&amp;K88&amp;L88&amp;M88&amp;N88&amp;O88&amp;P88&amp;Q88&amp;R88&amp;S88&amp;T88&amp;U88&amp;V88&amp;W88&amp;X88&amp;Y88&amp;Z88&amp;AA88&amp;AB88&amp;AC88&amp;AD88&amp;AE88&amp;AF88&amp;AG88&amp;AH88&amp;#REF!&amp;#REF!&amp;#REF!&amp;#REF!&amp;#REF!&amp;#REF!&amp;#REF!&amp;#REF!&amp;#REF!</f>
        <v>#REF!</v>
      </c>
      <c r="F88" s="36" t="s">
        <v>348</v>
      </c>
      <c r="G88" s="633" t="str">
        <f>G$12</f>
        <v>p.DossierName5</v>
      </c>
      <c r="H88" s="633" t="s">
        <v>463</v>
      </c>
      <c r="I88" s="610" t="s">
        <v>464</v>
      </c>
      <c r="J88" s="633" t="s">
        <v>465</v>
      </c>
      <c r="K88" s="635" t="s">
        <v>466</v>
      </c>
      <c r="L88" s="611" t="s">
        <v>167</v>
      </c>
      <c r="M88" s="610" t="s">
        <v>467</v>
      </c>
      <c r="N88" s="611" t="s">
        <v>168</v>
      </c>
      <c r="O88" s="611" t="s">
        <v>223</v>
      </c>
      <c r="P88" s="611" t="s">
        <v>101</v>
      </c>
      <c r="Q88" s="611" t="s">
        <v>468</v>
      </c>
      <c r="R88" s="611" t="s">
        <v>469</v>
      </c>
      <c r="S88" s="611">
        <v>12</v>
      </c>
      <c r="T88" s="611" t="s">
        <v>470</v>
      </c>
      <c r="U88" s="611"/>
      <c r="V88" s="611" t="s">
        <v>103</v>
      </c>
      <c r="W88" s="611" t="s">
        <v>460</v>
      </c>
      <c r="X88" s="2" t="s">
        <v>471</v>
      </c>
      <c r="Y88" s="2" t="s">
        <v>472</v>
      </c>
      <c r="Z88" s="2" t="s">
        <v>37</v>
      </c>
      <c r="AA88" s="2"/>
      <c r="AB88" s="4"/>
      <c r="AC88" s="4"/>
      <c r="AD88" s="2"/>
    </row>
    <row r="89" spans="1:30" s="96" customFormat="1" ht="15.75" hidden="1" customHeight="1">
      <c r="A89" s="3657"/>
      <c r="B89" s="200" t="s">
        <v>22</v>
      </c>
      <c r="C89" s="195" t="s">
        <v>473</v>
      </c>
      <c r="D89" s="56"/>
      <c r="E89" s="201"/>
      <c r="F89" s="36"/>
      <c r="G89" s="632"/>
      <c r="H89" s="611"/>
      <c r="I89" s="611"/>
      <c r="J89" s="611"/>
      <c r="K89" s="611"/>
      <c r="L89" s="611"/>
      <c r="M89" s="611"/>
      <c r="N89" s="611"/>
      <c r="O89" s="611"/>
      <c r="P89" s="611"/>
      <c r="Q89" s="611"/>
      <c r="R89" s="611"/>
      <c r="S89" s="611"/>
      <c r="T89" s="611"/>
      <c r="U89" s="611"/>
      <c r="V89" s="611"/>
      <c r="W89" s="611"/>
      <c r="X89" s="56"/>
      <c r="Y89" s="56"/>
      <c r="Z89" s="196"/>
      <c r="AA89" s="196"/>
      <c r="AB89" s="56"/>
      <c r="AC89" s="56"/>
      <c r="AD89" s="56"/>
    </row>
    <row r="90" spans="1:30" s="96" customFormat="1" ht="17.25" hidden="1" customHeight="1">
      <c r="A90" s="3657"/>
      <c r="B90" s="213" t="s">
        <v>474</v>
      </c>
      <c r="C90" s="190" t="e">
        <f>E90</f>
        <v>#REF!</v>
      </c>
      <c r="D90" s="2" t="s">
        <v>28</v>
      </c>
      <c r="E90" s="2" t="e">
        <f>F90&amp;G90&amp;H90&amp;I90&amp;J90&amp;K90&amp;L90&amp;M90&amp;N90&amp;O90&amp;P90&amp;Q90&amp;R90&amp;S90&amp;T90&amp;U90&amp;V90&amp;W90&amp;X90&amp;Y90&amp;Z90&amp;AA90&amp;AB90&amp;AC90&amp;AD90&amp;AE90&amp;AF90&amp;AG90&amp;AH90&amp;#REF!&amp;#REF!&amp;#REF!&amp;#REF!&amp;#REF!&amp;#REF!&amp;#REF!&amp;#REF!&amp;#REF!</f>
        <v>#REF!</v>
      </c>
      <c r="F90" s="36" t="s">
        <v>348</v>
      </c>
      <c r="G90" s="633" t="str">
        <f>G$12</f>
        <v>p.DossierName5</v>
      </c>
      <c r="H90" s="633" t="s">
        <v>463</v>
      </c>
      <c r="I90" s="610" t="s">
        <v>464</v>
      </c>
      <c r="J90" s="633" t="s">
        <v>37</v>
      </c>
      <c r="K90" s="635"/>
      <c r="L90" s="611"/>
      <c r="M90" s="610"/>
      <c r="N90" s="611"/>
      <c r="O90" s="611"/>
      <c r="P90" s="611"/>
      <c r="Q90" s="611"/>
      <c r="R90" s="611"/>
      <c r="S90" s="611"/>
      <c r="T90" s="611"/>
      <c r="U90" s="611"/>
      <c r="V90" s="611"/>
      <c r="W90" s="611"/>
      <c r="X90" s="2"/>
      <c r="Y90" s="2"/>
      <c r="Z90" s="2"/>
      <c r="AA90" s="2"/>
      <c r="AB90" s="4"/>
      <c r="AC90" s="4"/>
      <c r="AD90" s="2"/>
    </row>
    <row r="91" spans="1:30" s="96" customFormat="1" ht="15.75" hidden="1" customHeight="1">
      <c r="A91" s="3657"/>
      <c r="B91" s="200" t="s">
        <v>22</v>
      </c>
      <c r="C91" s="214" t="s">
        <v>215</v>
      </c>
      <c r="D91" s="2"/>
      <c r="E91" s="215"/>
      <c r="F91" s="36"/>
      <c r="G91" s="610"/>
      <c r="H91" s="610"/>
      <c r="I91" s="610"/>
      <c r="J91" s="610"/>
      <c r="K91" s="610"/>
      <c r="L91" s="610"/>
      <c r="M91" s="610"/>
      <c r="N91" s="610"/>
      <c r="O91" s="610"/>
      <c r="P91" s="610"/>
      <c r="Q91" s="610"/>
      <c r="R91" s="610"/>
      <c r="S91" s="610"/>
      <c r="T91" s="610"/>
      <c r="U91" s="610"/>
      <c r="V91" s="610"/>
      <c r="W91" s="610"/>
      <c r="X91" s="197"/>
      <c r="Y91" s="197"/>
      <c r="Z91" s="197"/>
      <c r="AA91" s="197"/>
      <c r="AB91" s="204"/>
      <c r="AC91" s="204"/>
      <c r="AD91" s="197"/>
    </row>
    <row r="92" spans="1:30" s="96" customFormat="1" ht="15.75" hidden="1" customHeight="1">
      <c r="A92" s="3657"/>
      <c r="B92" s="194" t="s">
        <v>134</v>
      </c>
      <c r="C92" s="190" t="str">
        <f>E92</f>
        <v>{"username":"Bern.Sachbearbeiterin@diartis.ch","password":"XXxa22?pdTA66-S@"}</v>
      </c>
      <c r="D92" s="2"/>
      <c r="E92" s="34" t="str">
        <f>F92&amp;G92&amp;H92&amp;I92&amp;J92&amp;K92&amp;L92&amp;M92&amp;N92&amp;O92&amp;P92&amp;Q92&amp;R92&amp;S92&amp;T92&amp;U92&amp;V92&amp;W92&amp;X92</f>
        <v>{"username":"Bern.Sachbearbeiterin@diartis.ch","password":"XXxa22?pdTA66-S@"}</v>
      </c>
      <c r="F92" s="610" t="s">
        <v>29</v>
      </c>
      <c r="G92" s="611" t="s">
        <v>30</v>
      </c>
      <c r="H92" s="610" t="s">
        <v>31</v>
      </c>
      <c r="I92" s="611" t="s">
        <v>32</v>
      </c>
      <c r="J92" s="610" t="s">
        <v>37</v>
      </c>
      <c r="K92" s="635"/>
      <c r="L92" s="610"/>
      <c r="M92" s="610"/>
      <c r="N92" s="610"/>
      <c r="O92" s="610"/>
      <c r="P92" s="610"/>
      <c r="Q92" s="610"/>
      <c r="R92" s="610"/>
      <c r="S92" s="610"/>
      <c r="T92" s="610"/>
      <c r="U92" s="610"/>
      <c r="V92" s="610"/>
      <c r="W92" s="610"/>
      <c r="X92" s="81"/>
      <c r="Y92" s="81"/>
      <c r="Z92" s="81"/>
      <c r="AA92" s="81"/>
      <c r="AB92" s="34"/>
      <c r="AC92" s="34"/>
      <c r="AD92" s="81"/>
    </row>
    <row r="93" spans="1:30" s="96" customFormat="1" ht="15.75" hidden="1" customHeight="1">
      <c r="A93" s="3657"/>
      <c r="B93" s="200" t="s">
        <v>22</v>
      </c>
      <c r="C93" s="214" t="s">
        <v>280</v>
      </c>
      <c r="D93" s="2"/>
      <c r="E93" s="215"/>
      <c r="F93" s="36"/>
      <c r="G93" s="610"/>
      <c r="H93" s="610"/>
      <c r="I93" s="610"/>
      <c r="J93" s="610"/>
      <c r="K93" s="610"/>
      <c r="L93" s="610"/>
      <c r="M93" s="610"/>
      <c r="N93" s="610"/>
      <c r="O93" s="610"/>
      <c r="P93" s="610"/>
      <c r="Q93" s="610"/>
      <c r="R93" s="610"/>
      <c r="S93" s="610"/>
      <c r="T93" s="610"/>
      <c r="U93" s="610"/>
      <c r="V93" s="610"/>
      <c r="W93" s="610"/>
      <c r="X93" s="197"/>
      <c r="Y93" s="197"/>
      <c r="Z93" s="197"/>
      <c r="AA93" s="197"/>
      <c r="AB93" s="204"/>
      <c r="AC93" s="204" t="s">
        <v>475</v>
      </c>
      <c r="AD93" s="197"/>
    </row>
    <row r="94" spans="1:30" s="96" customFormat="1" ht="15.75" hidden="1" customHeight="1">
      <c r="A94" s="3657"/>
      <c r="B94" s="216" t="s">
        <v>273</v>
      </c>
      <c r="C94" s="190" t="str">
        <f>E94</f>
        <v>{"dossier":`p.DossierName5`,"buttonName":"Bewilligen","checkStatus":"Bewilligt"}</v>
      </c>
      <c r="D94" s="2" t="s">
        <v>28</v>
      </c>
      <c r="E94" s="34" t="str">
        <f>F94&amp;G94&amp;H94&amp;I94&amp;J94&amp;K94&amp;L94&amp;M94&amp;N94&amp;O94&amp;P94&amp;Q94&amp;R94&amp;S94&amp;T94&amp;U94&amp;V94&amp;W94&amp;X94</f>
        <v>{"dossier":`p.DossierName5`,"buttonName":"Bewilligen","checkStatus":"Bewilligt"}</v>
      </c>
      <c r="F94" s="610" t="s">
        <v>348</v>
      </c>
      <c r="G94" s="633" t="str">
        <f>G$12</f>
        <v>p.DossierName5</v>
      </c>
      <c r="H94" s="610" t="s">
        <v>476</v>
      </c>
      <c r="I94" s="610" t="s">
        <v>136</v>
      </c>
      <c r="J94" s="610" t="s">
        <v>132</v>
      </c>
      <c r="K94" s="610" t="s">
        <v>137</v>
      </c>
      <c r="L94" s="610" t="s">
        <v>37</v>
      </c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81"/>
      <c r="Y94" s="81"/>
      <c r="Z94" s="81"/>
      <c r="AA94" s="81"/>
      <c r="AB94" s="81"/>
      <c r="AC94" s="81"/>
      <c r="AD94" s="81"/>
    </row>
    <row r="95" spans="1:30" ht="15.75" hidden="1" customHeight="1">
      <c r="A95" s="3657"/>
      <c r="B95" s="31" t="s">
        <v>134</v>
      </c>
      <c r="C95" s="203" t="s">
        <v>138</v>
      </c>
      <c r="E95" s="4" t="str">
        <f>F95&amp;G95&amp;H95&amp;I95&amp;J95&amp;K95&amp;L95&amp;M95&amp;N95&amp;O95&amp;P95&amp;Q95&amp;R95&amp;S95&amp;T95&amp;U95&amp;V95&amp;W95&amp;X95</f>
        <v>{"username":"Bern.Sachbearbeiterin@diartis.ch","password":"XXxa22?pdTA66-S@"}</v>
      </c>
      <c r="F95" s="610" t="s">
        <v>29</v>
      </c>
      <c r="G95" s="36" t="s">
        <v>30</v>
      </c>
      <c r="H95" s="610" t="s">
        <v>31</v>
      </c>
      <c r="I95" s="36" t="s">
        <v>32</v>
      </c>
      <c r="J95" s="610" t="s">
        <v>37</v>
      </c>
    </row>
    <row r="96" spans="1:30" s="96" customFormat="1" ht="15.75" hidden="1" customHeight="1">
      <c r="A96" s="3657"/>
      <c r="B96" s="205" t="s">
        <v>158</v>
      </c>
      <c r="C96" s="190" t="str">
        <f>E96</f>
        <v>{"dossier":`p.DossierName5`,"klientschaft":`${p.FamilyName5}, ${p.ManFirstName5}`}</v>
      </c>
      <c r="D96" s="13"/>
      <c r="E96" s="193" t="str">
        <f>F96&amp;G96&amp;H96&amp;I96&amp;J96&amp;K96&amp;L96&amp;M96&amp;N96&amp;O96&amp;P96&amp;Q96&amp;R96&amp;S96&amp;T96&amp;U96&amp;V96&amp;W96&amp;X96</f>
        <v>{"dossier":`p.DossierName5`,"klientschaft":`${p.FamilyName5}, ${p.ManFirstName5}`}</v>
      </c>
      <c r="F96" s="610" t="s">
        <v>348</v>
      </c>
      <c r="G96" s="633" t="str">
        <f>G$12</f>
        <v>p.DossierName5</v>
      </c>
      <c r="H96" s="610" t="s">
        <v>336</v>
      </c>
      <c r="I96" s="610" t="str">
        <f>"${"&amp;$G$5&amp;"}, ${"&amp;$I$5&amp;"}"</f>
        <v>${p.FamilyName5}, ${p.ManFirstName5}</v>
      </c>
      <c r="J96" s="610" t="s">
        <v>160</v>
      </c>
      <c r="K96" s="611"/>
      <c r="L96" s="610"/>
      <c r="M96" s="611"/>
      <c r="N96" s="610"/>
      <c r="O96" s="611"/>
      <c r="P96" s="610"/>
      <c r="Q96" s="611"/>
      <c r="R96" s="610"/>
      <c r="S96" s="611"/>
      <c r="T96" s="610"/>
      <c r="U96" s="611"/>
      <c r="V96" s="610"/>
      <c r="W96" s="611"/>
      <c r="X96" s="13"/>
      <c r="Y96" s="13"/>
      <c r="Z96" s="193"/>
      <c r="AA96" s="193"/>
      <c r="AB96" s="13"/>
      <c r="AC96" s="13"/>
      <c r="AD96" s="13"/>
    </row>
    <row r="97" spans="1:30" s="96" customFormat="1" ht="15.75" hidden="1" customHeight="1">
      <c r="A97" s="3657"/>
      <c r="B97" s="217" t="s">
        <v>161</v>
      </c>
      <c r="C97" s="38" t="str">
        <f>E97</f>
        <v>{"zahlbarDurch":"BKW Energie AG, 3013 Bern","pensumm":"100","betrag":"1000","gueltigVon":"01.01.2024","gueltigBis":"31.12.2024","checkbox":"x"}</v>
      </c>
      <c r="D97" s="13"/>
      <c r="E97" s="193" t="str">
        <f>F97&amp;G97&amp;H97&amp;I97&amp;J97&amp;K97&amp;L97&amp;M97&amp;N97&amp;O97&amp;P97&amp;Q97&amp;R97&amp;S97&amp;T97&amp;U97&amp;V97&amp;W97&amp;X97</f>
        <v>{"zahlbarDurch":"BKW Energie AG, 3013 Bern","pensumm":"100","betrag":"1000","gueltigVon":"01.01.2024","gueltigBis":"31.12.2024","checkbox":"x"}</v>
      </c>
      <c r="F97" s="633" t="s">
        <v>162</v>
      </c>
      <c r="G97" s="611"/>
      <c r="H97" s="610" t="s">
        <v>163</v>
      </c>
      <c r="I97" s="611" t="s">
        <v>270</v>
      </c>
      <c r="J97" s="610" t="s">
        <v>165</v>
      </c>
      <c r="K97" s="611">
        <v>100</v>
      </c>
      <c r="L97" s="610" t="s">
        <v>166</v>
      </c>
      <c r="M97" s="611">
        <v>1000</v>
      </c>
      <c r="N97" s="610" t="s">
        <v>167</v>
      </c>
      <c r="O97" s="634" t="s">
        <v>271</v>
      </c>
      <c r="P97" s="611" t="s">
        <v>168</v>
      </c>
      <c r="Q97" s="634" t="s">
        <v>223</v>
      </c>
      <c r="R97" s="610" t="s">
        <v>169</v>
      </c>
      <c r="S97" s="611" t="s">
        <v>170</v>
      </c>
      <c r="T97" s="610" t="s">
        <v>37</v>
      </c>
      <c r="U97" s="611"/>
      <c r="V97" s="610"/>
      <c r="W97" s="611"/>
      <c r="X97" s="13"/>
      <c r="Y97" s="13"/>
      <c r="Z97" s="193"/>
      <c r="AA97" s="193"/>
      <c r="AB97" s="13"/>
      <c r="AC97" s="13"/>
      <c r="AD97" s="13"/>
    </row>
    <row r="98" spans="1:30" s="96" customFormat="1" ht="15.75" hidden="1" customHeight="1">
      <c r="A98" s="3657"/>
      <c r="B98" s="218" t="s">
        <v>139</v>
      </c>
      <c r="C98" s="190" t="str">
        <f>E98</f>
        <v>{"searchDossierOrKlient":`p.DossierName5`,"resultType":"Dossiers"}</v>
      </c>
      <c r="D98" s="56"/>
      <c r="E98" s="196" t="str">
        <f>F98&amp;G98&amp;H98&amp;I98&amp;J98&amp;K98&amp;L98&amp;M98&amp;N98&amp;O98&amp;P98&amp;Q98&amp;R98&amp;S98&amp;T98&amp;U98&amp;V98&amp;W98&amp;X98</f>
        <v>{"searchDossierOrKlient":`p.DossierName5`,"resultType":"Dossiers"}</v>
      </c>
      <c r="F98" s="610" t="s">
        <v>407</v>
      </c>
      <c r="G98" s="633" t="str">
        <f>G$12</f>
        <v>p.DossierName5</v>
      </c>
      <c r="H98" s="610" t="s">
        <v>408</v>
      </c>
      <c r="I98" s="611" t="s">
        <v>142</v>
      </c>
      <c r="J98" s="610" t="s">
        <v>37</v>
      </c>
      <c r="K98" s="611"/>
      <c r="L98" s="610"/>
      <c r="M98" s="611"/>
      <c r="N98" s="610"/>
      <c r="O98" s="611"/>
      <c r="P98" s="610"/>
      <c r="Q98" s="611"/>
      <c r="R98" s="610"/>
      <c r="S98" s="611"/>
      <c r="T98" s="610"/>
      <c r="U98" s="611"/>
      <c r="V98" s="610"/>
      <c r="W98" s="611"/>
      <c r="X98" s="56"/>
      <c r="Y98" s="56"/>
      <c r="Z98" s="196"/>
      <c r="AA98" s="196"/>
      <c r="AB98" s="56"/>
      <c r="AC98" s="56"/>
      <c r="AD98" s="56"/>
    </row>
    <row r="99" spans="1:30" s="96" customFormat="1" ht="15.75" hidden="1" customHeight="1">
      <c r="A99" s="3657"/>
      <c r="B99" s="200" t="s">
        <v>22</v>
      </c>
      <c r="C99" s="195" t="s">
        <v>477</v>
      </c>
      <c r="D99" s="56"/>
      <c r="E99" s="201"/>
      <c r="F99" s="36"/>
      <c r="G99" s="632"/>
      <c r="H99" s="611"/>
      <c r="I99" s="611"/>
      <c r="J99" s="611"/>
      <c r="K99" s="611"/>
      <c r="L99" s="611"/>
      <c r="M99" s="611"/>
      <c r="N99" s="611"/>
      <c r="O99" s="611"/>
      <c r="P99" s="611"/>
      <c r="Q99" s="611"/>
      <c r="R99" s="611"/>
      <c r="S99" s="611"/>
      <c r="T99" s="611"/>
      <c r="U99" s="611"/>
      <c r="V99" s="611"/>
      <c r="W99" s="611"/>
      <c r="X99" s="56"/>
      <c r="Y99" s="56"/>
      <c r="Z99" s="196"/>
      <c r="AA99" s="196"/>
      <c r="AB99" s="56"/>
      <c r="AC99" s="56"/>
      <c r="AD99" s="56"/>
    </row>
    <row r="100" spans="1:30" s="96" customFormat="1" ht="18.75" hidden="1" customHeight="1">
      <c r="A100" s="3657"/>
      <c r="B100" s="219" t="s">
        <v>180</v>
      </c>
      <c r="C100" s="190" t="str">
        <f ca="1">E100</f>
        <v>{"entscheidVom":"04.11.2025","begrundung":"Gar keine Begründung","unterstutzungab":"01.11.2025"}</v>
      </c>
      <c r="D100" s="56"/>
      <c r="E100" s="196" t="str">
        <f ca="1">F100&amp;G100&amp;H100&amp;I100&amp;J100&amp;K100&amp;L100&amp;M100&amp;N100&amp;O100&amp;P100&amp;Q100&amp;R100&amp;S100&amp;T100&amp;U100&amp;V100&amp;W100&amp;X100</f>
        <v>{"entscheidVom":"04.11.2025","begrundung":"Gar keine Begründung","unterstutzungab":"01.11.2025"}</v>
      </c>
      <c r="F100" s="610" t="s">
        <v>181</v>
      </c>
      <c r="G100" s="635" t="str">
        <f ca="1">TEXT(TEXT(TODAY(),"DD")&amp;"."&amp;TEXT(TODAY(),"MM")&amp;"."&amp;TEXT(TODAY(),"YYYY"),"DD.MM.YYYY")</f>
        <v>04.11.2025</v>
      </c>
      <c r="H100" s="610" t="s">
        <v>182</v>
      </c>
      <c r="I100" s="611" t="s">
        <v>183</v>
      </c>
      <c r="J100" s="610" t="s">
        <v>184</v>
      </c>
      <c r="K100" s="635" t="str">
        <f ca="1">TEXT(TEXT(1,"DD")&amp;"."&amp;TEXT(TODAY(),"MM")&amp;"."&amp;TEXT(TODAY(),"YYYY"),"DD.MM.YYYY")</f>
        <v>01.11.2025</v>
      </c>
      <c r="L100" s="610" t="s">
        <v>37</v>
      </c>
      <c r="M100" s="611"/>
      <c r="N100" s="610"/>
      <c r="O100" s="611"/>
      <c r="P100" s="610"/>
      <c r="Q100" s="611"/>
      <c r="R100" s="610"/>
      <c r="S100" s="611"/>
      <c r="T100" s="610"/>
      <c r="U100" s="611"/>
      <c r="V100" s="610"/>
      <c r="W100" s="611"/>
      <c r="X100" s="56"/>
      <c r="Y100" s="56"/>
      <c r="Z100" s="196"/>
      <c r="AA100" s="196"/>
      <c r="AB100" s="56"/>
      <c r="AC100" s="56"/>
      <c r="AD100" s="56"/>
    </row>
    <row r="101" spans="1:30" s="96" customFormat="1" ht="15.75" hidden="1" customHeight="1">
      <c r="A101" s="3657"/>
      <c r="B101" s="200" t="s">
        <v>22</v>
      </c>
      <c r="C101" s="195" t="s">
        <v>478</v>
      </c>
      <c r="D101" s="56"/>
      <c r="E101" s="201"/>
      <c r="F101" s="36"/>
      <c r="G101" s="632"/>
      <c r="H101" s="611"/>
      <c r="I101" s="611"/>
      <c r="J101" s="611"/>
      <c r="K101" s="611"/>
      <c r="L101" s="611"/>
      <c r="M101" s="611"/>
      <c r="N101" s="611"/>
      <c r="O101" s="611"/>
      <c r="P101" s="611"/>
      <c r="Q101" s="611"/>
      <c r="R101" s="611"/>
      <c r="S101" s="611"/>
      <c r="T101" s="611"/>
      <c r="U101" s="611"/>
      <c r="V101" s="611"/>
      <c r="W101" s="611"/>
      <c r="X101" s="56"/>
      <c r="Y101" s="56"/>
      <c r="Z101" s="196"/>
      <c r="AA101" s="196"/>
      <c r="AB101" s="56"/>
      <c r="AC101" s="56"/>
      <c r="AD101" s="56"/>
    </row>
    <row r="102" spans="1:30" s="96" customFormat="1" ht="15.75" hidden="1" customHeight="1">
      <c r="A102" s="3657"/>
      <c r="B102" s="220" t="s">
        <v>185</v>
      </c>
      <c r="C102" s="190" t="str">
        <f ca="1">E102</f>
        <v>{"ubernahmeWohnkostenCFH":"100","uebernahmeWohnkostenVon":"01.11.2025","uebernahmeWohnkostenBis":"27.8.2026","uebernahemBegruendung":"Die Wohnungen sind teuer hier"}</v>
      </c>
      <c r="D102" s="56"/>
      <c r="E102" s="196" t="str">
        <f ca="1">F102&amp;G102&amp;H102&amp;I102&amp;J102&amp;K102&amp;L102&amp;M102&amp;N102&amp;O102&amp;P102&amp;Q102&amp;R102&amp;S102&amp;T102&amp;U102&amp;V102&amp;W102&amp;X102</f>
        <v>{"ubernahmeWohnkostenCFH":"100","uebernahmeWohnkostenVon":"01.11.2025","uebernahmeWohnkostenBis":"27.8.2026","uebernahemBegruendung":"Die Wohnungen sind teuer hier"}</v>
      </c>
      <c r="F102" s="610" t="s">
        <v>186</v>
      </c>
      <c r="G102" s="611">
        <v>100</v>
      </c>
      <c r="H102" s="611" t="s">
        <v>187</v>
      </c>
      <c r="I102" s="635" t="str">
        <f ca="1">"01."&amp;MONTH(TODAY())&amp;"."&amp;YEAR(TODAY())</f>
        <v>01.11.2025</v>
      </c>
      <c r="J102" s="611" t="s">
        <v>188</v>
      </c>
      <c r="K102" s="635" t="str">
        <f ca="1">"27."&amp;MONTH(TODAY()+300)&amp;"."&amp;YEAR(TODAY()+300)</f>
        <v>27.8.2026</v>
      </c>
      <c r="L102" s="610" t="s">
        <v>189</v>
      </c>
      <c r="M102" s="611" t="s">
        <v>190</v>
      </c>
      <c r="N102" s="610" t="s">
        <v>37</v>
      </c>
      <c r="O102" s="611"/>
      <c r="P102" s="611"/>
      <c r="Q102" s="611"/>
      <c r="R102" s="611"/>
      <c r="S102" s="611"/>
      <c r="T102" s="611"/>
      <c r="U102" s="611"/>
      <c r="V102" s="611"/>
      <c r="W102" s="611"/>
      <c r="X102" s="56"/>
      <c r="Y102" s="56"/>
      <c r="Z102" s="196"/>
      <c r="AA102" s="196"/>
      <c r="AB102" s="56"/>
      <c r="AC102" s="56"/>
      <c r="AD102" s="56"/>
    </row>
    <row r="103" spans="1:30" s="96" customFormat="1" ht="15.75" hidden="1" customHeight="1">
      <c r="A103" s="3657"/>
      <c r="B103" s="200" t="s">
        <v>22</v>
      </c>
      <c r="C103" s="195" t="s">
        <v>477</v>
      </c>
      <c r="D103" s="56"/>
      <c r="E103" s="201"/>
      <c r="F103" s="36"/>
      <c r="G103" s="632"/>
      <c r="H103" s="611"/>
      <c r="I103" s="611"/>
      <c r="J103" s="611"/>
      <c r="K103" s="611"/>
      <c r="L103" s="611"/>
      <c r="M103" s="611"/>
      <c r="N103" s="611"/>
      <c r="O103" s="611"/>
      <c r="P103" s="611"/>
      <c r="Q103" s="611"/>
      <c r="R103" s="611"/>
      <c r="S103" s="611"/>
      <c r="T103" s="611"/>
      <c r="U103" s="611"/>
      <c r="V103" s="611"/>
      <c r="W103" s="611"/>
      <c r="X103" s="56"/>
      <c r="Y103" s="56"/>
      <c r="Z103" s="196"/>
      <c r="AA103" s="196"/>
      <c r="AB103" s="56"/>
      <c r="AC103" s="56"/>
      <c r="AD103" s="56"/>
    </row>
    <row r="104" spans="1:30" s="96" customFormat="1" ht="15.75" hidden="1" customHeight="1">
      <c r="A104" s="3657"/>
      <c r="B104" s="216" t="s">
        <v>191</v>
      </c>
      <c r="C104" s="190" t="str">
        <f t="shared" ref="C104:C112" ca="1" si="129">E104</f>
        <v>{"lEvonDate":"04.11.2025","lEbisDate":"04.11.2026","checkStatus":"In Bearbeitung"}</v>
      </c>
      <c r="D104" s="81"/>
      <c r="E104" s="34" t="str">
        <f t="shared" ref="E104:E112" ca="1" si="130">F104&amp;G104&amp;H104&amp;I104&amp;J104&amp;K104&amp;L104&amp;M104&amp;N104&amp;O104&amp;P104&amp;Q104&amp;R104&amp;S104&amp;T104&amp;U104&amp;V104&amp;W104&amp;X104</f>
        <v>{"lEvonDate":"04.11.2025","lEbisDate":"04.11.2026","checkStatus":"In Bearbeitung"}</v>
      </c>
      <c r="F104" s="610" t="s">
        <v>192</v>
      </c>
      <c r="G104" s="635" t="str">
        <f ca="1">TEXT(TEXT(TODAY(),"DD")&amp;"."&amp;TEXT(TODAY(),"MM")&amp;"."&amp;TEXT(TODAY(),"YYYY"),"DD.MM.YYYY")</f>
        <v>04.11.2025</v>
      </c>
      <c r="H104" s="610" t="s">
        <v>193</v>
      </c>
      <c r="I104" s="635" t="str">
        <f ca="1">TEXT(TEXT(TODAY(),"DD")&amp;"."&amp;TEXT(TODAY(),"MM")&amp;"."&amp;TEXT(TODAY()+360,"YYYY"),"DD.MM.YYYY")</f>
        <v>04.11.2026</v>
      </c>
      <c r="J104" s="610" t="s">
        <v>132</v>
      </c>
      <c r="K104" s="610" t="s">
        <v>133</v>
      </c>
      <c r="L104" s="610" t="s">
        <v>37</v>
      </c>
      <c r="M104" s="610"/>
      <c r="N104" s="610"/>
      <c r="O104" s="610"/>
      <c r="P104" s="610"/>
      <c r="Q104" s="610"/>
      <c r="R104" s="610"/>
      <c r="S104" s="610"/>
      <c r="T104" s="610"/>
      <c r="U104" s="610"/>
      <c r="V104" s="610"/>
      <c r="W104" s="610"/>
      <c r="X104" s="81"/>
      <c r="Y104" s="81"/>
      <c r="Z104" s="34"/>
      <c r="AA104" s="34"/>
      <c r="AB104" s="81"/>
      <c r="AC104" s="81"/>
      <c r="AD104" s="81"/>
    </row>
    <row r="105" spans="1:30" s="96" customFormat="1" ht="15.75" hidden="1" customHeight="1">
      <c r="A105" s="3657"/>
      <c r="B105" s="200" t="s">
        <v>22</v>
      </c>
      <c r="C105" s="195" t="s">
        <v>126</v>
      </c>
      <c r="D105" s="56"/>
      <c r="E105" s="201"/>
      <c r="F105" s="36"/>
      <c r="G105" s="632"/>
      <c r="H105" s="611"/>
      <c r="I105" s="611"/>
      <c r="J105" s="611"/>
      <c r="K105" s="611"/>
      <c r="L105" s="611"/>
      <c r="M105" s="611"/>
      <c r="N105" s="611"/>
      <c r="O105" s="611"/>
      <c r="P105" s="611"/>
      <c r="Q105" s="611"/>
      <c r="R105" s="611"/>
      <c r="S105" s="611"/>
      <c r="T105" s="611"/>
      <c r="U105" s="611"/>
      <c r="V105" s="611"/>
      <c r="W105" s="611"/>
      <c r="X105" s="56"/>
      <c r="Y105" s="56"/>
      <c r="Z105" s="196"/>
      <c r="AA105" s="196"/>
      <c r="AB105" s="56"/>
      <c r="AC105" s="56"/>
      <c r="AD105" s="56"/>
    </row>
    <row r="106" spans="1:30" s="96" customFormat="1" ht="15.75" hidden="1" customHeight="1">
      <c r="A106" s="3657"/>
      <c r="B106" s="31" t="s">
        <v>134</v>
      </c>
      <c r="C106" s="190" t="str">
        <f t="shared" si="129"/>
        <v>{"username":"Bern.Sachbearbeiterin@diartis.ch","password":"XXxa22?pdTA66-S@"}</v>
      </c>
      <c r="D106" s="81"/>
      <c r="E106" s="34" t="str">
        <f t="shared" si="130"/>
        <v>{"username":"Bern.Sachbearbeiterin@diartis.ch","password":"XXxa22?pdTA66-S@"}</v>
      </c>
      <c r="F106" s="610" t="s">
        <v>29</v>
      </c>
      <c r="G106" s="632" t="s">
        <v>30</v>
      </c>
      <c r="H106" s="610" t="s">
        <v>31</v>
      </c>
      <c r="I106" s="638" t="s">
        <v>32</v>
      </c>
      <c r="J106" s="610" t="s">
        <v>37</v>
      </c>
      <c r="K106" s="635"/>
      <c r="L106" s="610"/>
      <c r="M106" s="610"/>
      <c r="N106" s="610"/>
      <c r="O106" s="610"/>
      <c r="P106" s="610"/>
      <c r="Q106" s="610"/>
      <c r="R106" s="610"/>
      <c r="S106" s="610"/>
      <c r="T106" s="610"/>
      <c r="U106" s="610"/>
      <c r="V106" s="610"/>
      <c r="W106" s="610"/>
      <c r="X106" s="81"/>
      <c r="Y106" s="81"/>
      <c r="Z106" s="34"/>
      <c r="AA106" s="34"/>
      <c r="AB106" s="81"/>
      <c r="AC106" s="81"/>
      <c r="AD106" s="81"/>
    </row>
    <row r="107" spans="1:30" s="96" customFormat="1" ht="15.75" hidden="1" customHeight="1">
      <c r="A107" s="3657"/>
      <c r="B107" s="200" t="s">
        <v>22</v>
      </c>
      <c r="C107" s="195" t="s">
        <v>477</v>
      </c>
      <c r="D107" s="56"/>
      <c r="E107" s="201"/>
      <c r="F107" s="36"/>
      <c r="G107" s="632"/>
      <c r="H107" s="611"/>
      <c r="I107" s="611"/>
      <c r="J107" s="611"/>
      <c r="K107" s="611"/>
      <c r="L107" s="611"/>
      <c r="M107" s="611"/>
      <c r="N107" s="611"/>
      <c r="O107" s="611"/>
      <c r="P107" s="611"/>
      <c r="Q107" s="611"/>
      <c r="R107" s="611"/>
      <c r="S107" s="611"/>
      <c r="T107" s="611"/>
      <c r="U107" s="611"/>
      <c r="V107" s="611"/>
      <c r="W107" s="611"/>
      <c r="X107" s="56"/>
      <c r="Y107" s="56"/>
      <c r="Z107" s="196"/>
      <c r="AA107" s="196"/>
      <c r="AB107" s="56"/>
      <c r="AC107" s="56"/>
      <c r="AD107" s="56"/>
    </row>
    <row r="108" spans="1:30" s="96" customFormat="1" ht="15.75" hidden="1" customHeight="1">
      <c r="A108" s="3657"/>
      <c r="B108" s="216" t="s">
        <v>273</v>
      </c>
      <c r="C108" s="190" t="str">
        <f>E108</f>
        <v>{"dossier":`p.DossierName5`,"buttonName":"Prüfung OK","checkStatus":"In Bearbeitung"}</v>
      </c>
      <c r="D108" s="81"/>
      <c r="E108" s="34" t="str">
        <f t="shared" si="130"/>
        <v>{"dossier":`p.DossierName5`,"buttonName":"Prüfung OK","checkStatus":"In Bearbeitung"}</v>
      </c>
      <c r="F108" s="610" t="s">
        <v>348</v>
      </c>
      <c r="G108" s="633" t="str">
        <f>G98</f>
        <v>p.DossierName5</v>
      </c>
      <c r="H108" s="610" t="s">
        <v>476</v>
      </c>
      <c r="I108" s="610" t="s">
        <v>199</v>
      </c>
      <c r="J108" s="610" t="s">
        <v>132</v>
      </c>
      <c r="K108" s="610" t="s">
        <v>133</v>
      </c>
      <c r="L108" s="610" t="s">
        <v>37</v>
      </c>
      <c r="M108" s="610"/>
      <c r="N108" s="610"/>
      <c r="O108" s="610"/>
      <c r="P108" s="610"/>
      <c r="Q108" s="610"/>
      <c r="R108" s="610"/>
      <c r="S108" s="610"/>
      <c r="T108" s="610"/>
      <c r="U108" s="610"/>
      <c r="V108" s="610"/>
      <c r="W108" s="610"/>
      <c r="X108" s="81"/>
      <c r="Y108" s="81"/>
      <c r="Z108" s="34"/>
      <c r="AA108" s="34"/>
      <c r="AB108" s="81"/>
      <c r="AC108" s="81"/>
      <c r="AD108" s="81"/>
    </row>
    <row r="109" spans="1:30" s="96" customFormat="1" ht="15.75" hidden="1" customHeight="1">
      <c r="A109" s="3657"/>
      <c r="B109" s="31" t="s">
        <v>134</v>
      </c>
      <c r="C109" s="190" t="str">
        <f t="shared" si="129"/>
        <v>{"username":"aventis-gemeinde-ma@diartis.ch","password":"#xFymiADPk7wJG/FWMz"}</v>
      </c>
      <c r="D109" s="81"/>
      <c r="E109" s="34" t="str">
        <f t="shared" si="130"/>
        <v>{"username":"aventis-gemeinde-ma@diartis.ch","password":"#xFymiADPk7wJG/FWMz"}</v>
      </c>
      <c r="F109" s="610" t="s">
        <v>29</v>
      </c>
      <c r="G109" s="632" t="s">
        <v>195</v>
      </c>
      <c r="H109" s="610" t="s">
        <v>31</v>
      </c>
      <c r="I109" s="638" t="s">
        <v>196</v>
      </c>
      <c r="J109" s="610" t="s">
        <v>37</v>
      </c>
      <c r="K109" s="635"/>
      <c r="L109" s="610"/>
      <c r="M109" s="610"/>
      <c r="N109" s="610"/>
      <c r="O109" s="610"/>
      <c r="P109" s="610"/>
      <c r="Q109" s="610"/>
      <c r="R109" s="610"/>
      <c r="S109" s="610"/>
      <c r="T109" s="610"/>
      <c r="U109" s="610"/>
      <c r="V109" s="610"/>
      <c r="W109" s="610"/>
      <c r="X109" s="81"/>
      <c r="Y109" s="81"/>
      <c r="Z109" s="34"/>
      <c r="AA109" s="34"/>
      <c r="AB109" s="81"/>
      <c r="AC109" s="81"/>
      <c r="AD109" s="81"/>
    </row>
    <row r="110" spans="1:30" s="96" customFormat="1" ht="15.75" hidden="1" customHeight="1">
      <c r="A110" s="3657"/>
      <c r="B110" s="200" t="s">
        <v>22</v>
      </c>
      <c r="C110" s="195" t="s">
        <v>477</v>
      </c>
      <c r="D110" s="56"/>
      <c r="E110" s="201"/>
      <c r="F110" s="36"/>
      <c r="G110" s="632"/>
      <c r="H110" s="611"/>
      <c r="I110" s="611"/>
      <c r="J110" s="611"/>
      <c r="K110" s="611"/>
      <c r="L110" s="611"/>
      <c r="M110" s="611"/>
      <c r="N110" s="611"/>
      <c r="O110" s="611"/>
      <c r="P110" s="611"/>
      <c r="Q110" s="611"/>
      <c r="R110" s="611"/>
      <c r="S110" s="611"/>
      <c r="T110" s="611"/>
      <c r="U110" s="611"/>
      <c r="V110" s="611"/>
      <c r="W110" s="611"/>
      <c r="X110" s="56"/>
      <c r="Y110" s="56"/>
      <c r="Z110" s="196"/>
      <c r="AA110" s="196"/>
      <c r="AB110" s="56"/>
      <c r="AC110" s="56"/>
      <c r="AD110" s="56"/>
    </row>
    <row r="111" spans="1:30" s="96" customFormat="1" ht="15.75" hidden="1" customHeight="1">
      <c r="A111" s="3657"/>
      <c r="B111" s="216" t="s">
        <v>273</v>
      </c>
      <c r="C111" s="190" t="str">
        <f t="shared" si="129"/>
        <v>{"dossier":`p.DossierName5`,"buttonName":"Bewilligen","checkStatus":"Bewilligt"}</v>
      </c>
      <c r="D111" s="81"/>
      <c r="E111" s="34" t="str">
        <f t="shared" si="130"/>
        <v>{"dossier":`p.DossierName5`,"buttonName":"Bewilligen","checkStatus":"Bewilligt"}</v>
      </c>
      <c r="F111" s="610" t="s">
        <v>348</v>
      </c>
      <c r="G111" s="633" t="str">
        <f>G94</f>
        <v>p.DossierName5</v>
      </c>
      <c r="H111" s="610" t="s">
        <v>476</v>
      </c>
      <c r="I111" s="610" t="s">
        <v>136</v>
      </c>
      <c r="J111" s="610" t="s">
        <v>132</v>
      </c>
      <c r="K111" s="610" t="s">
        <v>137</v>
      </c>
      <c r="L111" s="610" t="s">
        <v>37</v>
      </c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81"/>
      <c r="Y111" s="81"/>
      <c r="Z111" s="34"/>
      <c r="AA111" s="34"/>
      <c r="AB111" s="81"/>
      <c r="AC111" s="81"/>
      <c r="AD111" s="81"/>
    </row>
    <row r="112" spans="1:30" s="96" customFormat="1" ht="15.75" hidden="1" customHeight="1">
      <c r="A112" s="3657"/>
      <c r="B112" s="31" t="s">
        <v>134</v>
      </c>
      <c r="C112" s="190" t="str">
        <f t="shared" si="129"/>
        <v>{"username":"Bern.Sachbearbeiterin@diartis.ch","password":"XXxa22?pdTA66-S@"}</v>
      </c>
      <c r="D112" s="81"/>
      <c r="E112" s="34" t="str">
        <f t="shared" si="130"/>
        <v>{"username":"Bern.Sachbearbeiterin@diartis.ch","password":"XXxa22?pdTA66-S@"}</v>
      </c>
      <c r="F112" s="610" t="s">
        <v>29</v>
      </c>
      <c r="G112" s="632" t="s">
        <v>30</v>
      </c>
      <c r="H112" s="610" t="s">
        <v>31</v>
      </c>
      <c r="I112" s="638" t="s">
        <v>32</v>
      </c>
      <c r="J112" s="610" t="s">
        <v>37</v>
      </c>
      <c r="K112" s="635"/>
      <c r="L112" s="610"/>
      <c r="M112" s="610"/>
      <c r="N112" s="610"/>
      <c r="O112" s="610"/>
      <c r="P112" s="610"/>
      <c r="Q112" s="610"/>
      <c r="R112" s="610"/>
      <c r="S112" s="610"/>
      <c r="T112" s="610"/>
      <c r="U112" s="610"/>
      <c r="V112" s="610"/>
      <c r="W112" s="610"/>
      <c r="X112" s="81"/>
      <c r="Y112" s="81"/>
      <c r="Z112" s="34"/>
      <c r="AA112" s="34"/>
      <c r="AB112" s="81"/>
      <c r="AC112" s="81"/>
      <c r="AD112" s="81"/>
    </row>
    <row r="113" spans="1:70" s="96" customFormat="1" ht="15.75" hidden="1" customHeight="1">
      <c r="A113" s="3657"/>
      <c r="B113" s="218" t="s">
        <v>139</v>
      </c>
      <c r="C113" s="190" t="str">
        <f>E113</f>
        <v>{"searchDossierOrKlient":`p.DossierName5`,"resultType":"Dossiers"}</v>
      </c>
      <c r="D113" s="56"/>
      <c r="E113" s="196" t="str">
        <f>F113&amp;G113&amp;H113&amp;I113&amp;J113&amp;K113&amp;L113&amp;M113&amp;N113&amp;O113&amp;P113&amp;Q113&amp;R113&amp;S113&amp;T113&amp;U113&amp;V113&amp;W113&amp;X113</f>
        <v>{"searchDossierOrKlient":`p.DossierName5`,"resultType":"Dossiers"}</v>
      </c>
      <c r="F113" s="610" t="s">
        <v>407</v>
      </c>
      <c r="G113" s="633" t="str">
        <f>G$12</f>
        <v>p.DossierName5</v>
      </c>
      <c r="H113" s="610" t="s">
        <v>408</v>
      </c>
      <c r="I113" s="611" t="s">
        <v>142</v>
      </c>
      <c r="J113" s="610" t="s">
        <v>37</v>
      </c>
      <c r="K113" s="611"/>
      <c r="L113" s="610"/>
      <c r="M113" s="611"/>
      <c r="N113" s="610"/>
      <c r="O113" s="611"/>
      <c r="P113" s="610"/>
      <c r="Q113" s="611"/>
      <c r="R113" s="610"/>
      <c r="S113" s="611"/>
      <c r="T113" s="610"/>
      <c r="U113" s="611"/>
      <c r="V113" s="610"/>
      <c r="W113" s="611"/>
      <c r="X113" s="56"/>
      <c r="Y113" s="56"/>
      <c r="Z113" s="190"/>
      <c r="AA113" s="190"/>
      <c r="AB113" s="190"/>
      <c r="AC113" s="56"/>
      <c r="AD113" s="56"/>
    </row>
    <row r="114" spans="1:70" s="96" customFormat="1" ht="22.5" hidden="1" customHeight="1">
      <c r="A114" s="3657"/>
      <c r="B114" s="56" t="s">
        <v>200</v>
      </c>
      <c r="C114" s="190" t="str">
        <f>E114</f>
        <v xml:space="preserve">{"verwendungPeriode":"April 2025,Oktober 2024,November 2024,Dezember 2024,Januar 2025,Februar 2025,März 2025","status":"Zu bezahlen"}																				
</v>
      </c>
      <c r="D114" s="81"/>
      <c r="E114" s="196" t="str">
        <f>F114&amp;G114&amp;H114&amp;I114&amp;J114&amp;K114&amp;L114&amp;M114&amp;N114&amp;O114&amp;P114&amp;Q114&amp;R114&amp;S114&amp;T114&amp;U114&amp;V114&amp;W114&amp;X114</f>
        <v xml:space="preserve">{"verwendungPeriode":"April 2025,Oktober 2024,November 2024,Dezember 2024,Januar 2025,Februar 2025,März 2025","status":"Zu bezahlen"}																				
</v>
      </c>
      <c r="F114" s="610" t="s">
        <v>201</v>
      </c>
      <c r="G114" s="610" t="str">
        <f>C137&amp;","&amp;C138&amp;","&amp;C139&amp;","&amp;C140&amp;","&amp;C141&amp;","&amp;C142&amp;","&amp;C143</f>
        <v>April 2025,Oktober 2024,November 2024,Dezember 2024,Januar 2025,Februar 2025,März 2025</v>
      </c>
      <c r="H114" s="610"/>
      <c r="I114" s="634"/>
      <c r="J114" s="610" t="s">
        <v>202</v>
      </c>
      <c r="K114" s="635" t="s">
        <v>203</v>
      </c>
      <c r="L114" s="36" t="s">
        <v>204</v>
      </c>
      <c r="M114" s="610"/>
      <c r="N114" s="610"/>
      <c r="O114" s="610"/>
      <c r="P114" s="610"/>
      <c r="Q114" s="610"/>
      <c r="R114" s="610"/>
      <c r="S114" s="610"/>
      <c r="T114" s="610"/>
      <c r="U114" s="610"/>
      <c r="V114" s="610"/>
      <c r="W114" s="610"/>
      <c r="X114" s="81"/>
      <c r="Y114" s="81"/>
      <c r="Z114" s="34"/>
      <c r="AA114" s="34"/>
      <c r="AB114" s="81"/>
      <c r="AC114" s="81"/>
      <c r="AD114" s="81"/>
    </row>
    <row r="115" spans="1:70" s="96" customFormat="1" ht="44.25" hidden="1" customHeight="1">
      <c r="A115" s="3657"/>
      <c r="B115" s="192" t="s">
        <v>205</v>
      </c>
      <c r="C115" s="190" t="str">
        <f ca="1">E115</f>
        <v>{"haftungsType":"Einseitige Solidarhaftung erfassen","haftungDurch":`${p.FamilyName5}, ${p.ManFirstName5}`,"haftungVon":"01.11.2024","haftungBis":"31.12.2024","haftungFuer":`${p.FamilyName5}, ${p.WomanFirstName5}`,"person1":"","person2":""}</v>
      </c>
      <c r="D115" s="71"/>
      <c r="E115" s="196" t="str">
        <f ca="1">F115&amp;G115&amp;H115&amp;I115&amp;J115&amp;K115&amp;L115&amp;M115&amp;N115&amp;O115&amp;P115&amp;Q115&amp;R115&amp;S115&amp;T115&amp;U115&amp;V115&amp;W115&amp;X115</f>
        <v>{"haftungsType":"Einseitige Solidarhaftung erfassen","haftungDurch":`${p.FamilyName5}, ${p.ManFirstName5}`,"haftungVon":"01.11.2024","haftungBis":"31.12.2024","haftungFuer":`${p.FamilyName5}, ${p.WomanFirstName5}`,"person1":"","person2":""}</v>
      </c>
      <c r="F115" s="610" t="s">
        <v>206</v>
      </c>
      <c r="G115" s="610" t="s">
        <v>207</v>
      </c>
      <c r="H115" s="610" t="s">
        <v>208</v>
      </c>
      <c r="I115" s="610" t="str">
        <f>I28</f>
        <v>${p.FamilyName5}, ${p.ManFirstName5}</v>
      </c>
      <c r="J115" s="610" t="s">
        <v>209</v>
      </c>
      <c r="K115" s="610" t="str">
        <f ca="1">"01."&amp;MONTH(TODAY())&amp;".2024"</f>
        <v>01.11.2024</v>
      </c>
      <c r="L115" s="610" t="s">
        <v>210</v>
      </c>
      <c r="M115" s="634" t="s">
        <v>223</v>
      </c>
      <c r="N115" s="610" t="s">
        <v>211</v>
      </c>
      <c r="O115" s="610" t="str">
        <f>"${"&amp;$G$5&amp;"}, ${"&amp;$H$135&amp;"}"</f>
        <v>${p.FamilyName5}, ${p.WomanFirstName5}</v>
      </c>
      <c r="P115" s="610" t="s">
        <v>212</v>
      </c>
      <c r="Q115" s="635"/>
      <c r="R115" s="610" t="s">
        <v>213</v>
      </c>
      <c r="S115" s="610"/>
      <c r="T115" s="610" t="s">
        <v>37</v>
      </c>
      <c r="U115" s="610"/>
      <c r="V115" s="610"/>
      <c r="W115" s="610"/>
      <c r="X115" s="71"/>
      <c r="Y115" s="71"/>
      <c r="Z115" s="202"/>
      <c r="AA115" s="202"/>
      <c r="AB115" s="71"/>
      <c r="AC115" s="71"/>
      <c r="AD115" s="71"/>
    </row>
    <row r="116" spans="1:70" s="96" customFormat="1" ht="44.25" hidden="1" customHeight="1">
      <c r="A116" s="3657"/>
      <c r="B116" s="192" t="s">
        <v>205</v>
      </c>
      <c r="C116" s="190" t="str">
        <f ca="1">E116</f>
        <v>{"haftungsType":"Einzelhaftung erfassen","haftungDurch":`${p.FamilyName5}, ${p.ManFirstName5}`,"haftungVon":"01.11.2024","haftungBis":"31.12.2024","haftungFuer":`${p.FamilyName5}, ${p.GirlFirstName5}`,"person1":"","person2":""}</v>
      </c>
      <c r="D116" s="71"/>
      <c r="E116" s="196" t="str">
        <f ca="1">F116&amp;G116&amp;H116&amp;I116&amp;J116&amp;K116&amp;L116&amp;M116&amp;N116&amp;O116&amp;P116&amp;Q116&amp;R116&amp;S116&amp;T116&amp;U116&amp;V116&amp;W116&amp;X116</f>
        <v>{"haftungsType":"Einzelhaftung erfassen","haftungDurch":`${p.FamilyName5}, ${p.ManFirstName5}`,"haftungVon":"01.11.2024","haftungBis":"31.12.2024","haftungFuer":`${p.FamilyName5}, ${p.GirlFirstName5}`,"person1":"","person2":""}</v>
      </c>
      <c r="F116" s="610" t="s">
        <v>206</v>
      </c>
      <c r="G116" s="610" t="s">
        <v>214</v>
      </c>
      <c r="H116" s="610" t="s">
        <v>208</v>
      </c>
      <c r="I116" s="610" t="str">
        <f>I28</f>
        <v>${p.FamilyName5}, ${p.ManFirstName5}</v>
      </c>
      <c r="J116" s="610" t="s">
        <v>209</v>
      </c>
      <c r="K116" s="610" t="str">
        <f ca="1">"01."&amp;MONTH(TODAY())&amp;".2024"</f>
        <v>01.11.2024</v>
      </c>
      <c r="L116" s="610" t="s">
        <v>210</v>
      </c>
      <c r="M116" s="634" t="s">
        <v>223</v>
      </c>
      <c r="N116" s="610" t="s">
        <v>211</v>
      </c>
      <c r="O116" s="610" t="str">
        <f>"${"&amp;$G$5&amp;"}, ${"&amp;$H$136&amp;"}"</f>
        <v>${p.FamilyName5}, ${p.GirlFirstName5}</v>
      </c>
      <c r="P116" s="610" t="s">
        <v>212</v>
      </c>
      <c r="Q116" s="635"/>
      <c r="R116" s="610" t="s">
        <v>213</v>
      </c>
      <c r="S116" s="610"/>
      <c r="T116" s="610" t="s">
        <v>37</v>
      </c>
      <c r="U116" s="610"/>
      <c r="V116" s="610"/>
      <c r="W116" s="610"/>
      <c r="X116" s="71"/>
      <c r="Y116" s="71"/>
      <c r="Z116" s="202"/>
      <c r="AA116" s="202"/>
      <c r="AB116" s="71"/>
      <c r="AC116" s="71"/>
      <c r="AD116" s="71"/>
    </row>
    <row r="117" spans="1:70" s="96" customFormat="1" ht="15.75" hidden="1" customHeight="1">
      <c r="A117" s="3657"/>
      <c r="B117" s="194" t="s">
        <v>22</v>
      </c>
      <c r="C117" s="195" t="s">
        <v>23</v>
      </c>
      <c r="D117" s="197"/>
      <c r="E117" s="215"/>
      <c r="F117" s="36"/>
      <c r="G117" s="610"/>
      <c r="H117" s="610"/>
      <c r="I117" s="610"/>
      <c r="J117" s="610"/>
      <c r="K117" s="610"/>
      <c r="L117" s="610"/>
      <c r="M117" s="610"/>
      <c r="N117" s="610"/>
      <c r="O117" s="610"/>
      <c r="P117" s="610"/>
      <c r="Q117" s="610"/>
      <c r="R117" s="610"/>
      <c r="S117" s="610"/>
      <c r="T117" s="610"/>
      <c r="U117" s="610"/>
      <c r="V117" s="610"/>
      <c r="W117" s="610"/>
      <c r="X117" s="197"/>
      <c r="Y117" s="197"/>
      <c r="Z117" s="204"/>
      <c r="AA117" s="204"/>
      <c r="AB117" s="197"/>
      <c r="AC117" s="197"/>
      <c r="AD117" s="197"/>
    </row>
    <row r="118" spans="1:70" s="96" customFormat="1" ht="15.75" hidden="1" customHeight="1">
      <c r="A118" s="3657"/>
      <c r="B118" s="192" t="s">
        <v>216</v>
      </c>
      <c r="C118" s="190"/>
      <c r="D118" s="71"/>
      <c r="E118" s="202"/>
      <c r="F118" s="610"/>
      <c r="G118" s="610"/>
      <c r="H118" s="610"/>
      <c r="I118" s="610"/>
      <c r="J118" s="610"/>
      <c r="K118" s="610"/>
      <c r="L118" s="610"/>
      <c r="M118" s="634"/>
      <c r="N118" s="610"/>
      <c r="O118" s="610"/>
      <c r="P118" s="610"/>
      <c r="Q118" s="635"/>
      <c r="R118" s="610"/>
      <c r="S118" s="610"/>
      <c r="T118" s="610"/>
      <c r="U118" s="610"/>
      <c r="V118" s="610"/>
      <c r="W118" s="610"/>
      <c r="X118" s="71"/>
      <c r="Y118" s="71"/>
      <c r="Z118" s="202"/>
      <c r="AA118" s="202"/>
      <c r="AB118" s="71"/>
      <c r="AC118" s="71"/>
      <c r="AD118" s="71"/>
    </row>
    <row r="119" spans="1:70" s="96" customFormat="1" ht="15.75" hidden="1" customHeight="1">
      <c r="A119" s="3657"/>
      <c r="B119" s="194" t="s">
        <v>22</v>
      </c>
      <c r="C119" s="195" t="s">
        <v>473</v>
      </c>
      <c r="D119" s="197"/>
      <c r="E119" s="215"/>
      <c r="F119" s="36"/>
      <c r="G119" s="610"/>
      <c r="H119" s="610"/>
      <c r="I119" s="610"/>
      <c r="J119" s="610"/>
      <c r="K119" s="610"/>
      <c r="L119" s="610"/>
      <c r="M119" s="610"/>
      <c r="N119" s="610"/>
      <c r="O119" s="610"/>
      <c r="P119" s="610"/>
      <c r="Q119" s="610"/>
      <c r="R119" s="610"/>
      <c r="S119" s="610"/>
      <c r="T119" s="610"/>
      <c r="U119" s="610"/>
      <c r="V119" s="610"/>
      <c r="W119" s="610"/>
      <c r="X119" s="197"/>
      <c r="Y119" s="197"/>
      <c r="Z119" s="204"/>
      <c r="AA119" s="204"/>
      <c r="AB119" s="197"/>
      <c r="AC119" s="197"/>
      <c r="AD119" s="197"/>
    </row>
    <row r="120" spans="1:70" s="96" customFormat="1" ht="15.75" hidden="1" customHeight="1">
      <c r="A120" s="3657"/>
      <c r="B120" s="194" t="s">
        <v>139</v>
      </c>
      <c r="C120" s="195" t="str">
        <f>E120</f>
        <v>{"searchDossierOrKlient":`p.DossierName5`,"resultType":"Dossiers"}</v>
      </c>
      <c r="D120" s="90"/>
      <c r="E120" s="204" t="str">
        <f>F120&amp;G120&amp;H120&amp;I120&amp;J120&amp;K120&amp;L120&amp;M120&amp;N120&amp;O120&amp;P120&amp;Q120&amp;R120&amp;S120&amp;T120&amp;U120&amp;V120&amp;W120&amp;X120</f>
        <v>{"searchDossierOrKlient":`p.DossierName5`,"resultType":"Dossiers"}</v>
      </c>
      <c r="F120" s="610" t="s">
        <v>407</v>
      </c>
      <c r="G120" s="635" t="str">
        <f>G111</f>
        <v>p.DossierName5</v>
      </c>
      <c r="H120" s="610" t="s">
        <v>408</v>
      </c>
      <c r="I120" s="611" t="s">
        <v>142</v>
      </c>
      <c r="J120" s="610" t="s">
        <v>37</v>
      </c>
      <c r="K120" s="611"/>
      <c r="L120" s="610"/>
      <c r="M120" s="611"/>
      <c r="N120" s="610"/>
      <c r="O120" s="611"/>
      <c r="P120" s="610"/>
      <c r="Q120" s="611"/>
      <c r="R120" s="610"/>
      <c r="S120" s="611"/>
      <c r="T120" s="610"/>
      <c r="U120" s="611"/>
      <c r="V120" s="610"/>
      <c r="W120" s="611"/>
      <c r="X120" s="90"/>
      <c r="Y120" s="90"/>
      <c r="Z120" s="204"/>
      <c r="AA120" s="204"/>
      <c r="AB120" s="90"/>
      <c r="AC120" s="90"/>
      <c r="AD120" s="90"/>
    </row>
    <row r="121" spans="1:70" s="96" customFormat="1" ht="18.75" hidden="1" customHeight="1">
      <c r="A121" s="3657"/>
      <c r="B121" s="221" t="s">
        <v>217</v>
      </c>
      <c r="C121" s="195" t="str">
        <f>E121</f>
        <v>{"dossierInstitution":`p.DossierName5`,"freigegebeneZahlungen":"7"}</v>
      </c>
      <c r="D121" s="90"/>
      <c r="E121" s="204" t="str">
        <f>F121&amp;G121&amp;H121&amp;I121&amp;J121&amp;K121&amp;L121&amp;M121&amp;N121&amp;O121&amp;P121&amp;Q121&amp;R121&amp;S121&amp;T121&amp;U121&amp;V121&amp;W121&amp;X121</f>
        <v>{"dossierInstitution":`p.DossierName5`,"freigegebeneZahlungen":"7"}</v>
      </c>
      <c r="F121" s="633" t="s">
        <v>335</v>
      </c>
      <c r="G121" s="635" t="str">
        <f>G120</f>
        <v>p.DossierName5</v>
      </c>
      <c r="H121" s="610" t="s">
        <v>479</v>
      </c>
      <c r="I121" s="610">
        <v>7</v>
      </c>
      <c r="J121" s="610" t="s">
        <v>37</v>
      </c>
      <c r="K121" s="611"/>
      <c r="L121" s="610"/>
      <c r="M121" s="611"/>
      <c r="N121" s="610"/>
      <c r="O121" s="611"/>
      <c r="P121" s="610"/>
      <c r="Q121" s="611"/>
      <c r="R121" s="610"/>
      <c r="S121" s="611"/>
      <c r="T121" s="610"/>
      <c r="U121" s="611"/>
      <c r="V121" s="610"/>
      <c r="W121" s="611"/>
      <c r="X121" s="90"/>
      <c r="Y121" s="90"/>
      <c r="Z121" s="204"/>
      <c r="AA121" s="204"/>
      <c r="AB121" s="90"/>
      <c r="AC121" s="90"/>
      <c r="AD121" s="90"/>
    </row>
    <row r="122" spans="1:70" s="96" customFormat="1" ht="15.75" hidden="1" customHeight="1">
      <c r="A122" s="3657"/>
      <c r="B122" s="194" t="s">
        <v>134</v>
      </c>
      <c r="C122" s="190" t="str">
        <f>E122</f>
        <v>{"username":"Bern.Buchhalter@diartis.ch","password":"HBcc73+ppTX42?E."}</v>
      </c>
      <c r="D122" s="90"/>
      <c r="E122" s="204" t="str">
        <f>F122&amp;G122&amp;H122&amp;I122&amp;J122&amp;K122&amp;L122&amp;M122&amp;N122&amp;O122&amp;P122&amp;Q122&amp;R122&amp;S122&amp;T122&amp;U122&amp;V122&amp;W122&amp;X122</f>
        <v>{"username":"Bern.Buchhalter@diartis.ch","password":"HBcc73+ppTX42?E."}</v>
      </c>
      <c r="F122" s="610" t="s">
        <v>29</v>
      </c>
      <c r="G122" s="611" t="s">
        <v>219</v>
      </c>
      <c r="H122" s="610" t="s">
        <v>31</v>
      </c>
      <c r="I122" s="611" t="s">
        <v>220</v>
      </c>
      <c r="J122" s="610" t="s">
        <v>37</v>
      </c>
      <c r="K122" s="635"/>
      <c r="L122" s="610"/>
      <c r="M122" s="611"/>
      <c r="N122" s="610"/>
      <c r="O122" s="611"/>
      <c r="P122" s="610"/>
      <c r="Q122" s="611"/>
      <c r="R122" s="610"/>
      <c r="S122" s="611"/>
      <c r="T122" s="610"/>
      <c r="U122" s="611"/>
      <c r="V122" s="610"/>
      <c r="W122" s="611"/>
      <c r="X122" s="90"/>
      <c r="Y122" s="90"/>
      <c r="Z122" s="90"/>
      <c r="AA122" s="90"/>
      <c r="AB122" s="90"/>
      <c r="AC122" s="90"/>
      <c r="AD122" s="90"/>
    </row>
    <row r="123" spans="1:70" s="96" customFormat="1" ht="15.75" hidden="1" customHeight="1">
      <c r="A123" s="3660"/>
      <c r="B123" s="194" t="s">
        <v>139</v>
      </c>
      <c r="C123" s="195" t="str">
        <f>C120</f>
        <v>{"searchDossierOrKlient":`p.DossierName5`,"resultType":"Dossiers"}</v>
      </c>
      <c r="D123" s="90"/>
      <c r="E123" s="204" t="str">
        <f>F123&amp;G123&amp;H123&amp;I123&amp;J123&amp;K123&amp;L123&amp;M123&amp;N123&amp;O123&amp;P123&amp;Q123&amp;R123&amp;S123&amp;T123&amp;U123&amp;V123&amp;W123&amp;X123</f>
        <v>{"searchDossierOrKlient":`p.DossierName5`,"resultType":"Dossiers"}</v>
      </c>
      <c r="F123" s="610" t="s">
        <v>407</v>
      </c>
      <c r="G123" s="635" t="str">
        <f>G120</f>
        <v>p.DossierName5</v>
      </c>
      <c r="H123" s="610" t="s">
        <v>408</v>
      </c>
      <c r="I123" s="611" t="s">
        <v>142</v>
      </c>
      <c r="J123" s="610" t="s">
        <v>37</v>
      </c>
      <c r="K123" s="611"/>
      <c r="L123" s="610"/>
      <c r="M123" s="611"/>
      <c r="N123" s="610"/>
      <c r="O123" s="611"/>
      <c r="P123" s="610"/>
      <c r="Q123" s="611"/>
      <c r="R123" s="610"/>
      <c r="S123" s="611"/>
      <c r="T123" s="610"/>
      <c r="U123" s="611"/>
      <c r="V123" s="610"/>
      <c r="W123" s="611"/>
      <c r="X123" s="90"/>
      <c r="Y123" s="90"/>
      <c r="Z123" s="90"/>
      <c r="AA123" s="90"/>
      <c r="AB123" s="90"/>
      <c r="AC123" s="90"/>
      <c r="AD123" s="90"/>
    </row>
    <row r="124" spans="1:70" s="96" customFormat="1" ht="15.75" hidden="1" customHeight="1">
      <c r="A124" s="3657"/>
      <c r="B124" s="221" t="s">
        <v>22</v>
      </c>
      <c r="C124" s="195" t="s">
        <v>23</v>
      </c>
      <c r="D124" s="90"/>
      <c r="E124" s="215"/>
      <c r="F124" s="36"/>
      <c r="G124" s="611"/>
      <c r="H124" s="611"/>
      <c r="I124" s="611"/>
      <c r="J124" s="611"/>
      <c r="K124" s="611"/>
      <c r="L124" s="611"/>
      <c r="M124" s="611"/>
      <c r="N124" s="611"/>
      <c r="O124" s="611"/>
      <c r="P124" s="611"/>
      <c r="Q124" s="611"/>
      <c r="R124" s="611"/>
      <c r="S124" s="611"/>
      <c r="T124" s="611"/>
      <c r="U124" s="611"/>
      <c r="V124" s="611"/>
      <c r="W124" s="611"/>
      <c r="X124" s="90"/>
      <c r="Y124" s="90"/>
      <c r="Z124" s="90"/>
      <c r="AA124" s="90"/>
      <c r="AB124" s="90"/>
      <c r="AC124" s="90"/>
      <c r="AD124" s="90"/>
    </row>
    <row r="125" spans="1:70" ht="15.75" hidden="1" customHeight="1">
      <c r="A125" s="3657"/>
      <c r="B125" s="222" t="s">
        <v>221</v>
      </c>
      <c r="C125" s="195" t="str">
        <f>E125</f>
        <v>{"bisValutaDatum":"31.12.2024","dossier":`p.DossierName5`,"checkZahlungTotal":"","buchhaltung":"Regionaler Sozialdienst","zustGemeinde":""}</v>
      </c>
      <c r="D125" s="90"/>
      <c r="E125" s="204" t="str">
        <f>F125&amp;G125&amp;H125&amp;I125&amp;J125&amp;K125&amp;L125&amp;M125&amp;N125&amp;O125&amp;P125&amp;Q125&amp;R125&amp;S125&amp;T125&amp;U125&amp;V125&amp;W125&amp;X125</f>
        <v>{"bisValutaDatum":"31.12.2024","dossier":`p.DossierName5`,"checkZahlungTotal":"","buchhaltung":"Regionaler Sozialdienst","zustGemeinde":""}</v>
      </c>
      <c r="F125" s="610" t="s">
        <v>222</v>
      </c>
      <c r="G125" s="611" t="s">
        <v>223</v>
      </c>
      <c r="H125" s="610" t="s">
        <v>480</v>
      </c>
      <c r="I125" s="635" t="str">
        <f>G111</f>
        <v>p.DossierName5</v>
      </c>
      <c r="J125" s="610" t="s">
        <v>481</v>
      </c>
      <c r="K125" s="634"/>
      <c r="L125" s="610" t="s">
        <v>482</v>
      </c>
      <c r="M125" s="611" t="s">
        <v>483</v>
      </c>
      <c r="N125" s="610" t="s">
        <v>484</v>
      </c>
      <c r="O125" s="611"/>
      <c r="P125" s="610" t="s">
        <v>37</v>
      </c>
      <c r="Q125" s="611"/>
      <c r="S125" s="611"/>
      <c r="U125" s="611"/>
      <c r="W125" s="611"/>
      <c r="X125" s="90"/>
    </row>
    <row r="126" spans="1:70" s="96" customFormat="1" ht="15.75" hidden="1" customHeight="1">
      <c r="A126" s="3657"/>
      <c r="B126" s="194" t="s">
        <v>22</v>
      </c>
      <c r="C126" s="195" t="s">
        <v>23</v>
      </c>
      <c r="D126" s="197"/>
      <c r="E126" s="215"/>
      <c r="F126" s="36"/>
      <c r="G126" s="610"/>
      <c r="H126" s="610"/>
      <c r="I126" s="610"/>
      <c r="J126" s="610"/>
      <c r="K126" s="610"/>
      <c r="L126" s="610"/>
      <c r="M126" s="610"/>
      <c r="N126" s="610"/>
      <c r="O126" s="610"/>
      <c r="P126" s="610"/>
      <c r="Q126" s="610"/>
      <c r="R126" s="610"/>
      <c r="S126" s="610"/>
      <c r="T126" s="610"/>
      <c r="U126" s="610"/>
      <c r="V126" s="610"/>
      <c r="W126" s="610"/>
      <c r="X126" s="197"/>
      <c r="Y126" s="197"/>
      <c r="Z126" s="197"/>
      <c r="AA126" s="197"/>
      <c r="AB126" s="197"/>
      <c r="AC126" s="197"/>
      <c r="AD126" s="197"/>
    </row>
    <row r="127" spans="1:70" s="96" customFormat="1" ht="18" hidden="1" customHeight="1">
      <c r="A127" s="3661"/>
      <c r="B127" s="212" t="s">
        <v>229</v>
      </c>
      <c r="C127" s="190" t="str">
        <f>E127</f>
        <v>{"dossier":`p.DossierName5`,"ausgefuehrteZahlungen":"5"}</v>
      </c>
      <c r="D127" s="190"/>
      <c r="E127" s="204" t="str">
        <f>F127&amp;G127&amp;H127&amp;I127&amp;J127&amp;K127&amp;L127&amp;M127&amp;N127&amp;O127&amp;P127&amp;Q127&amp;R127&amp;S127&amp;T127&amp;U127&amp;V127&amp;W127</f>
        <v>{"dossier":`p.DossierName5`,"ausgefuehrteZahlungen":"5"}</v>
      </c>
      <c r="F127" s="36" t="s">
        <v>348</v>
      </c>
      <c r="G127" s="635" t="str">
        <f>G123</f>
        <v>p.DossierName5</v>
      </c>
      <c r="H127" s="36" t="s">
        <v>485</v>
      </c>
      <c r="I127" s="610">
        <v>5</v>
      </c>
      <c r="J127" s="36" t="s">
        <v>37</v>
      </c>
      <c r="K127" s="36"/>
      <c r="L127" s="36"/>
      <c r="M127" s="36"/>
      <c r="N127" s="36"/>
      <c r="O127" s="610"/>
      <c r="P127" s="36"/>
      <c r="Q127" s="36"/>
      <c r="R127" s="36"/>
      <c r="S127" s="36"/>
      <c r="T127" s="36"/>
      <c r="U127" s="36"/>
      <c r="V127" s="36"/>
      <c r="W127" s="36"/>
      <c r="X127" s="4"/>
      <c r="Y127" s="2"/>
      <c r="Z127" s="2"/>
      <c r="AA127" s="2"/>
      <c r="AB127" s="2"/>
      <c r="AC127" s="2"/>
      <c r="AD127" s="2"/>
    </row>
    <row r="128" spans="1:70" ht="15.75" customHeight="1">
      <c r="A128" s="3661"/>
      <c r="B128" s="31" t="s">
        <v>134</v>
      </c>
      <c r="C128" s="203" t="s">
        <v>138</v>
      </c>
      <c r="E128" s="4" t="str">
        <f>F128&amp;G128&amp;H128&amp;I128&amp;J128&amp;K128&amp;L128&amp;M128&amp;N128&amp;O128&amp;P128&amp;Q128&amp;R128&amp;S128&amp;T128&amp;U128&amp;V128&amp;W128&amp;X128</f>
        <v>{"username":"Bern.Sachbearbeiterin@diartis.ch","password":"XXxa22?pdTA66-S@"}</v>
      </c>
      <c r="F128" s="610" t="s">
        <v>29</v>
      </c>
      <c r="G128" s="36" t="s">
        <v>30</v>
      </c>
      <c r="H128" s="610" t="s">
        <v>31</v>
      </c>
      <c r="I128" s="36" t="s">
        <v>32</v>
      </c>
      <c r="J128" s="610" t="s">
        <v>37</v>
      </c>
      <c r="BI128" s="4">
        <f>SUM(BI2:BI42)</f>
        <v>79794.999005469916</v>
      </c>
      <c r="BL128" s="4">
        <f>SUM(BL2:BL42)</f>
        <v>103457.00397812034</v>
      </c>
      <c r="BN128" s="4">
        <f>SUM(BN2:BN42)</f>
        <v>89418.998508204866</v>
      </c>
      <c r="BP128" s="4">
        <f>SUM(BP2:BP42)</f>
        <v>95092.997016409747</v>
      </c>
      <c r="BR128" s="4">
        <f>SUM(BR2:BR42)</f>
        <v>83044.000497265049</v>
      </c>
    </row>
    <row r="129" spans="1:30" s="96" customFormat="1" ht="15.75" customHeight="1">
      <c r="A129" s="3661"/>
      <c r="B129" s="223" t="s">
        <v>235</v>
      </c>
      <c r="C129" s="224" t="s">
        <v>486</v>
      </c>
      <c r="D129" s="31">
        <v>10000</v>
      </c>
      <c r="E129" s="224"/>
      <c r="F129" s="610"/>
      <c r="G129" s="610"/>
      <c r="H129" s="610"/>
      <c r="I129" s="610"/>
      <c r="J129" s="610"/>
      <c r="K129" s="610"/>
      <c r="L129" s="610"/>
      <c r="M129" s="610"/>
      <c r="N129" s="610"/>
      <c r="O129" s="610"/>
      <c r="P129" s="610"/>
      <c r="Q129" s="610"/>
      <c r="R129" s="610"/>
      <c r="S129" s="610"/>
      <c r="T129" s="610"/>
      <c r="U129" s="610"/>
      <c r="V129" s="610"/>
      <c r="W129" s="610"/>
      <c r="X129" s="225"/>
      <c r="Y129" s="225"/>
      <c r="Z129" s="225"/>
      <c r="AA129" s="225"/>
      <c r="AB129" s="225"/>
      <c r="AC129" s="225"/>
      <c r="AD129" s="225"/>
    </row>
    <row r="130" spans="1:30" s="96" customFormat="1" ht="15.75" customHeight="1">
      <c r="A130" s="3661"/>
      <c r="B130" s="225" t="s">
        <v>487</v>
      </c>
      <c r="C130" s="224"/>
      <c r="D130" s="225"/>
      <c r="E130" s="224"/>
      <c r="F130" s="610"/>
      <c r="G130" s="610"/>
      <c r="H130" s="610"/>
      <c r="I130" s="610"/>
      <c r="J130" s="610"/>
      <c r="K130" s="610"/>
      <c r="L130" s="610"/>
      <c r="M130" s="610"/>
      <c r="N130" s="610"/>
      <c r="O130" s="610"/>
      <c r="P130" s="610"/>
      <c r="Q130" s="610"/>
      <c r="R130" s="610"/>
      <c r="S130" s="610"/>
      <c r="T130" s="610"/>
      <c r="U130" s="610"/>
      <c r="V130" s="610"/>
      <c r="W130" s="610"/>
      <c r="X130" s="225"/>
      <c r="Y130" s="225"/>
      <c r="Z130" s="225"/>
      <c r="AA130" s="225"/>
      <c r="AB130" s="225"/>
      <c r="AC130" s="225"/>
      <c r="AD130" s="225"/>
    </row>
    <row r="131" spans="1:30" s="96" customFormat="1" ht="15.75" customHeight="1">
      <c r="A131" s="3661"/>
      <c r="B131" s="223" t="s">
        <v>233</v>
      </c>
      <c r="C131" s="224"/>
      <c r="D131" s="225"/>
      <c r="E131" s="224"/>
      <c r="F131" s="610"/>
      <c r="G131" s="610"/>
      <c r="H131" s="610"/>
      <c r="I131" s="610"/>
      <c r="J131" s="610"/>
      <c r="K131" s="610"/>
      <c r="L131" s="610"/>
      <c r="M131" s="610"/>
      <c r="N131" s="610"/>
      <c r="O131" s="610"/>
      <c r="P131" s="610"/>
      <c r="Q131" s="610"/>
      <c r="R131" s="610"/>
      <c r="S131" s="610"/>
      <c r="T131" s="610"/>
      <c r="U131" s="610"/>
      <c r="V131" s="610"/>
      <c r="W131" s="610"/>
      <c r="X131" s="225"/>
      <c r="Y131" s="225"/>
      <c r="Z131" s="225"/>
      <c r="AA131" s="225"/>
      <c r="AB131" s="225"/>
      <c r="AC131" s="225"/>
      <c r="AD131" s="225"/>
    </row>
    <row r="132" spans="1:30" s="96" customFormat="1" ht="15.75" customHeight="1">
      <c r="A132" s="3661"/>
      <c r="B132" s="225" t="s">
        <v>231</v>
      </c>
      <c r="C132" s="224"/>
      <c r="D132" s="225"/>
      <c r="E132" s="224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  <c r="Q132" s="610"/>
      <c r="R132" s="610"/>
      <c r="S132" s="610"/>
      <c r="T132" s="610"/>
      <c r="U132" s="610"/>
      <c r="V132" s="610"/>
      <c r="W132" s="610"/>
      <c r="X132" s="225"/>
      <c r="Y132" s="225"/>
      <c r="Z132" s="225"/>
      <c r="AA132" s="225"/>
      <c r="AB132" s="225"/>
      <c r="AC132" s="225"/>
      <c r="AD132" s="225"/>
    </row>
    <row r="133" spans="1:30" s="96" customFormat="1" ht="15.75" customHeight="1">
      <c r="A133" s="3661"/>
      <c r="B133" s="225"/>
      <c r="C133" s="224"/>
      <c r="D133" s="225"/>
      <c r="E133" s="224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225"/>
      <c r="Y133" s="225"/>
      <c r="Z133" s="225"/>
      <c r="AA133" s="225"/>
      <c r="AB133" s="225"/>
      <c r="AC133" s="225"/>
      <c r="AD133" s="225"/>
    </row>
    <row r="134" spans="1:30" s="96" customFormat="1" ht="15.75" customHeight="1">
      <c r="A134" s="3661"/>
      <c r="B134" s="226"/>
      <c r="C134" s="224"/>
      <c r="D134" s="225"/>
      <c r="E134" s="224"/>
      <c r="F134" s="610" t="s">
        <v>236</v>
      </c>
      <c r="G134" s="610" t="str">
        <f>"p.DossierName"&amp;G139</f>
        <v>p.DossierName5</v>
      </c>
      <c r="H134" s="610" t="str">
        <f>"p.ManFirstName"&amp;G139</f>
        <v>p.ManFirstName5</v>
      </c>
      <c r="I134" s="610" t="str">
        <f>"p.AHVNumber"&amp;G141</f>
        <v>p.AHVNumber17</v>
      </c>
      <c r="J134" s="635" t="str">
        <f>"p.BirthdayAdult"&amp;G139</f>
        <v>p.BirthdayAdult5</v>
      </c>
      <c r="K134" s="610"/>
      <c r="L134" s="610"/>
      <c r="M134" s="610"/>
      <c r="N134" s="610"/>
      <c r="O134" s="610"/>
      <c r="P134" s="610"/>
      <c r="Q134" s="610"/>
      <c r="R134" s="610"/>
      <c r="S134" s="610"/>
      <c r="T134" s="610"/>
      <c r="U134" s="610"/>
      <c r="V134" s="610"/>
      <c r="W134" s="610"/>
      <c r="X134" s="225"/>
      <c r="Y134" s="225"/>
      <c r="Z134" s="225"/>
      <c r="AA134" s="225"/>
      <c r="AB134" s="225"/>
      <c r="AC134" s="225"/>
      <c r="AD134" s="225"/>
    </row>
    <row r="135" spans="1:30" s="96" customFormat="1" ht="15.75" customHeight="1">
      <c r="A135" s="3661"/>
      <c r="B135" s="225" t="s">
        <v>234</v>
      </c>
      <c r="C135" s="224"/>
      <c r="D135" s="225"/>
      <c r="E135" s="224"/>
      <c r="F135" s="610" t="s">
        <v>237</v>
      </c>
      <c r="G135" s="610" t="str">
        <f>"p.FamilyName"&amp;G139</f>
        <v>p.FamilyName5</v>
      </c>
      <c r="H135" s="610" t="str">
        <f>"p.WomanFirstName"&amp;G139</f>
        <v>p.WomanFirstName5</v>
      </c>
      <c r="I135" s="610" t="str">
        <f>"p.AHVNumber"&amp;G141+1</f>
        <v>p.AHVNumber18</v>
      </c>
      <c r="J135" s="635" t="str">
        <f>"p.BirthdayAdult"&amp;G140</f>
        <v>p.BirthdayAdult6</v>
      </c>
      <c r="K135" s="610"/>
      <c r="L135" s="610"/>
      <c r="M135" s="610"/>
      <c r="N135" s="610"/>
      <c r="O135" s="610"/>
      <c r="P135" s="610"/>
      <c r="Q135" s="610"/>
      <c r="R135" s="610"/>
      <c r="S135" s="610"/>
      <c r="T135" s="610"/>
      <c r="U135" s="610"/>
      <c r="V135" s="610"/>
      <c r="W135" s="610"/>
      <c r="X135" s="225"/>
      <c r="Y135" s="225"/>
      <c r="Z135" s="225"/>
      <c r="AA135" s="225"/>
      <c r="AB135" s="225"/>
      <c r="AC135" s="225"/>
      <c r="AD135" s="225"/>
    </row>
    <row r="136" spans="1:30" s="96" customFormat="1" ht="15.75" customHeight="1">
      <c r="A136" s="3661"/>
      <c r="B136" s="226"/>
      <c r="C136" s="224"/>
      <c r="D136" s="225"/>
      <c r="E136" s="224"/>
      <c r="F136" s="610" t="s">
        <v>238</v>
      </c>
      <c r="G136" s="610" t="str">
        <f>G135</f>
        <v>p.FamilyName5</v>
      </c>
      <c r="H136" s="610" t="str">
        <f>"p.GirlFirstName"&amp;G139</f>
        <v>p.GirlFirstName5</v>
      </c>
      <c r="I136" s="610" t="str">
        <f>"p.AHVNumber"&amp;G141+2</f>
        <v>p.AHVNumber19</v>
      </c>
      <c r="J136" s="635" t="str">
        <f>"p.BirthdayKid"&amp;G139</f>
        <v>p.BirthdayKid5</v>
      </c>
      <c r="K136" s="610"/>
      <c r="L136" s="610"/>
      <c r="M136" s="610"/>
      <c r="N136" s="610"/>
      <c r="O136" s="610"/>
      <c r="P136" s="610"/>
      <c r="Q136" s="610"/>
      <c r="R136" s="610"/>
      <c r="S136" s="610"/>
      <c r="T136" s="610"/>
      <c r="U136" s="610"/>
      <c r="V136" s="610"/>
      <c r="W136" s="610"/>
      <c r="X136" s="225"/>
      <c r="Y136" s="225"/>
      <c r="Z136" s="225"/>
      <c r="AA136" s="225"/>
      <c r="AB136" s="225"/>
      <c r="AC136" s="225"/>
      <c r="AD136" s="225"/>
    </row>
    <row r="137" spans="1:30" s="96" customFormat="1" ht="15.75" customHeight="1">
      <c r="A137" s="3661"/>
      <c r="B137" s="227"/>
      <c r="C137" s="228" t="s">
        <v>248</v>
      </c>
      <c r="D137" s="225"/>
      <c r="E137" s="224"/>
      <c r="F137" s="610"/>
      <c r="G137" s="610"/>
      <c r="H137" s="610" t="str">
        <f>"p.ManFirstName"&amp;G140</f>
        <v>p.ManFirstName6</v>
      </c>
      <c r="I137" s="610" t="str">
        <f>"p.AHVNumber"&amp;G141+3</f>
        <v>p.AHVNumber20</v>
      </c>
      <c r="J137" s="635" t="str">
        <f>"p.BirthdayKid"&amp;G140</f>
        <v>p.BirthdayKid6</v>
      </c>
      <c r="K137" s="610"/>
      <c r="L137" s="610"/>
      <c r="M137" s="610"/>
      <c r="N137" s="610"/>
      <c r="O137" s="610"/>
      <c r="P137" s="610"/>
      <c r="Q137" s="610"/>
      <c r="R137" s="610"/>
      <c r="S137" s="610"/>
      <c r="T137" s="610"/>
      <c r="U137" s="610"/>
      <c r="V137" s="610"/>
      <c r="W137" s="610"/>
      <c r="X137" s="225"/>
      <c r="Y137" s="225"/>
      <c r="Z137" s="225"/>
      <c r="AA137" s="225"/>
      <c r="AB137" s="225"/>
      <c r="AC137" s="225"/>
      <c r="AD137" s="225"/>
    </row>
    <row r="138" spans="1:30" s="96" customFormat="1" ht="15.75" customHeight="1">
      <c r="A138" s="3661"/>
      <c r="B138" s="227"/>
      <c r="C138" s="225" t="s">
        <v>241</v>
      </c>
      <c r="D138" s="225"/>
      <c r="E138" s="224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  <c r="Q138" s="610"/>
      <c r="R138" s="610"/>
      <c r="S138" s="610"/>
      <c r="T138" s="610"/>
      <c r="U138" s="610"/>
      <c r="V138" s="610"/>
      <c r="W138" s="610"/>
      <c r="X138" s="225"/>
      <c r="Y138" s="225"/>
      <c r="Z138" s="225"/>
      <c r="AA138" s="225"/>
      <c r="AB138" s="225"/>
      <c r="AC138" s="225"/>
      <c r="AD138" s="225"/>
    </row>
    <row r="139" spans="1:30" s="96" customFormat="1" ht="15.75" customHeight="1">
      <c r="A139" s="3661"/>
      <c r="B139" s="227"/>
      <c r="C139" s="225" t="s">
        <v>242</v>
      </c>
      <c r="D139" s="225"/>
      <c r="E139" s="224"/>
      <c r="F139" s="610" t="s">
        <v>294</v>
      </c>
      <c r="G139" s="610">
        <v>5</v>
      </c>
      <c r="H139" s="610"/>
      <c r="I139" s="610"/>
      <c r="J139" s="610"/>
      <c r="K139" s="610"/>
      <c r="L139" s="610"/>
      <c r="M139" s="610"/>
      <c r="N139" s="610"/>
      <c r="O139" s="610"/>
      <c r="P139" s="610"/>
      <c r="Q139" s="610"/>
      <c r="R139" s="610"/>
      <c r="S139" s="610"/>
      <c r="T139" s="610"/>
      <c r="U139" s="610"/>
      <c r="V139" s="610"/>
      <c r="W139" s="610"/>
      <c r="X139" s="225"/>
      <c r="Y139" s="225"/>
      <c r="Z139" s="225"/>
      <c r="AA139" s="225"/>
      <c r="AB139" s="225"/>
      <c r="AC139" s="225"/>
      <c r="AD139" s="225"/>
    </row>
    <row r="140" spans="1:30" s="96" customFormat="1" ht="15.75" customHeight="1">
      <c r="A140" s="3661"/>
      <c r="B140" s="227"/>
      <c r="C140" s="225" t="s">
        <v>243</v>
      </c>
      <c r="D140" s="225"/>
      <c r="E140" s="224"/>
      <c r="F140" s="610"/>
      <c r="G140" s="610">
        <f>G139+1</f>
        <v>6</v>
      </c>
      <c r="H140" s="610"/>
      <c r="I140" s="610"/>
      <c r="J140" s="610"/>
      <c r="K140" s="610"/>
      <c r="L140" s="610"/>
      <c r="M140" s="610"/>
      <c r="N140" s="610"/>
      <c r="O140" s="610"/>
      <c r="P140" s="610"/>
      <c r="Q140" s="610"/>
      <c r="R140" s="610"/>
      <c r="S140" s="610"/>
      <c r="T140" s="610"/>
      <c r="U140" s="610"/>
      <c r="V140" s="610"/>
      <c r="W140" s="610"/>
      <c r="X140" s="225"/>
      <c r="Y140" s="225"/>
      <c r="Z140" s="225"/>
      <c r="AA140" s="225"/>
      <c r="AB140" s="225"/>
      <c r="AC140" s="225"/>
      <c r="AD140" s="225"/>
    </row>
    <row r="141" spans="1:30" s="96" customFormat="1" ht="15.75" customHeight="1">
      <c r="A141" s="450"/>
      <c r="C141" s="228" t="s">
        <v>244</v>
      </c>
      <c r="D141" s="225"/>
      <c r="E141" s="224"/>
      <c r="F141" s="610"/>
      <c r="G141" s="610">
        <f>G139*4-4+1</f>
        <v>17</v>
      </c>
      <c r="H141" s="610"/>
      <c r="I141" s="610"/>
      <c r="J141" s="610"/>
      <c r="K141" s="610"/>
      <c r="L141" s="610"/>
      <c r="M141" s="610"/>
      <c r="N141" s="610"/>
      <c r="O141" s="610"/>
      <c r="P141" s="610"/>
      <c r="Q141" s="610"/>
      <c r="R141" s="610"/>
      <c r="S141" s="610"/>
      <c r="T141" s="610"/>
      <c r="U141" s="610"/>
      <c r="V141" s="610"/>
      <c r="W141" s="610"/>
    </row>
    <row r="142" spans="1:30" s="96" customFormat="1" ht="15.75" customHeight="1">
      <c r="A142" s="450"/>
      <c r="C142" s="228" t="s">
        <v>246</v>
      </c>
      <c r="D142" s="225"/>
      <c r="E142" s="224"/>
      <c r="F142" s="610"/>
      <c r="G142" s="610"/>
      <c r="H142" s="610"/>
      <c r="I142" s="610"/>
      <c r="J142" s="610"/>
      <c r="K142" s="610"/>
      <c r="L142" s="610"/>
      <c r="M142" s="610"/>
      <c r="N142" s="610"/>
      <c r="O142" s="610"/>
      <c r="P142" s="610"/>
      <c r="Q142" s="610"/>
      <c r="R142" s="610"/>
      <c r="S142" s="610"/>
      <c r="T142" s="610"/>
      <c r="U142" s="610"/>
      <c r="V142" s="610"/>
      <c r="W142" s="610"/>
    </row>
    <row r="143" spans="1:30" s="96" customFormat="1" ht="15.75" customHeight="1">
      <c r="A143" s="450"/>
      <c r="C143" s="228" t="s">
        <v>247</v>
      </c>
      <c r="D143" s="225"/>
      <c r="E143" s="224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  <c r="Q143" s="610"/>
      <c r="R143" s="610"/>
      <c r="S143" s="610"/>
      <c r="T143" s="610"/>
      <c r="U143" s="610"/>
      <c r="V143" s="610"/>
      <c r="W143" s="610"/>
    </row>
  </sheetData>
  <conditionalFormatting sqref="AJ2:AJ40 AL2:AL40 AN2:AN40 AP2:AP40 AR2:AR40 AT2:AT40 AV2:AV40 AX2:AX40 AZ2:AZ40 BB2:BB40 BD2:BD40 BF2:BF40 BH2:BH40 BH42:BH145 BF42:BF145 BD42:BD145 BB42:BB145 AZ42:AZ145 AX42:AX145 AV42:AV145 AT42:AT145 AR42:AR145 AP42:AP145 AN42:AN145 AL42:AL145 AJ42:AJ145">
    <cfRule type="colorScale" priority="3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41 AO41 AQ41 AS41 AU41 AW41 AY41 BC41 BE41">
    <cfRule type="colorScale" priority="2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41">
    <cfRule type="colorScale" priority="2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41">
    <cfRule type="colorScale" priority="2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K2:BK40 BK42:BK145">
    <cfRule type="colorScale" priority="2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41">
    <cfRule type="colorScale" priority="2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M2:BM40 BM42:BM145">
    <cfRule type="colorScale" priority="2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41">
    <cfRule type="colorScale" priority="1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O2:BO40 BO42:BO145">
    <cfRule type="colorScale" priority="2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41">
    <cfRule type="colorScale" priority="1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Q2:BQ40 BQ42:BQ145">
    <cfRule type="colorScale" priority="2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41">
    <cfRule type="colorScale" priority="1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S2:BS40 BS42:BS145">
    <cfRule type="colorScale" priority="2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41">
    <cfRule type="colorScale" priority="1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U2:BU40 BU42:BU145">
    <cfRule type="colorScale" priority="2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41">
    <cfRule type="colorScale" priority="1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41">
    <cfRule type="colorScale" priority="1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41">
    <cfRule type="colorScale" priority="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41">
    <cfRule type="colorScale" priority="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41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41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41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41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41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41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41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41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T41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V41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X41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G2" r:id="rId1" xr:uid="{00000000-0004-0000-0600-000000000000}"/>
    <hyperlink ref="K7" r:id="rId2" xr:uid="{00000000-0004-0000-0600-000001000000}"/>
    <hyperlink ref="G14" r:id="rId3" xr:uid="{00000000-0004-0000-0600-000002000000}"/>
    <hyperlink ref="I14" r:id="rId4" xr:uid="{00000000-0004-0000-0600-000003000000}"/>
    <hyperlink ref="G17" r:id="rId5" xr:uid="{00000000-0004-0000-0600-000004000000}"/>
    <hyperlink ref="I17" r:id="rId6" xr:uid="{00000000-0004-0000-0600-000005000000}"/>
    <hyperlink ref="G37" r:id="rId7" xr:uid="{00000000-0004-0000-0600-000006000000}"/>
    <hyperlink ref="I37" r:id="rId8" xr:uid="{00000000-0004-0000-0600-000007000000}"/>
    <hyperlink ref="G38" r:id="rId9" xr:uid="{00000000-0004-0000-0600-000008000000}"/>
    <hyperlink ref="I38" r:id="rId10" xr:uid="{00000000-0004-0000-0600-000009000000}"/>
    <hyperlink ref="G53" r:id="rId11" xr:uid="{00000000-0004-0000-0600-00000A000000}"/>
    <hyperlink ref="I53" r:id="rId12" xr:uid="{00000000-0004-0000-0600-00000B000000}"/>
    <hyperlink ref="G54" r:id="rId13" xr:uid="{00000000-0004-0000-0600-00000C000000}"/>
    <hyperlink ref="I54" r:id="rId14" xr:uid="{00000000-0004-0000-0600-00000D000000}"/>
    <hyperlink ref="G58" r:id="rId15" xr:uid="{00000000-0004-0000-0600-00000E000000}"/>
    <hyperlink ref="I58" r:id="rId16" xr:uid="{00000000-0004-0000-0600-00000F000000}"/>
    <hyperlink ref="G59" r:id="rId17" xr:uid="{00000000-0004-0000-0600-000010000000}"/>
    <hyperlink ref="I59" r:id="rId18" xr:uid="{00000000-0004-0000-0600-000011000000}"/>
    <hyperlink ref="G63" r:id="rId19" xr:uid="{00000000-0004-0000-0600-000012000000}"/>
    <hyperlink ref="I63" r:id="rId20" xr:uid="{00000000-0004-0000-0600-000013000000}"/>
    <hyperlink ref="G64" r:id="rId21" xr:uid="{00000000-0004-0000-0600-000014000000}"/>
    <hyperlink ref="I64" r:id="rId22" xr:uid="{00000000-0004-0000-0600-000015000000}"/>
    <hyperlink ref="G68" r:id="rId23" xr:uid="{00000000-0004-0000-0600-000016000000}"/>
    <hyperlink ref="I68" r:id="rId24" xr:uid="{00000000-0004-0000-0600-000017000000}"/>
    <hyperlink ref="G69" r:id="rId25" xr:uid="{00000000-0004-0000-0600-000018000000}"/>
    <hyperlink ref="I69" r:id="rId26" xr:uid="{00000000-0004-0000-0600-000019000000}"/>
    <hyperlink ref="G73" r:id="rId27" xr:uid="{00000000-0004-0000-0600-00001A000000}"/>
    <hyperlink ref="I73" r:id="rId28" xr:uid="{00000000-0004-0000-0600-00001B000000}"/>
    <hyperlink ref="G74" r:id="rId29" xr:uid="{00000000-0004-0000-0600-00001C000000}"/>
    <hyperlink ref="I74" r:id="rId30" xr:uid="{00000000-0004-0000-0600-00001D000000}"/>
    <hyperlink ref="G78" r:id="rId31" xr:uid="{00000000-0004-0000-0600-00001E000000}"/>
    <hyperlink ref="I78" r:id="rId32" xr:uid="{00000000-0004-0000-0600-00001F000000}"/>
    <hyperlink ref="G79" r:id="rId33" xr:uid="{00000000-0004-0000-0600-000020000000}"/>
    <hyperlink ref="I79" r:id="rId34" xr:uid="{00000000-0004-0000-0600-000021000000}"/>
    <hyperlink ref="G82" r:id="rId35" xr:uid="{00000000-0004-0000-0600-000022000000}"/>
    <hyperlink ref="I82" r:id="rId36" xr:uid="{00000000-0004-0000-0600-000023000000}"/>
    <hyperlink ref="G83" r:id="rId37" xr:uid="{00000000-0004-0000-0600-000024000000}"/>
    <hyperlink ref="I83" r:id="rId38" xr:uid="{00000000-0004-0000-0600-000025000000}"/>
    <hyperlink ref="G95" r:id="rId39" xr:uid="{00000000-0004-0000-0600-000026000000}"/>
    <hyperlink ref="I95" r:id="rId40" xr:uid="{00000000-0004-0000-0600-000027000000}"/>
    <hyperlink ref="G106" r:id="rId41" xr:uid="{00000000-0004-0000-0600-000028000000}"/>
    <hyperlink ref="I106" r:id="rId42" xr:uid="{00000000-0004-0000-0600-000029000000}"/>
    <hyperlink ref="G109" r:id="rId43" xr:uid="{00000000-0004-0000-0600-00002A000000}"/>
    <hyperlink ref="I109" r:id="rId44" xr:uid="{00000000-0004-0000-0600-00002B000000}"/>
    <hyperlink ref="G112" r:id="rId45" xr:uid="{00000000-0004-0000-0600-00002C000000}"/>
    <hyperlink ref="I112" r:id="rId46" xr:uid="{00000000-0004-0000-0600-00002D000000}"/>
    <hyperlink ref="G128" r:id="rId47" xr:uid="{00000000-0004-0000-0600-00002E000000}"/>
    <hyperlink ref="I128" r:id="rId48" xr:uid="{00000000-0004-0000-0600-00002F000000}"/>
  </hyperlinks>
  <pageMargins left="0.7" right="0.7" top="0.75" bottom="0.75" header="0.3" footer="0.3"/>
  <pageSetup paperSize="9" orientation="portrait" useFirstPageNumber="1" horizontalDpi="4294967295" verticalDpi="4294967295"/>
  <drawing r:id="rId4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CK16"/>
  <sheetViews>
    <sheetView zoomScale="85" zoomScaleNormal="85" workbookViewId="0">
      <pane xSplit="2" ySplit="1" topLeftCell="G2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ColWidth="9.140625" defaultRowHeight="14.25" customHeight="1"/>
  <cols>
    <col min="1" max="1" width="4.85546875" style="1" customWidth="1"/>
    <col min="2" max="2" width="65.85546875" style="2" customWidth="1"/>
    <col min="3" max="3" width="101.7109375" style="2" customWidth="1"/>
    <col min="4" max="4" width="9.140625" style="2" customWidth="1"/>
    <col min="5" max="5" width="36.28515625" style="3" customWidth="1"/>
    <col min="6" max="6" width="18.85546875" style="2" customWidth="1"/>
    <col min="7" max="8" width="26.85546875" style="2" customWidth="1"/>
    <col min="9" max="9" width="36.7109375" style="2" customWidth="1"/>
    <col min="10" max="10" width="10.140625" style="2" customWidth="1"/>
    <col min="11" max="11" width="36.5703125" style="2" customWidth="1"/>
    <col min="12" max="12" width="24" style="2" customWidth="1"/>
    <col min="13" max="13" width="20.7109375" style="2" customWidth="1"/>
    <col min="14" max="14" width="40.28515625" style="2" customWidth="1"/>
    <col min="15" max="15" width="48.28515625" style="2" customWidth="1"/>
    <col min="16" max="16" width="13.5703125" style="2" customWidth="1"/>
    <col min="17" max="17" width="24.5703125" style="2" customWidth="1"/>
    <col min="18" max="21" width="9.140625" style="2" customWidth="1"/>
    <col min="22" max="22" width="9.85546875" style="2" customWidth="1"/>
    <col min="23" max="23" width="5.85546875" style="12" customWidth="1"/>
    <col min="24" max="24" width="9.85546875" style="2" customWidth="1"/>
    <col min="25" max="25" width="5.85546875" style="12" customWidth="1"/>
    <col min="26" max="26" width="9.42578125" style="2" customWidth="1"/>
    <col min="27" max="27" width="8.140625" style="12" customWidth="1"/>
    <col min="28" max="28" width="8.140625" style="2" customWidth="1"/>
    <col min="29" max="29" width="8.140625" style="12" customWidth="1"/>
    <col min="30" max="30" width="10.140625" style="2" customWidth="1"/>
    <col min="31" max="31" width="5.85546875" style="12" customWidth="1"/>
    <col min="32" max="32" width="9.85546875" style="2" customWidth="1"/>
    <col min="33" max="33" width="5.85546875" style="12" customWidth="1"/>
    <col min="34" max="34" width="9.85546875" style="2" customWidth="1"/>
    <col min="35" max="35" width="5.85546875" style="12" customWidth="1"/>
    <col min="36" max="36" width="30" style="2" customWidth="1"/>
    <col min="37" max="37" width="5.85546875" style="12" customWidth="1"/>
    <col min="38" max="38" width="15.42578125" style="2" customWidth="1"/>
    <col min="39" max="39" width="5.85546875" style="12" customWidth="1"/>
    <col min="40" max="40" width="12.28515625" style="2" customWidth="1"/>
    <col min="41" max="41" width="5.85546875" style="12" customWidth="1"/>
    <col min="42" max="42" width="30" style="2" customWidth="1"/>
    <col min="43" max="43" width="50" style="2" customWidth="1"/>
    <col min="44" max="44" width="30" style="2" customWidth="1"/>
    <col min="45" max="45" width="50" style="2" customWidth="1"/>
    <col min="46" max="46" width="20" style="2" customWidth="1"/>
    <col min="47" max="47" width="50" style="2" customWidth="1"/>
    <col min="48" max="48" width="20" style="2" customWidth="1"/>
    <col min="49" max="49" width="50" style="2" customWidth="1"/>
    <col min="50" max="50" width="20" style="2" customWidth="1"/>
    <col min="51" max="51" width="50" style="2" customWidth="1"/>
    <col min="52" max="52" width="20" style="2" customWidth="1"/>
    <col min="53" max="53" width="50" style="2" customWidth="1"/>
    <col min="54" max="54" width="20" style="2" customWidth="1"/>
    <col min="55" max="55" width="50" style="2" customWidth="1"/>
    <col min="56" max="56" width="20" style="2" customWidth="1"/>
    <col min="57" max="57" width="50" style="2" customWidth="1"/>
    <col min="58" max="58" width="20" style="2" customWidth="1"/>
    <col min="59" max="59" width="50" style="2" customWidth="1"/>
    <col min="60" max="60" width="20" style="2" customWidth="1"/>
    <col min="61" max="61" width="50" style="2" customWidth="1"/>
    <col min="62" max="62" width="20" style="2" customWidth="1"/>
    <col min="63" max="63" width="50" style="2" customWidth="1"/>
    <col min="64" max="64" width="20" style="2" customWidth="1"/>
    <col min="65" max="65" width="50" style="2" customWidth="1"/>
    <col min="66" max="66" width="20" style="2" customWidth="1"/>
    <col min="67" max="67" width="50" style="2" customWidth="1"/>
    <col min="68" max="68" width="20" style="2" customWidth="1"/>
    <col min="69" max="69" width="50" style="2" customWidth="1"/>
    <col min="70" max="70" width="20" style="2" customWidth="1"/>
    <col min="71" max="71" width="50" style="2" customWidth="1"/>
    <col min="72" max="72" width="20" style="2" customWidth="1"/>
    <col min="73" max="73" width="50" style="2" customWidth="1"/>
    <col min="74" max="74" width="20" style="2" customWidth="1"/>
    <col min="75" max="75" width="50" style="2" customWidth="1"/>
    <col min="76" max="76" width="20" style="2" customWidth="1"/>
    <col min="77" max="77" width="50" style="2" customWidth="1"/>
    <col min="78" max="78" width="20" style="2" customWidth="1"/>
    <col min="79" max="79" width="50" style="2" customWidth="1"/>
    <col min="80" max="80" width="20" style="2" customWidth="1"/>
    <col min="81" max="81" width="50" style="2" customWidth="1"/>
    <col min="82" max="82" width="20" style="2" customWidth="1"/>
    <col min="83" max="83" width="50" style="2" customWidth="1"/>
    <col min="84" max="84" width="20" style="2" customWidth="1"/>
    <col min="85" max="85" width="50" style="2" customWidth="1"/>
    <col min="86" max="86" width="20" style="2" customWidth="1"/>
    <col min="87" max="87" width="50" style="2" customWidth="1"/>
    <col min="88" max="88" width="20" style="2" customWidth="1"/>
    <col min="89" max="89" width="50" style="2" customWidth="1"/>
    <col min="90" max="16384" width="9.140625" style="2"/>
  </cols>
  <sheetData>
    <row r="1" spans="1:89" ht="25.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5*60*1000*SpeedFaktor</f>
        <v>300000</v>
      </c>
      <c r="H1" s="2">
        <v>10</v>
      </c>
      <c r="U1" s="2" t="s">
        <v>5</v>
      </c>
      <c r="V1" s="8" t="s">
        <v>488</v>
      </c>
      <c r="W1" s="24" t="s">
        <v>8</v>
      </c>
      <c r="X1" s="2" t="s">
        <v>489</v>
      </c>
      <c r="Y1" s="24" t="s">
        <v>8</v>
      </c>
      <c r="Z1" s="2" t="s">
        <v>324</v>
      </c>
      <c r="AA1" s="24" t="s">
        <v>8</v>
      </c>
      <c r="AB1" s="2" t="s">
        <v>10</v>
      </c>
      <c r="AC1" s="24" t="s">
        <v>8</v>
      </c>
      <c r="AD1" s="2" t="s">
        <v>11</v>
      </c>
      <c r="AE1" s="24" t="s">
        <v>8</v>
      </c>
      <c r="AF1" s="2" t="s">
        <v>12</v>
      </c>
      <c r="AG1" s="24" t="s">
        <v>8</v>
      </c>
      <c r="AH1" s="2" t="s">
        <v>13</v>
      </c>
      <c r="AI1" s="24" t="s">
        <v>8</v>
      </c>
      <c r="AJ1" s="2" t="s">
        <v>65</v>
      </c>
      <c r="AK1" s="24" t="s">
        <v>8</v>
      </c>
      <c r="AL1" s="2" t="s">
        <v>15</v>
      </c>
      <c r="AM1" s="24" t="s">
        <v>8</v>
      </c>
      <c r="AN1" s="2" t="s">
        <v>17</v>
      </c>
      <c r="AO1" s="24" t="s">
        <v>8</v>
      </c>
      <c r="AP1" s="2" t="s">
        <v>1285</v>
      </c>
      <c r="AQ1" s="2" t="s">
        <v>19</v>
      </c>
      <c r="AR1" s="2" t="s">
        <v>1286</v>
      </c>
      <c r="AS1" s="2" t="s">
        <v>20</v>
      </c>
      <c r="AT1" s="495" t="s">
        <v>1303</v>
      </c>
      <c r="AU1" s="496" t="s">
        <v>572</v>
      </c>
      <c r="AV1" s="577" t="s">
        <v>1307</v>
      </c>
      <c r="AW1" s="578" t="s">
        <v>572</v>
      </c>
      <c r="AX1" s="795" t="s">
        <v>1311</v>
      </c>
      <c r="AY1" s="796" t="s">
        <v>572</v>
      </c>
      <c r="AZ1" s="921" t="s">
        <v>1318</v>
      </c>
      <c r="BA1" s="922" t="s">
        <v>572</v>
      </c>
      <c r="BB1" s="1046" t="s">
        <v>1322</v>
      </c>
      <c r="BC1" s="1047" t="s">
        <v>572</v>
      </c>
      <c r="BD1" s="1068" t="s">
        <v>1324</v>
      </c>
      <c r="BE1" s="1069" t="s">
        <v>572</v>
      </c>
      <c r="BF1" s="1268" t="s">
        <v>1341</v>
      </c>
      <c r="BG1" s="1269" t="s">
        <v>572</v>
      </c>
      <c r="BH1" s="1504" t="s">
        <v>1363</v>
      </c>
      <c r="BI1" s="1505" t="s">
        <v>572</v>
      </c>
      <c r="BJ1" s="1650" t="s">
        <v>1368</v>
      </c>
      <c r="BK1" s="1651" t="s">
        <v>572</v>
      </c>
      <c r="BL1" s="1791" t="s">
        <v>1371</v>
      </c>
      <c r="BM1" s="1792" t="s">
        <v>572</v>
      </c>
      <c r="BN1" s="1937" t="s">
        <v>1375</v>
      </c>
      <c r="BO1" s="1938" t="s">
        <v>572</v>
      </c>
      <c r="BP1" s="2047" t="s">
        <v>1397</v>
      </c>
      <c r="BQ1" s="2048" t="s">
        <v>572</v>
      </c>
      <c r="BR1" s="2241" t="s">
        <v>1421</v>
      </c>
      <c r="BS1" s="2242" t="s">
        <v>572</v>
      </c>
      <c r="BT1" s="2406" t="s">
        <v>1430</v>
      </c>
      <c r="BU1" s="2407" t="s">
        <v>572</v>
      </c>
      <c r="BV1" s="2569" t="s">
        <v>1442</v>
      </c>
      <c r="BW1" s="2570" t="s">
        <v>572</v>
      </c>
      <c r="BX1" s="2752" t="s">
        <v>1460</v>
      </c>
      <c r="BY1" s="2753" t="s">
        <v>572</v>
      </c>
      <c r="BZ1" s="2926" t="s">
        <v>1472</v>
      </c>
      <c r="CA1" s="2927" t="s">
        <v>572</v>
      </c>
      <c r="CB1" s="3114" t="s">
        <v>1492</v>
      </c>
      <c r="CC1" s="3115" t="s">
        <v>572</v>
      </c>
      <c r="CD1" s="3296" t="s">
        <v>1503</v>
      </c>
      <c r="CE1" s="3297" t="s">
        <v>572</v>
      </c>
      <c r="CF1" s="3466" t="s">
        <v>1519</v>
      </c>
      <c r="CG1" s="3467" t="s">
        <v>572</v>
      </c>
      <c r="CH1" s="3756" t="s">
        <v>1666</v>
      </c>
      <c r="CI1" s="3757" t="s">
        <v>572</v>
      </c>
      <c r="CJ1" s="3979" t="s">
        <v>1717</v>
      </c>
      <c r="CK1" s="3980" t="s">
        <v>572</v>
      </c>
    </row>
    <row r="2" spans="1:89" s="10" customFormat="1" ht="14.25" customHeight="1">
      <c r="A2" s="119">
        <v>1</v>
      </c>
      <c r="B2" s="606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>
        <v>1712</v>
      </c>
      <c r="W2" s="156">
        <f>V2/($V2)</f>
        <v>1</v>
      </c>
      <c r="X2" s="3">
        <v>1669</v>
      </c>
      <c r="Y2" s="156">
        <f>X2/($V2)</f>
        <v>0.97488317757009346</v>
      </c>
      <c r="Z2" s="3">
        <v>1894</v>
      </c>
      <c r="AA2" s="156">
        <f>Z2/($V2)</f>
        <v>1.1063084112149533</v>
      </c>
      <c r="AB2" s="2">
        <v>1673</v>
      </c>
      <c r="AC2" s="156">
        <f>AB2/($V2)</f>
        <v>0.97721962616822433</v>
      </c>
      <c r="AD2" s="2">
        <v>1609</v>
      </c>
      <c r="AE2" s="156">
        <f>AD2/($V2)</f>
        <v>0.93983644859813087</v>
      </c>
      <c r="AF2" s="2">
        <v>1610</v>
      </c>
      <c r="AG2" s="156">
        <f>AF2/($V2)</f>
        <v>0.94042056074766356</v>
      </c>
      <c r="AH2" s="2">
        <v>1377</v>
      </c>
      <c r="AI2" s="156">
        <f>AH2/($V2)</f>
        <v>0.80432242990654201</v>
      </c>
      <c r="AJ2" s="2">
        <v>1409</v>
      </c>
      <c r="AK2" s="156">
        <f>AJ2/($V2)</f>
        <v>0.82301401869158874</v>
      </c>
      <c r="AL2" s="2">
        <v>1413</v>
      </c>
      <c r="AM2" s="156">
        <f>AL2/($V2)</f>
        <v>0.82535046728971961</v>
      </c>
      <c r="AN2" s="2">
        <v>1230</v>
      </c>
      <c r="AO2" s="156">
        <f>AN2/($V2)</f>
        <v>0.71845794392523366</v>
      </c>
      <c r="AP2" s="2">
        <v>1078</v>
      </c>
      <c r="AQ2" s="2"/>
      <c r="AR2" s="2">
        <v>564</v>
      </c>
      <c r="AS2" s="2"/>
      <c r="AT2" s="10">
        <v>1341</v>
      </c>
      <c r="AV2" s="10">
        <v>1697</v>
      </c>
      <c r="AX2" s="10">
        <v>1375</v>
      </c>
      <c r="AZ2" s="10">
        <v>1326</v>
      </c>
      <c r="BB2" s="10">
        <v>1520</v>
      </c>
      <c r="BD2" s="10">
        <v>1326</v>
      </c>
      <c r="BF2" s="10">
        <v>1124</v>
      </c>
      <c r="BH2" s="10">
        <v>1285</v>
      </c>
      <c r="BJ2" s="10">
        <v>1108</v>
      </c>
      <c r="BL2" s="10">
        <v>1140</v>
      </c>
      <c r="BN2" s="10">
        <v>2608</v>
      </c>
      <c r="BP2" s="10">
        <v>1632</v>
      </c>
      <c r="BR2" s="10">
        <v>1829</v>
      </c>
      <c r="BT2" s="10">
        <v>1754</v>
      </c>
      <c r="BV2" s="10">
        <v>1074</v>
      </c>
      <c r="BX2" s="10">
        <v>1082</v>
      </c>
      <c r="BZ2" s="10">
        <v>1453</v>
      </c>
      <c r="CB2" s="10">
        <v>1144</v>
      </c>
      <c r="CD2" s="10">
        <v>1146</v>
      </c>
      <c r="CF2" s="10">
        <v>1118</v>
      </c>
      <c r="CH2" s="10">
        <v>971</v>
      </c>
      <c r="CJ2" s="10">
        <v>932</v>
      </c>
      <c r="CK2" s="10" t="s">
        <v>1718</v>
      </c>
    </row>
    <row r="3" spans="1:89" s="10" customFormat="1" ht="15.75" customHeight="1" thickBot="1">
      <c r="A3" s="119">
        <v>2</v>
      </c>
      <c r="B3" s="122" t="s">
        <v>25</v>
      </c>
      <c r="C3" s="121" t="str">
        <f>E3</f>
        <v>{"username":"bern.sozialarbeiterin1a@diartis.ch","password":"SMze97-jkSJ59!F.","fullname":"Sozialarbeiterin 1A Bern","team":"Sozialarbeit Bern 1"}</v>
      </c>
      <c r="D3" s="13"/>
      <c r="E3" s="45" t="str">
        <f>F3&amp;G3&amp;H3&amp;I3&amp;J3&amp;K3&amp;L3&amp;M3&amp;N3&amp;O3&amp;P3&amp;Q3&amp;R3&amp;S3</f>
        <v>{"username":"bern.sozialarbeiterin1a@diartis.ch","password":"SMze97-jkSJ59!F.","fullname":"Sozialarbeiterin 1A Bern","team":"Sozialarbeit Bern 1"}</v>
      </c>
      <c r="F3" s="152" t="s">
        <v>29</v>
      </c>
      <c r="G3" s="13" t="s">
        <v>71</v>
      </c>
      <c r="H3" s="152" t="s">
        <v>31</v>
      </c>
      <c r="I3" s="13" t="s">
        <v>72</v>
      </c>
      <c r="J3" s="152" t="s">
        <v>73</v>
      </c>
      <c r="K3" s="13" t="s">
        <v>74</v>
      </c>
      <c r="L3" s="152" t="s">
        <v>75</v>
      </c>
      <c r="M3" s="13" t="s">
        <v>76</v>
      </c>
      <c r="N3" s="152" t="s">
        <v>37</v>
      </c>
      <c r="O3" s="13"/>
      <c r="P3" s="152"/>
      <c r="Q3" s="13"/>
      <c r="R3" s="152"/>
      <c r="S3" s="13"/>
      <c r="T3" s="2"/>
      <c r="U3" s="2"/>
      <c r="V3" s="3">
        <v>9511</v>
      </c>
      <c r="W3" s="165">
        <f t="shared" ref="W3:Y3" si="0">V3/($V3)</f>
        <v>1</v>
      </c>
      <c r="X3" s="3">
        <v>9330</v>
      </c>
      <c r="Y3" s="165">
        <f t="shared" si="0"/>
        <v>0.98096940384817577</v>
      </c>
      <c r="Z3" s="3">
        <v>9049</v>
      </c>
      <c r="AA3" s="165">
        <f t="shared" ref="AA3:AO8" si="1">Z3/($V3)</f>
        <v>0.95142466617600674</v>
      </c>
      <c r="AB3" s="2">
        <v>10938</v>
      </c>
      <c r="AC3" s="165">
        <f t="shared" si="1"/>
        <v>1.1500367994953211</v>
      </c>
      <c r="AD3" s="2">
        <v>10813</v>
      </c>
      <c r="AE3" s="165">
        <f t="shared" si="1"/>
        <v>1.1368941225948901</v>
      </c>
      <c r="AF3" s="2">
        <v>9082</v>
      </c>
      <c r="AG3" s="165">
        <f t="shared" si="1"/>
        <v>0.95489433287772052</v>
      </c>
      <c r="AH3" s="2">
        <v>9275</v>
      </c>
      <c r="AI3" s="165">
        <f t="shared" si="1"/>
        <v>0.97518662601198614</v>
      </c>
      <c r="AJ3" s="2">
        <v>9991</v>
      </c>
      <c r="AK3" s="165">
        <f t="shared" si="1"/>
        <v>1.0504678792976554</v>
      </c>
      <c r="AL3" s="2">
        <v>8838</v>
      </c>
      <c r="AM3" s="165">
        <f t="shared" si="1"/>
        <v>0.9292398275680791</v>
      </c>
      <c r="AN3" s="2">
        <v>7408</v>
      </c>
      <c r="AO3" s="165">
        <f t="shared" si="1"/>
        <v>0.7788876038271475</v>
      </c>
      <c r="AP3" s="2">
        <v>6950</v>
      </c>
      <c r="AQ3" s="2"/>
      <c r="AR3" s="2">
        <v>5397</v>
      </c>
      <c r="AS3" s="2"/>
      <c r="AT3" s="10">
        <v>7716</v>
      </c>
      <c r="AV3" s="10">
        <v>8307</v>
      </c>
      <c r="AX3" s="10">
        <v>8482</v>
      </c>
      <c r="AZ3" s="10">
        <v>7579</v>
      </c>
      <c r="BB3" s="10">
        <v>8112</v>
      </c>
      <c r="BD3" s="10">
        <v>7544</v>
      </c>
      <c r="BF3" s="10">
        <v>6819</v>
      </c>
      <c r="BH3" s="10">
        <v>8580</v>
      </c>
      <c r="BJ3" s="10">
        <v>6870</v>
      </c>
      <c r="BL3" s="10">
        <v>6989</v>
      </c>
      <c r="BN3" s="10">
        <v>8350</v>
      </c>
      <c r="BP3" s="10">
        <v>6809</v>
      </c>
      <c r="BR3" s="10">
        <v>6337</v>
      </c>
      <c r="BT3" s="10">
        <v>6503</v>
      </c>
      <c r="BV3" s="10">
        <v>8470</v>
      </c>
      <c r="BX3" s="10">
        <v>10078</v>
      </c>
      <c r="BZ3" s="10">
        <v>8118</v>
      </c>
      <c r="CB3" s="10">
        <v>9703</v>
      </c>
      <c r="CD3" s="10">
        <v>9504</v>
      </c>
      <c r="CF3" s="10">
        <v>8753</v>
      </c>
      <c r="CH3" s="10">
        <v>7838</v>
      </c>
      <c r="CJ3" s="10">
        <v>8271</v>
      </c>
      <c r="CK3" s="10" t="s">
        <v>1718</v>
      </c>
    </row>
    <row r="4" spans="1:89" s="10" customFormat="1" ht="18" customHeight="1" thickBot="1">
      <c r="A4" s="666">
        <v>3</v>
      </c>
      <c r="B4" s="667" t="s">
        <v>139</v>
      </c>
      <c r="C4" s="668" t="str">
        <f>E4</f>
        <v>{"searchDossierOrKlient":p.DossierName1,"resultType":"Dossiers"}</v>
      </c>
      <c r="D4" s="90"/>
      <c r="E4" s="45" t="str">
        <f>F4&amp;G4&amp;H4&amp;I4&amp;J4&amp;K4&amp;L4&amp;M4&amp;N4&amp;O4&amp;P4&amp;Q4&amp;R4&amp;S4</f>
        <v>{"searchDossierOrKlient":p.DossierName1,"resultType":"Dossiers"}</v>
      </c>
      <c r="F4" s="92" t="s">
        <v>140</v>
      </c>
      <c r="G4" s="64" t="s">
        <v>449</v>
      </c>
      <c r="H4" s="92" t="s">
        <v>141</v>
      </c>
      <c r="I4" s="90" t="s">
        <v>142</v>
      </c>
      <c r="J4" s="92" t="s">
        <v>37</v>
      </c>
      <c r="K4" s="90"/>
      <c r="L4" s="92"/>
      <c r="M4" s="90"/>
      <c r="N4" s="92"/>
      <c r="O4" s="90"/>
      <c r="P4" s="92"/>
      <c r="Q4" s="90"/>
      <c r="R4" s="92"/>
      <c r="S4" s="90"/>
      <c r="T4" s="2"/>
      <c r="U4" s="2"/>
      <c r="V4" s="3">
        <v>4011</v>
      </c>
      <c r="W4" s="165">
        <f t="shared" ref="W4:Y4" si="2">V4/($V4)</f>
        <v>1</v>
      </c>
      <c r="X4" s="3">
        <v>4009</v>
      </c>
      <c r="Y4" s="165">
        <f t="shared" si="2"/>
        <v>0.99950137122911997</v>
      </c>
      <c r="Z4" s="3">
        <v>0</v>
      </c>
      <c r="AA4" s="165">
        <f t="shared" si="1"/>
        <v>0</v>
      </c>
      <c r="AB4" s="2">
        <v>11202</v>
      </c>
      <c r="AC4" s="165">
        <f t="shared" si="1"/>
        <v>2.7928197456993269</v>
      </c>
      <c r="AD4" s="2">
        <v>11148</v>
      </c>
      <c r="AE4" s="165">
        <f t="shared" si="1"/>
        <v>2.7793567688855645</v>
      </c>
      <c r="AF4" s="2">
        <v>11161</v>
      </c>
      <c r="AG4" s="165">
        <f t="shared" si="1"/>
        <v>2.7825978558962854</v>
      </c>
      <c r="AH4" s="2">
        <v>10751</v>
      </c>
      <c r="AI4" s="165">
        <f t="shared" si="1"/>
        <v>2.680378957865869</v>
      </c>
      <c r="AJ4" s="2">
        <v>2737</v>
      </c>
      <c r="AK4" s="165">
        <f t="shared" si="1"/>
        <v>0.68237347294938921</v>
      </c>
      <c r="AL4" s="2">
        <v>2803</v>
      </c>
      <c r="AM4" s="165">
        <f t="shared" si="1"/>
        <v>0.69882822238843179</v>
      </c>
      <c r="AN4" s="2">
        <v>4922</v>
      </c>
      <c r="AO4" s="165">
        <f t="shared" si="1"/>
        <v>1.2271254051358764</v>
      </c>
      <c r="AP4" s="2">
        <v>5185</v>
      </c>
      <c r="AQ4" s="2"/>
      <c r="AR4" s="2">
        <v>4737</v>
      </c>
      <c r="AS4" s="2"/>
      <c r="AT4" s="10">
        <v>5288</v>
      </c>
      <c r="AV4" s="10">
        <v>5231</v>
      </c>
      <c r="AX4" s="10">
        <v>5742</v>
      </c>
      <c r="AZ4" s="10">
        <v>5230</v>
      </c>
      <c r="BB4" s="10">
        <v>5479</v>
      </c>
      <c r="BD4" s="10">
        <v>5408</v>
      </c>
      <c r="BF4" s="10">
        <v>5382</v>
      </c>
      <c r="BH4" s="10">
        <v>2624</v>
      </c>
      <c r="BJ4" s="10">
        <v>2813</v>
      </c>
      <c r="BL4" s="10">
        <v>3056</v>
      </c>
      <c r="BN4" s="10">
        <v>5028</v>
      </c>
      <c r="BP4" s="10">
        <v>5280</v>
      </c>
      <c r="BR4" s="10">
        <v>5190</v>
      </c>
      <c r="BT4" s="10">
        <v>5383</v>
      </c>
      <c r="BV4" s="10">
        <v>8300</v>
      </c>
      <c r="BX4" s="10">
        <v>4766</v>
      </c>
      <c r="BZ4" s="10">
        <v>6103</v>
      </c>
      <c r="CB4" s="10">
        <v>4928</v>
      </c>
      <c r="CD4" s="10">
        <v>4868</v>
      </c>
      <c r="CF4" s="10">
        <v>4538</v>
      </c>
      <c r="CH4" s="10">
        <v>4946</v>
      </c>
      <c r="CJ4" s="10">
        <v>4900</v>
      </c>
      <c r="CK4" s="10" t="s">
        <v>1718</v>
      </c>
    </row>
    <row r="5" spans="1:89" s="10" customFormat="1" ht="17.25" customHeight="1" thickBot="1">
      <c r="A5" s="673">
        <v>4</v>
      </c>
      <c r="B5" s="674" t="s">
        <v>490</v>
      </c>
      <c r="C5" s="672" t="str">
        <f ca="1">E5</f>
        <v>{"bedarfsPrDate":"04.11.2025","klient":`${p.FamilyName1}, ${p.ManFirstName1}`,"thema":"Ausbildung","unterLagen":"Studien / Ausbildungsbestätigung","status":"vorhanden","bemerkung":"keine"}</v>
      </c>
      <c r="D5" s="187" t="s">
        <v>263</v>
      </c>
      <c r="E5" s="45" t="str">
        <f ca="1">F5&amp;G5&amp;H5&amp;I5&amp;J5&amp;K5&amp;L5&amp;M5&amp;N5&amp;O5&amp;P5&amp;Q5&amp;R5&amp;S5</f>
        <v>{"bedarfsPrDate":"04.11.2025","klient":`${p.FamilyName1}, ${p.ManFirstName1}`,"thema":"Ausbildung","unterLagen":"Studien / Ausbildungsbestätigung","status":"vorhanden","bemerkung":"keine"}</v>
      </c>
      <c r="F5" s="229" t="s">
        <v>491</v>
      </c>
      <c r="G5" s="230" t="str">
        <f ca="1">'001a'!I12</f>
        <v>04.11.2025</v>
      </c>
      <c r="H5" s="231" t="s">
        <v>444</v>
      </c>
      <c r="I5" s="232" t="s">
        <v>492</v>
      </c>
      <c r="J5" s="231" t="s">
        <v>493</v>
      </c>
      <c r="K5" s="231" t="s">
        <v>494</v>
      </c>
      <c r="L5" s="231" t="s">
        <v>495</v>
      </c>
      <c r="M5" s="232" t="s">
        <v>496</v>
      </c>
      <c r="N5" s="231" t="s">
        <v>202</v>
      </c>
      <c r="O5" s="24" t="s">
        <v>497</v>
      </c>
      <c r="P5" s="231" t="s">
        <v>369</v>
      </c>
      <c r="Q5" s="24" t="s">
        <v>498</v>
      </c>
      <c r="R5" s="24" t="s">
        <v>37</v>
      </c>
      <c r="S5" s="24"/>
      <c r="T5" s="2"/>
      <c r="U5" s="2"/>
      <c r="V5" s="3">
        <v>71899</v>
      </c>
      <c r="W5" s="165">
        <f t="shared" ref="W5:Y5" si="3">V5/($V5)</f>
        <v>1</v>
      </c>
      <c r="X5" s="3">
        <v>25582</v>
      </c>
      <c r="Y5" s="165">
        <f t="shared" si="3"/>
        <v>0.35580467044047903</v>
      </c>
      <c r="Z5" s="3">
        <v>268</v>
      </c>
      <c r="AA5" s="165">
        <f t="shared" si="1"/>
        <v>3.7274510076635279E-3</v>
      </c>
      <c r="AB5" s="2">
        <v>10106</v>
      </c>
      <c r="AC5" s="165">
        <f t="shared" si="1"/>
        <v>0.1405582831471926</v>
      </c>
      <c r="AD5" s="2">
        <v>8525</v>
      </c>
      <c r="AE5" s="165">
        <f t="shared" si="1"/>
        <v>0.11856910388183424</v>
      </c>
      <c r="AF5" s="2">
        <v>8176</v>
      </c>
      <c r="AG5" s="165">
        <f t="shared" si="1"/>
        <v>0.11371507253230226</v>
      </c>
      <c r="AH5" s="2">
        <v>8229</v>
      </c>
      <c r="AI5" s="165">
        <f t="shared" si="1"/>
        <v>0.11445221769426557</v>
      </c>
      <c r="AJ5" s="2">
        <v>8464</v>
      </c>
      <c r="AK5" s="165">
        <f t="shared" si="1"/>
        <v>0.11772069152561232</v>
      </c>
      <c r="AL5" s="2">
        <v>8124</v>
      </c>
      <c r="AM5" s="165">
        <f t="shared" si="1"/>
        <v>0.11299183576962127</v>
      </c>
      <c r="AN5" s="2">
        <v>4407</v>
      </c>
      <c r="AO5" s="165">
        <f t="shared" si="1"/>
        <v>6.1294315637213312E-2</v>
      </c>
      <c r="AP5" s="2">
        <v>0</v>
      </c>
      <c r="AQ5" s="2" t="s">
        <v>499</v>
      </c>
      <c r="AR5" s="2">
        <v>0</v>
      </c>
      <c r="AS5" s="2" t="s">
        <v>500</v>
      </c>
      <c r="AT5" s="497">
        <v>0</v>
      </c>
      <c r="AU5" s="498" t="s">
        <v>1304</v>
      </c>
      <c r="AV5" s="10">
        <v>4531</v>
      </c>
      <c r="AX5" s="10">
        <v>5371</v>
      </c>
      <c r="AZ5" s="10">
        <v>4574</v>
      </c>
      <c r="BB5" s="10">
        <v>4618</v>
      </c>
      <c r="BD5" s="10">
        <v>4654</v>
      </c>
      <c r="BF5" s="10">
        <v>3846</v>
      </c>
      <c r="BH5" s="10">
        <v>4728</v>
      </c>
      <c r="BJ5" s="10">
        <v>4706</v>
      </c>
      <c r="BL5" s="10">
        <v>4658</v>
      </c>
      <c r="BN5" s="1939">
        <v>0</v>
      </c>
      <c r="BO5" s="1940" t="s">
        <v>1377</v>
      </c>
      <c r="BP5" s="2049">
        <v>0</v>
      </c>
      <c r="BQ5" s="2050" t="s">
        <v>1399</v>
      </c>
      <c r="BR5" s="10">
        <v>3387</v>
      </c>
      <c r="BT5" s="10">
        <v>3618</v>
      </c>
      <c r="BV5" s="10">
        <v>4120</v>
      </c>
      <c r="BX5" s="2754">
        <v>0</v>
      </c>
      <c r="BY5" s="2755" t="s">
        <v>1461</v>
      </c>
      <c r="BZ5" s="2928">
        <v>0</v>
      </c>
      <c r="CA5" s="2929" t="s">
        <v>1475</v>
      </c>
      <c r="CB5" s="3116">
        <v>0</v>
      </c>
      <c r="CC5" s="3117" t="s">
        <v>1493</v>
      </c>
      <c r="CD5" s="10">
        <v>6142</v>
      </c>
      <c r="CF5" s="3468">
        <v>0</v>
      </c>
      <c r="CG5" s="3469" t="s">
        <v>1522</v>
      </c>
      <c r="CH5" s="10">
        <v>3364</v>
      </c>
      <c r="CJ5" s="10">
        <v>4716</v>
      </c>
      <c r="CK5" s="10" t="s">
        <v>1718</v>
      </c>
    </row>
    <row r="6" spans="1:89" s="10" customFormat="1" ht="15.75" customHeight="1" thickBot="1">
      <c r="A6" s="673">
        <v>5</v>
      </c>
      <c r="B6" s="674" t="s">
        <v>490</v>
      </c>
      <c r="C6" s="672" t="str">
        <f ca="1">E6</f>
        <v>{"bedarfsPrDate":"04.11.2025","klient":`${p.FamilyName1}, ${p.ManFirstName1}`,"thema":"Versicherungen","unterLagen":"Krankenkassenpolicen (KVG und VVG)","status":"einzureichen","bemerkung":"keine"}</v>
      </c>
      <c r="D6" s="187" t="s">
        <v>263</v>
      </c>
      <c r="E6" s="45" t="str">
        <f ca="1">F6&amp;G6&amp;H6&amp;I6&amp;J6&amp;K6&amp;L6&amp;M6&amp;N6&amp;O6&amp;P6&amp;Q6&amp;R6&amp;S6</f>
        <v>{"bedarfsPrDate":"04.11.2025","klient":`${p.FamilyName1}, ${p.ManFirstName1}`,"thema":"Versicherungen","unterLagen":"Krankenkassenpolicen (KVG und VVG)","status":"einzureichen","bemerkung":"keine"}</v>
      </c>
      <c r="F6" s="229" t="s">
        <v>491</v>
      </c>
      <c r="G6" s="230" t="str">
        <f ca="1">G5</f>
        <v>04.11.2025</v>
      </c>
      <c r="H6" s="231" t="s">
        <v>444</v>
      </c>
      <c r="I6" s="232" t="s">
        <v>492</v>
      </c>
      <c r="J6" s="231" t="s">
        <v>493</v>
      </c>
      <c r="K6" s="231" t="s">
        <v>501</v>
      </c>
      <c r="L6" s="231" t="s">
        <v>495</v>
      </c>
      <c r="M6" s="232" t="s">
        <v>502</v>
      </c>
      <c r="N6" s="231" t="s">
        <v>202</v>
      </c>
      <c r="O6" s="24" t="s">
        <v>503</v>
      </c>
      <c r="P6" s="231" t="s">
        <v>369</v>
      </c>
      <c r="Q6" s="24" t="s">
        <v>498</v>
      </c>
      <c r="R6" s="24" t="s">
        <v>37</v>
      </c>
      <c r="S6" s="24"/>
      <c r="T6" s="2"/>
      <c r="U6" s="2"/>
      <c r="V6" s="3">
        <v>71899</v>
      </c>
      <c r="W6" s="165">
        <f t="shared" ref="W6:Y6" si="4">V6/($V6)</f>
        <v>1</v>
      </c>
      <c r="X6" s="3">
        <v>25582</v>
      </c>
      <c r="Y6" s="165">
        <f t="shared" si="4"/>
        <v>0.35580467044047903</v>
      </c>
      <c r="Z6" s="2"/>
      <c r="AA6" s="165">
        <f t="shared" si="1"/>
        <v>0</v>
      </c>
      <c r="AB6" s="2">
        <v>9012</v>
      </c>
      <c r="AC6" s="165">
        <f t="shared" si="1"/>
        <v>0.1253424943323273</v>
      </c>
      <c r="AD6" s="2">
        <v>8019</v>
      </c>
      <c r="AE6" s="165">
        <f t="shared" si="1"/>
        <v>0.11153145384497698</v>
      </c>
      <c r="AF6" s="2">
        <v>7626</v>
      </c>
      <c r="AG6" s="165">
        <f t="shared" si="1"/>
        <v>0.10606545292702263</v>
      </c>
      <c r="AH6" s="2">
        <v>7848</v>
      </c>
      <c r="AI6" s="165">
        <f t="shared" si="1"/>
        <v>0.10915311756769913</v>
      </c>
      <c r="AJ6" s="2">
        <v>6941</v>
      </c>
      <c r="AK6" s="165">
        <f t="shared" si="1"/>
        <v>9.6538199418628914E-2</v>
      </c>
      <c r="AL6" s="2">
        <v>6576</v>
      </c>
      <c r="AM6" s="165">
        <f t="shared" si="1"/>
        <v>9.1461633680579704E-2</v>
      </c>
      <c r="AN6" s="2">
        <v>3692</v>
      </c>
      <c r="AO6" s="165">
        <f t="shared" si="1"/>
        <v>5.1349810150349798E-2</v>
      </c>
      <c r="AP6" s="2">
        <v>222</v>
      </c>
      <c r="AQ6" s="2"/>
      <c r="AR6" s="2">
        <v>216</v>
      </c>
      <c r="AS6" s="2"/>
      <c r="AT6" s="10">
        <v>334</v>
      </c>
      <c r="AV6" s="10">
        <v>3506</v>
      </c>
      <c r="AX6" s="10">
        <v>4484</v>
      </c>
      <c r="AZ6" s="10">
        <v>3890</v>
      </c>
      <c r="BB6" s="10">
        <v>3940</v>
      </c>
      <c r="BD6" s="10">
        <v>4151</v>
      </c>
      <c r="BF6" s="10">
        <v>3293</v>
      </c>
      <c r="BH6" s="10">
        <v>3751</v>
      </c>
      <c r="BJ6" s="10">
        <v>3337</v>
      </c>
      <c r="BL6" s="10">
        <v>3462</v>
      </c>
      <c r="BN6" s="10">
        <v>338</v>
      </c>
      <c r="BP6" s="10">
        <v>304</v>
      </c>
      <c r="BR6" s="10">
        <v>3824</v>
      </c>
      <c r="BT6" s="10">
        <v>2831</v>
      </c>
      <c r="BV6" s="10">
        <v>2871</v>
      </c>
      <c r="BX6" s="10">
        <v>259</v>
      </c>
      <c r="BZ6" s="10">
        <v>181</v>
      </c>
      <c r="CB6" s="10">
        <v>294</v>
      </c>
      <c r="CD6" s="10">
        <v>5999</v>
      </c>
      <c r="CF6" s="10">
        <v>393</v>
      </c>
      <c r="CH6" s="10">
        <v>2658</v>
      </c>
      <c r="CJ6" s="10">
        <v>3740</v>
      </c>
      <c r="CK6" s="10" t="s">
        <v>1718</v>
      </c>
    </row>
    <row r="7" spans="1:89" s="10" customFormat="1" ht="30.75" customHeight="1" thickBot="1">
      <c r="A7" s="673">
        <v>6</v>
      </c>
      <c r="B7" s="674" t="s">
        <v>490</v>
      </c>
      <c r="C7" s="672" t="str">
        <f ca="1">E7</f>
        <v>{"bedarfsPrDate":"04.11.2025","klient":`${p.FamilyName1}, ${p.ManFirstName1}`,"thema":"Vermögen / Schulden","unterLagen":"Bank- und Postkontoauszüge","status":"nicht relevant","bemerkung":"keine"}</v>
      </c>
      <c r="D7" s="187" t="s">
        <v>263</v>
      </c>
      <c r="E7" s="45" t="str">
        <f ca="1">F7&amp;G7&amp;H7&amp;I7&amp;J7&amp;K7&amp;L7&amp;M7&amp;N7&amp;O7&amp;P7&amp;Q7&amp;R7&amp;S7</f>
        <v>{"bedarfsPrDate":"04.11.2025","klient":`${p.FamilyName1}, ${p.ManFirstName1}`,"thema":"Vermögen / Schulden","unterLagen":"Bank- und Postkontoauszüge","status":"nicht relevant","bemerkung":"keine"}</v>
      </c>
      <c r="F7" s="229" t="s">
        <v>491</v>
      </c>
      <c r="G7" s="230" t="str">
        <f ca="1">G6</f>
        <v>04.11.2025</v>
      </c>
      <c r="H7" s="231" t="s">
        <v>444</v>
      </c>
      <c r="I7" s="232" t="s">
        <v>492</v>
      </c>
      <c r="J7" s="231" t="s">
        <v>493</v>
      </c>
      <c r="K7" s="231" t="s">
        <v>504</v>
      </c>
      <c r="L7" s="231" t="s">
        <v>495</v>
      </c>
      <c r="M7" s="232" t="s">
        <v>505</v>
      </c>
      <c r="N7" s="231" t="s">
        <v>202</v>
      </c>
      <c r="O7" s="24" t="s">
        <v>506</v>
      </c>
      <c r="P7" s="231" t="s">
        <v>369</v>
      </c>
      <c r="Q7" s="24" t="s">
        <v>498</v>
      </c>
      <c r="R7" s="24" t="s">
        <v>37</v>
      </c>
      <c r="S7" s="24"/>
      <c r="T7" s="2"/>
      <c r="U7" s="2"/>
      <c r="V7" s="3">
        <v>71899</v>
      </c>
      <c r="W7" s="165">
        <f t="shared" ref="W7:Y7" si="5">V7/($V7)</f>
        <v>1</v>
      </c>
      <c r="X7" s="3">
        <v>25582</v>
      </c>
      <c r="Y7" s="165">
        <f t="shared" si="5"/>
        <v>0.35580467044047903</v>
      </c>
      <c r="Z7" s="2"/>
      <c r="AA7" s="165">
        <f t="shared" si="1"/>
        <v>0</v>
      </c>
      <c r="AB7" s="2">
        <v>9747</v>
      </c>
      <c r="AC7" s="165">
        <f t="shared" si="1"/>
        <v>0.13556516780483735</v>
      </c>
      <c r="AD7" s="2">
        <v>8349</v>
      </c>
      <c r="AE7" s="165">
        <f t="shared" si="1"/>
        <v>0.11612122560814477</v>
      </c>
      <c r="AF7" s="2">
        <v>7991</v>
      </c>
      <c r="AG7" s="165">
        <f t="shared" si="1"/>
        <v>0.11114201866507184</v>
      </c>
      <c r="AH7" s="2">
        <v>8299</v>
      </c>
      <c r="AI7" s="165">
        <f t="shared" si="1"/>
        <v>0.11542580564402843</v>
      </c>
      <c r="AJ7" s="2">
        <v>7147</v>
      </c>
      <c r="AK7" s="165">
        <f t="shared" si="1"/>
        <v>9.9403329670788187E-2</v>
      </c>
      <c r="AL7" s="2">
        <v>6880</v>
      </c>
      <c r="AM7" s="165">
        <f t="shared" si="1"/>
        <v>9.5689787062406981E-2</v>
      </c>
      <c r="AN7" s="2">
        <v>4043</v>
      </c>
      <c r="AO7" s="165">
        <f t="shared" si="1"/>
        <v>5.6231658298446431E-2</v>
      </c>
      <c r="AV7" s="10">
        <v>3681</v>
      </c>
      <c r="AX7" s="10">
        <v>4217</v>
      </c>
      <c r="AZ7" s="10">
        <v>4199</v>
      </c>
      <c r="BB7" s="10">
        <v>4147</v>
      </c>
      <c r="BD7" s="10">
        <v>4827</v>
      </c>
      <c r="BF7" s="10">
        <v>3554</v>
      </c>
      <c r="BH7" s="10">
        <v>3813</v>
      </c>
      <c r="BJ7" s="10">
        <v>3588</v>
      </c>
      <c r="BL7" s="10">
        <v>3829</v>
      </c>
      <c r="BR7" s="10">
        <v>5091</v>
      </c>
      <c r="BT7" s="10">
        <v>3139</v>
      </c>
      <c r="BV7" s="10">
        <v>3826</v>
      </c>
      <c r="CD7" s="10">
        <v>5889</v>
      </c>
      <c r="CH7" s="10">
        <v>3005</v>
      </c>
      <c r="CJ7" s="10">
        <v>3998</v>
      </c>
      <c r="CK7" s="10" t="s">
        <v>1718</v>
      </c>
    </row>
    <row r="8" spans="1:89" s="53" customFormat="1" ht="15.75" customHeight="1" thickBot="1">
      <c r="A8" s="669"/>
      <c r="B8" s="670"/>
      <c r="C8" s="671" t="s">
        <v>23</v>
      </c>
      <c r="D8" s="56"/>
      <c r="E8" s="57"/>
      <c r="F8" s="58"/>
      <c r="G8" s="233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2"/>
      <c r="U8" s="2"/>
      <c r="V8" s="3">
        <v>4002</v>
      </c>
      <c r="W8" s="165">
        <f t="shared" ref="W8:Y8" si="6">V8/($V8)</f>
        <v>1</v>
      </c>
      <c r="X8" s="3">
        <v>4003</v>
      </c>
      <c r="Y8" s="165">
        <f t="shared" si="6"/>
        <v>1.0002498750624689</v>
      </c>
      <c r="Z8" s="2"/>
      <c r="AA8" s="165">
        <f t="shared" si="1"/>
        <v>0</v>
      </c>
      <c r="AB8" s="2">
        <v>4007</v>
      </c>
      <c r="AC8" s="165">
        <f t="shared" si="1"/>
        <v>1.0012493753123439</v>
      </c>
      <c r="AD8" s="2">
        <v>4017</v>
      </c>
      <c r="AE8" s="165">
        <f t="shared" si="1"/>
        <v>1.0037481259370316</v>
      </c>
      <c r="AF8" s="2">
        <v>4010</v>
      </c>
      <c r="AG8" s="165">
        <f t="shared" si="1"/>
        <v>1.0019990004997501</v>
      </c>
      <c r="AH8" s="2">
        <v>4007</v>
      </c>
      <c r="AI8" s="165">
        <f t="shared" si="1"/>
        <v>1.0012493753123439</v>
      </c>
      <c r="AJ8" s="2">
        <v>4022</v>
      </c>
      <c r="AK8" s="165">
        <f t="shared" si="1"/>
        <v>1.0049975012493753</v>
      </c>
      <c r="AL8" s="2">
        <v>4011</v>
      </c>
      <c r="AM8" s="165">
        <f t="shared" si="1"/>
        <v>1.002248875562219</v>
      </c>
      <c r="AO8" s="165">
        <f t="shared" si="1"/>
        <v>0</v>
      </c>
    </row>
    <row r="9" spans="1:89">
      <c r="W9" s="2"/>
      <c r="X9" s="2">
        <f>SUM(X2:X8)</f>
        <v>95757</v>
      </c>
      <c r="Y9" s="2"/>
      <c r="AA9" s="2"/>
      <c r="AB9" s="2">
        <f>SUM(AB2:AB8)</f>
        <v>56685</v>
      </c>
      <c r="AC9" s="2"/>
      <c r="AD9" s="2">
        <f>SUM(AD2:AD8)</f>
        <v>52480</v>
      </c>
      <c r="AE9" s="2"/>
      <c r="AG9" s="2"/>
      <c r="AH9" s="2">
        <f>SUM(AH2:AH8)</f>
        <v>49786</v>
      </c>
      <c r="AI9" s="2"/>
      <c r="AK9" s="2"/>
      <c r="AM9" s="2"/>
      <c r="AO9" s="2"/>
    </row>
    <row r="10" spans="1:89" ht="15.75" customHeight="1">
      <c r="W10" s="2"/>
      <c r="Y10" s="2"/>
      <c r="AA10" s="2"/>
      <c r="AC10" s="2"/>
      <c r="AE10" s="2"/>
      <c r="AG10" s="2"/>
      <c r="AI10" s="2"/>
      <c r="AK10" s="2"/>
      <c r="AM10" s="2"/>
      <c r="AO10" s="2"/>
    </row>
    <row r="11" spans="1:89" s="10" customFormat="1" ht="17.25" customHeight="1">
      <c r="A11" s="234"/>
      <c r="B11" s="235" t="s">
        <v>490</v>
      </c>
      <c r="C11" s="187" t="str">
        <f t="shared" ref="C11" si="7">E11</f>
        <v>{"bedarfsPrDate":"0","klient":`${p.FamilyName1}, ${p.ManFirstName1}`,"thema":"Versicherungen","unterLagen":"Krankenkassenpolicen (KVG und VVG)","status":"vorhanden","bemerkung":"keine"}</v>
      </c>
      <c r="D11" s="187"/>
      <c r="E11" s="45" t="str">
        <f>F11&amp;G11&amp;H11&amp;I11&amp;J11&amp;K11&amp;L11&amp;M11&amp;N11&amp;O11&amp;P11&amp;Q11&amp;R11&amp;S11</f>
        <v>{"bedarfsPrDate":"0","klient":`${p.FamilyName1}, ${p.ManFirstName1}`,"thema":"Versicherungen","unterLagen":"Krankenkassenpolicen (KVG und VVG)","status":"vorhanden","bemerkung":"keine"}</v>
      </c>
      <c r="F11" s="236" t="s">
        <v>491</v>
      </c>
      <c r="G11" s="237">
        <f>G9</f>
        <v>0</v>
      </c>
      <c r="H11" s="238" t="s">
        <v>444</v>
      </c>
      <c r="I11" s="232" t="str">
        <f>I7</f>
        <v>${p.FamilyName1}, ${p.ManFirstName1}</v>
      </c>
      <c r="J11" s="187" t="s">
        <v>493</v>
      </c>
      <c r="K11" s="187" t="s">
        <v>501</v>
      </c>
      <c r="L11" s="187" t="s">
        <v>495</v>
      </c>
      <c r="M11" s="232" t="s">
        <v>502</v>
      </c>
      <c r="N11" s="187" t="s">
        <v>202</v>
      </c>
      <c r="O11" s="24" t="s">
        <v>497</v>
      </c>
      <c r="P11" s="187" t="s">
        <v>369</v>
      </c>
      <c r="Q11" s="24" t="s">
        <v>498</v>
      </c>
      <c r="R11" s="24" t="s">
        <v>37</v>
      </c>
      <c r="S11" s="24"/>
      <c r="T11" s="3"/>
      <c r="U11" s="3"/>
      <c r="V11" s="165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M11" s="2"/>
      <c r="AO11" s="2"/>
    </row>
    <row r="12" spans="1:89">
      <c r="W12" s="2"/>
      <c r="Y12" s="2"/>
      <c r="AA12" s="2"/>
      <c r="AC12" s="2"/>
      <c r="AE12" s="2"/>
      <c r="AG12" s="2"/>
      <c r="AI12" s="2"/>
      <c r="AK12" s="2"/>
      <c r="AM12" s="2"/>
      <c r="AO12" s="2"/>
    </row>
    <row r="13" spans="1:89">
      <c r="W13" s="2"/>
      <c r="Y13" s="2"/>
      <c r="AA13" s="2"/>
      <c r="AC13" s="2"/>
      <c r="AE13" s="2"/>
      <c r="AG13" s="2"/>
      <c r="AI13" s="2"/>
      <c r="AK13" s="2"/>
      <c r="AM13" s="2"/>
      <c r="AO13" s="2"/>
    </row>
    <row r="14" spans="1:89">
      <c r="W14" s="2"/>
      <c r="Y14" s="2"/>
      <c r="AA14" s="2"/>
      <c r="AC14" s="2"/>
      <c r="AE14" s="2"/>
      <c r="AG14" s="2"/>
      <c r="AI14" s="2"/>
      <c r="AK14" s="2"/>
      <c r="AM14" s="2"/>
      <c r="AO14" s="2"/>
    </row>
    <row r="15" spans="1:89">
      <c r="C15" s="2" t="s">
        <v>507</v>
      </c>
      <c r="W15" s="2"/>
      <c r="Y15" s="2"/>
      <c r="AA15" s="2"/>
      <c r="AC15" s="2"/>
      <c r="AE15" s="2"/>
      <c r="AG15" s="2"/>
      <c r="AI15" s="2"/>
      <c r="AK15" s="2"/>
      <c r="AM15" s="2"/>
      <c r="AO15" s="2"/>
    </row>
    <row r="16" spans="1:89">
      <c r="C16" s="2" t="s">
        <v>508</v>
      </c>
      <c r="W16" s="2"/>
      <c r="Y16" s="2"/>
      <c r="AA16" s="2"/>
      <c r="AC16" s="2"/>
      <c r="AE16" s="2"/>
      <c r="AG16" s="2"/>
      <c r="AI16" s="2"/>
      <c r="AK16" s="2"/>
      <c r="AM16" s="2"/>
      <c r="AO16" s="2"/>
    </row>
  </sheetData>
  <conditionalFormatting sqref="AC2:AC148 V11 AA2:AA148 Y2:Y148 W2:W148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E2:AE148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G2:AG148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I2:AI148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2:AK148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2:AM148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O2:AO148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CM9"/>
  <sheetViews>
    <sheetView zoomScaleNormal="100" workbookViewId="0">
      <pane xSplit="2" ySplit="1" topLeftCell="D2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ColWidth="9.140625" defaultRowHeight="14.25" customHeight="1"/>
  <cols>
    <col min="1" max="1" width="4.85546875" style="53" customWidth="1"/>
    <col min="2" max="2" width="58.7109375" style="2" customWidth="1"/>
    <col min="3" max="3" width="137.42578125" style="2" customWidth="1"/>
    <col min="4" max="4" width="9.140625" style="2" customWidth="1"/>
    <col min="5" max="5" width="19.28515625" style="3" customWidth="1"/>
    <col min="6" max="6" width="18.85546875" style="2" customWidth="1"/>
    <col min="7" max="8" width="26.85546875" style="2" customWidth="1"/>
    <col min="9" max="9" width="36.7109375" style="2" customWidth="1"/>
    <col min="10" max="10" width="10.140625" style="2" customWidth="1"/>
    <col min="11" max="11" width="36.5703125" style="2" customWidth="1"/>
    <col min="12" max="12" width="9.140625" style="2" customWidth="1"/>
    <col min="13" max="13" width="20.7109375" style="2" customWidth="1"/>
    <col min="14" max="14" width="40.28515625" style="2" customWidth="1"/>
    <col min="15" max="31" width="9.140625" style="2" customWidth="1"/>
    <col min="32" max="32" width="18" style="2" customWidth="1"/>
    <col min="33" max="33" width="30" style="2" customWidth="1"/>
    <col min="34" max="34" width="10" style="12" customWidth="1"/>
    <col min="35" max="37" width="30" style="2" customWidth="1"/>
    <col min="38" max="38" width="10" style="12" customWidth="1"/>
    <col min="39" max="40" width="30" style="2" customWidth="1"/>
    <col min="41" max="41" width="10" style="12" customWidth="1"/>
    <col min="42" max="42" width="30" style="2" customWidth="1"/>
    <col min="43" max="43" width="10" style="12" customWidth="1"/>
    <col min="44" max="44" width="30" style="2" customWidth="1"/>
    <col min="45" max="45" width="50" style="2" customWidth="1"/>
    <col min="46" max="46" width="30" style="2" customWidth="1"/>
    <col min="47" max="47" width="50" style="2" customWidth="1"/>
    <col min="48" max="48" width="20" style="2" customWidth="1"/>
    <col min="49" max="49" width="50" style="2" customWidth="1"/>
    <col min="50" max="50" width="20" style="2" customWidth="1"/>
    <col min="51" max="51" width="50" style="2" customWidth="1"/>
    <col min="52" max="52" width="20" style="2" customWidth="1"/>
    <col min="53" max="53" width="50" style="2" customWidth="1"/>
    <col min="54" max="54" width="20" style="2" customWidth="1"/>
    <col min="55" max="55" width="50" style="2" customWidth="1"/>
    <col min="56" max="56" width="20" style="2" customWidth="1"/>
    <col min="57" max="57" width="50" style="2" customWidth="1"/>
    <col min="58" max="58" width="20" style="2" customWidth="1"/>
    <col min="59" max="59" width="50" style="2" customWidth="1"/>
    <col min="60" max="60" width="20" style="2" customWidth="1"/>
    <col min="61" max="61" width="50" style="2" customWidth="1"/>
    <col min="62" max="62" width="20" style="2" customWidth="1"/>
    <col min="63" max="63" width="50" style="2" customWidth="1"/>
    <col min="64" max="64" width="20" style="2" customWidth="1"/>
    <col min="65" max="65" width="50" style="2" customWidth="1"/>
    <col min="66" max="66" width="20" style="2" customWidth="1"/>
    <col min="67" max="67" width="50" style="2" customWidth="1"/>
    <col min="68" max="68" width="20" style="2" customWidth="1"/>
    <col min="69" max="69" width="50" style="2" customWidth="1"/>
    <col min="70" max="70" width="20" style="2" customWidth="1"/>
    <col min="71" max="71" width="50" style="2" customWidth="1"/>
    <col min="72" max="72" width="20" style="2" customWidth="1"/>
    <col min="73" max="73" width="50" style="2" customWidth="1"/>
    <col min="74" max="74" width="20" style="2" customWidth="1"/>
    <col min="75" max="75" width="50" style="2" customWidth="1"/>
    <col min="76" max="76" width="20" style="2" customWidth="1"/>
    <col min="77" max="77" width="50" style="2" customWidth="1"/>
    <col min="78" max="78" width="20" style="2" customWidth="1"/>
    <col min="79" max="79" width="50" style="2" customWidth="1"/>
    <col min="80" max="80" width="20" style="2" customWidth="1"/>
    <col min="81" max="81" width="50" style="2" customWidth="1"/>
    <col min="82" max="82" width="20" style="2" customWidth="1"/>
    <col min="83" max="83" width="50" style="2" customWidth="1"/>
    <col min="84" max="84" width="20" style="2" customWidth="1"/>
    <col min="85" max="85" width="50" style="2" customWidth="1"/>
    <col min="86" max="86" width="20" style="2" customWidth="1"/>
    <col min="87" max="87" width="50" style="2" customWidth="1"/>
    <col min="88" max="88" width="20" style="2" customWidth="1"/>
    <col min="89" max="89" width="50" style="2" customWidth="1"/>
    <col min="90" max="90" width="20" style="2" customWidth="1"/>
    <col min="91" max="91" width="50" style="2" customWidth="1"/>
    <col min="92" max="16384" width="9.140625" style="2"/>
  </cols>
  <sheetData>
    <row r="1" spans="1:91" s="10" customFormat="1" ht="18.75" customHeight="1">
      <c r="A1" s="239" t="s">
        <v>0</v>
      </c>
      <c r="B1" s="39" t="s">
        <v>1</v>
      </c>
      <c r="C1" s="39" t="s">
        <v>2</v>
      </c>
      <c r="D1" s="39" t="s">
        <v>3</v>
      </c>
      <c r="E1" s="40"/>
      <c r="F1" s="2" t="s">
        <v>4</v>
      </c>
      <c r="G1" s="2558">
        <f>5*60*1000*SpeedFaktor</f>
        <v>300000</v>
      </c>
      <c r="H1" s="2">
        <v>10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5</v>
      </c>
      <c r="AF1" s="158" t="s">
        <v>489</v>
      </c>
      <c r="AG1" s="2" t="s">
        <v>10</v>
      </c>
      <c r="AH1" s="24" t="s">
        <v>8</v>
      </c>
      <c r="AI1" s="2" t="s">
        <v>11</v>
      </c>
      <c r="AJ1" s="2" t="s">
        <v>12</v>
      </c>
      <c r="AK1" s="2" t="s">
        <v>13</v>
      </c>
      <c r="AL1" s="24" t="s">
        <v>8</v>
      </c>
      <c r="AM1" s="2" t="s">
        <v>65</v>
      </c>
      <c r="AN1" s="2" t="s">
        <v>65</v>
      </c>
      <c r="AO1" s="24" t="s">
        <v>8</v>
      </c>
      <c r="AP1" s="10" t="s">
        <v>17</v>
      </c>
      <c r="AQ1" s="24" t="s">
        <v>8</v>
      </c>
      <c r="AR1" s="10" t="s">
        <v>1285</v>
      </c>
      <c r="AS1" s="10" t="s">
        <v>19</v>
      </c>
      <c r="AT1" s="10" t="s">
        <v>1286</v>
      </c>
      <c r="AU1" s="10" t="s">
        <v>20</v>
      </c>
      <c r="AV1" s="499" t="s">
        <v>1303</v>
      </c>
      <c r="AW1" s="500" t="s">
        <v>572</v>
      </c>
      <c r="AX1" s="579" t="s">
        <v>1307</v>
      </c>
      <c r="AY1" s="580" t="s">
        <v>572</v>
      </c>
      <c r="AZ1" s="797" t="s">
        <v>1311</v>
      </c>
      <c r="BA1" s="798" t="s">
        <v>572</v>
      </c>
      <c r="BB1" s="923" t="s">
        <v>1318</v>
      </c>
      <c r="BC1" s="924" t="s">
        <v>572</v>
      </c>
      <c r="BD1" s="1048" t="s">
        <v>1322</v>
      </c>
      <c r="BE1" s="1049" t="s">
        <v>572</v>
      </c>
      <c r="BF1" s="1070" t="s">
        <v>1324</v>
      </c>
      <c r="BG1" s="1071" t="s">
        <v>572</v>
      </c>
      <c r="BH1" s="1270" t="s">
        <v>1341</v>
      </c>
      <c r="BI1" s="1271" t="s">
        <v>572</v>
      </c>
      <c r="BJ1" s="1506" t="s">
        <v>1363</v>
      </c>
      <c r="BK1" s="1507" t="s">
        <v>572</v>
      </c>
      <c r="BL1" s="1652" t="s">
        <v>1368</v>
      </c>
      <c r="BM1" s="1653" t="s">
        <v>572</v>
      </c>
      <c r="BN1" s="1793" t="s">
        <v>1371</v>
      </c>
      <c r="BO1" s="1794" t="s">
        <v>572</v>
      </c>
      <c r="BP1" s="1941" t="s">
        <v>1375</v>
      </c>
      <c r="BQ1" s="1942" t="s">
        <v>572</v>
      </c>
      <c r="BR1" s="2051" t="s">
        <v>1397</v>
      </c>
      <c r="BS1" s="2052" t="s">
        <v>572</v>
      </c>
      <c r="BT1" s="2243" t="s">
        <v>1421</v>
      </c>
      <c r="BU1" s="2244" t="s">
        <v>572</v>
      </c>
      <c r="BV1" s="2408" t="s">
        <v>1430</v>
      </c>
      <c r="BW1" s="2409" t="s">
        <v>572</v>
      </c>
      <c r="BX1" s="2571" t="s">
        <v>1442</v>
      </c>
      <c r="BY1" s="2572" t="s">
        <v>572</v>
      </c>
      <c r="BZ1" s="2756" t="s">
        <v>1460</v>
      </c>
      <c r="CA1" s="2757" t="s">
        <v>572</v>
      </c>
      <c r="CB1" s="2930" t="s">
        <v>1472</v>
      </c>
      <c r="CC1" s="2931" t="s">
        <v>572</v>
      </c>
      <c r="CD1" s="3118" t="s">
        <v>1492</v>
      </c>
      <c r="CE1" s="3119" t="s">
        <v>572</v>
      </c>
      <c r="CF1" s="3298" t="s">
        <v>1503</v>
      </c>
      <c r="CG1" s="3299" t="s">
        <v>572</v>
      </c>
      <c r="CH1" s="3470" t="s">
        <v>1519</v>
      </c>
      <c r="CI1" s="3471" t="s">
        <v>572</v>
      </c>
      <c r="CJ1" s="3758" t="s">
        <v>1666</v>
      </c>
      <c r="CK1" s="3759" t="s">
        <v>572</v>
      </c>
      <c r="CL1" s="3981" t="s">
        <v>1717</v>
      </c>
      <c r="CM1" s="3982" t="s">
        <v>572</v>
      </c>
    </row>
    <row r="2" spans="1:91" s="10" customFormat="1" ht="18.75" customHeight="1">
      <c r="A2" s="122">
        <v>1</v>
      </c>
      <c r="B2" s="675" t="s">
        <v>21</v>
      </c>
      <c r="C2" s="597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12">
        <v>1669</v>
      </c>
      <c r="AG2" s="2">
        <v>2493</v>
      </c>
      <c r="AH2" s="156">
        <f>AG2/($AF2)</f>
        <v>1.4937088076692631</v>
      </c>
      <c r="AI2" s="2">
        <v>2565</v>
      </c>
      <c r="AJ2" s="2">
        <v>1850</v>
      </c>
      <c r="AK2" s="2">
        <v>1530</v>
      </c>
      <c r="AL2" s="156">
        <f>AK2/($AF2)</f>
        <v>0.91671659676452966</v>
      </c>
      <c r="AM2" s="2">
        <v>2673</v>
      </c>
      <c r="AN2" s="2">
        <v>2673</v>
      </c>
      <c r="AO2" s="156">
        <f t="shared" ref="AO2:AO7" si="0">AN2/($AF2)</f>
        <v>1.6015578190533253</v>
      </c>
      <c r="AP2" s="2">
        <v>1302</v>
      </c>
      <c r="AQ2" s="156">
        <f>AP2/($AF2)</f>
        <v>0.78010784901138408</v>
      </c>
      <c r="AR2" s="2">
        <v>1470</v>
      </c>
      <c r="AS2" s="2"/>
      <c r="AT2" s="2">
        <v>569</v>
      </c>
      <c r="AU2" s="2"/>
      <c r="AV2" s="10">
        <v>1618</v>
      </c>
      <c r="AX2" s="10">
        <v>1131</v>
      </c>
      <c r="AZ2" s="10">
        <v>1179</v>
      </c>
      <c r="BB2" s="10">
        <v>1186</v>
      </c>
      <c r="BD2" s="10">
        <v>1327</v>
      </c>
      <c r="BF2" s="10">
        <v>1313</v>
      </c>
      <c r="BH2" s="10">
        <v>1103</v>
      </c>
      <c r="BJ2" s="10">
        <v>1143</v>
      </c>
      <c r="BL2" s="10">
        <v>1032</v>
      </c>
      <c r="BN2" s="10">
        <v>1086</v>
      </c>
      <c r="BP2" s="10">
        <v>1591</v>
      </c>
      <c r="BR2" s="10">
        <v>1780</v>
      </c>
      <c r="BT2" s="10">
        <v>1813</v>
      </c>
      <c r="BV2" s="10">
        <v>1708</v>
      </c>
      <c r="BX2" s="10">
        <v>1246</v>
      </c>
      <c r="BZ2" s="10">
        <v>1241</v>
      </c>
      <c r="CB2" s="10">
        <v>1653</v>
      </c>
      <c r="CD2" s="10">
        <v>1207</v>
      </c>
      <c r="CF2" s="10">
        <v>1143</v>
      </c>
      <c r="CH2" s="10">
        <v>1063</v>
      </c>
      <c r="CJ2" s="10">
        <v>981</v>
      </c>
      <c r="CL2" s="10">
        <v>885</v>
      </c>
      <c r="CM2" s="10" t="s">
        <v>1718</v>
      </c>
    </row>
    <row r="3" spans="1:91" s="10" customFormat="1" ht="18.75" customHeight="1">
      <c r="A3" s="122">
        <v>2</v>
      </c>
      <c r="B3" s="676" t="s">
        <v>25</v>
      </c>
      <c r="C3" s="675" t="str">
        <f>E3</f>
        <v>{"username":"bern.sozialarbeiterin1a@diartis.ch","password":"SMze97-jkSJ59!F.","fullname":"Sozialarbeiterin 1A Bern","team":"Sozialarbeit Bern 1"}</v>
      </c>
      <c r="D3" s="13"/>
      <c r="E3" s="45" t="str">
        <f>F3&amp;G3&amp;H3&amp;I3&amp;J3&amp;K3&amp;L3&amp;M3&amp;N3&amp;O3&amp;P3&amp;Q3&amp;R3&amp;S3&amp;T3&amp;U3</f>
        <v>{"username":"bern.sozialarbeiterin1a@diartis.ch","password":"SMze97-jkSJ59!F.","fullname":"Sozialarbeiterin 1A Bern","team":"Sozialarbeit Bern 1"}</v>
      </c>
      <c r="F3" s="152" t="s">
        <v>29</v>
      </c>
      <c r="G3" s="13" t="s">
        <v>71</v>
      </c>
      <c r="H3" s="152" t="s">
        <v>31</v>
      </c>
      <c r="I3" s="13" t="s">
        <v>72</v>
      </c>
      <c r="J3" s="152" t="s">
        <v>73</v>
      </c>
      <c r="K3" s="13" t="s">
        <v>74</v>
      </c>
      <c r="L3" s="152" t="s">
        <v>75</v>
      </c>
      <c r="M3" s="13" t="s">
        <v>76</v>
      </c>
      <c r="N3" s="152" t="s">
        <v>37</v>
      </c>
      <c r="O3" s="152"/>
      <c r="P3" s="13"/>
      <c r="Q3" s="152"/>
      <c r="R3" s="13"/>
      <c r="S3" s="152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45">
        <v>9330</v>
      </c>
      <c r="AG3" s="13">
        <v>11423</v>
      </c>
      <c r="AH3" s="156">
        <f t="shared" ref="AH3:AH7" si="1">AG3/($AF3)</f>
        <v>1.2243301178992498</v>
      </c>
      <c r="AI3" s="13">
        <v>9375</v>
      </c>
      <c r="AJ3" s="13">
        <v>9053</v>
      </c>
      <c r="AK3" s="13">
        <v>8895</v>
      </c>
      <c r="AL3" s="156">
        <f t="shared" ref="AL3:AL7" si="2">AK3/($AF3)</f>
        <v>0.95337620578778137</v>
      </c>
      <c r="AM3" s="13">
        <v>10405</v>
      </c>
      <c r="AN3" s="13">
        <v>10405</v>
      </c>
      <c r="AO3" s="156">
        <f t="shared" si="0"/>
        <v>1.115219721329046</v>
      </c>
      <c r="AP3" s="2">
        <v>8130</v>
      </c>
      <c r="AQ3" s="156">
        <f t="shared" ref="AQ3:AQ7" si="3">AP3/($AF3)</f>
        <v>0.87138263665594851</v>
      </c>
      <c r="AR3" s="2">
        <v>7274</v>
      </c>
      <c r="AS3" s="2"/>
      <c r="AT3" s="2">
        <v>5176</v>
      </c>
      <c r="AU3" s="2"/>
      <c r="AV3" s="10">
        <v>8094</v>
      </c>
      <c r="AX3" s="10">
        <v>8259</v>
      </c>
      <c r="AZ3" s="10">
        <v>9429</v>
      </c>
      <c r="BB3" s="10">
        <v>8213</v>
      </c>
      <c r="BD3" s="10">
        <v>7475</v>
      </c>
      <c r="BF3" s="10">
        <v>7978</v>
      </c>
      <c r="BH3" s="10">
        <v>6771</v>
      </c>
      <c r="BJ3" s="10">
        <v>7785</v>
      </c>
      <c r="BL3" s="10">
        <v>7415</v>
      </c>
      <c r="BN3" s="10">
        <v>7297</v>
      </c>
      <c r="BP3" s="10">
        <v>10321</v>
      </c>
      <c r="BR3" s="10">
        <v>7684</v>
      </c>
      <c r="BT3" s="10">
        <v>11739</v>
      </c>
      <c r="BV3" s="10">
        <v>6493</v>
      </c>
      <c r="BX3" s="10">
        <v>6686</v>
      </c>
      <c r="BZ3" s="10">
        <v>9447</v>
      </c>
      <c r="CB3" s="10">
        <v>8247</v>
      </c>
      <c r="CD3" s="10">
        <v>10562</v>
      </c>
      <c r="CF3" s="10">
        <v>7772</v>
      </c>
      <c r="CH3" s="10">
        <v>9203</v>
      </c>
      <c r="CJ3" s="10">
        <v>7703</v>
      </c>
      <c r="CL3" s="10">
        <v>8431</v>
      </c>
      <c r="CM3" s="10" t="s">
        <v>1718</v>
      </c>
    </row>
    <row r="4" spans="1:91" s="10" customFormat="1" ht="18.75" customHeight="1">
      <c r="A4" s="122">
        <v>3</v>
      </c>
      <c r="B4" s="597" t="s">
        <v>139</v>
      </c>
      <c r="C4" s="677" t="str">
        <f>E4</f>
        <v>{"searchDossierOrKlient":p.DossierName1,"resultType":"Dossiers"}</v>
      </c>
      <c r="D4" s="90"/>
      <c r="E4" s="45" t="str">
        <f t="shared" ref="E4:E7" si="4">F4&amp;G4&amp;H4&amp;I4&amp;J4&amp;K4&amp;L4&amp;M4&amp;N4&amp;O4&amp;P4&amp;Q4&amp;R4&amp;S4&amp;T4&amp;U4</f>
        <v>{"searchDossierOrKlient":p.DossierName1,"resultType":"Dossiers"}</v>
      </c>
      <c r="F4" s="92" t="s">
        <v>140</v>
      </c>
      <c r="G4" s="64" t="s">
        <v>449</v>
      </c>
      <c r="H4" s="92" t="s">
        <v>141</v>
      </c>
      <c r="I4" s="90" t="s">
        <v>142</v>
      </c>
      <c r="J4" s="92" t="s">
        <v>37</v>
      </c>
      <c r="K4" s="90"/>
      <c r="L4" s="92"/>
      <c r="M4" s="90"/>
      <c r="N4" s="92"/>
      <c r="O4" s="92"/>
      <c r="P4" s="90"/>
      <c r="Q4" s="92"/>
      <c r="R4" s="90"/>
      <c r="S4" s="92"/>
      <c r="T4" s="90"/>
      <c r="U4" s="90"/>
      <c r="V4" s="90"/>
      <c r="W4" s="91"/>
      <c r="X4" s="91"/>
      <c r="Y4" s="91"/>
      <c r="Z4" s="91"/>
      <c r="AA4" s="90"/>
      <c r="AB4" s="90"/>
      <c r="AC4" s="90"/>
      <c r="AD4" s="90"/>
      <c r="AE4" s="90"/>
      <c r="AF4" s="91">
        <v>4009</v>
      </c>
      <c r="AG4" s="90">
        <v>11209</v>
      </c>
      <c r="AH4" s="156">
        <f t="shared" si="1"/>
        <v>2.7959590920429034</v>
      </c>
      <c r="AI4" s="90">
        <v>11264</v>
      </c>
      <c r="AJ4" s="90">
        <v>11229</v>
      </c>
      <c r="AK4" s="90">
        <v>10673</v>
      </c>
      <c r="AL4" s="156">
        <f t="shared" si="2"/>
        <v>2.6622599151908206</v>
      </c>
      <c r="AM4" s="90">
        <v>2808</v>
      </c>
      <c r="AN4" s="90">
        <v>2808</v>
      </c>
      <c r="AO4" s="156">
        <f t="shared" si="0"/>
        <v>0.70042404589673235</v>
      </c>
      <c r="AP4" s="2">
        <v>5143</v>
      </c>
      <c r="AQ4" s="156">
        <f t="shared" si="3"/>
        <v>1.2828635569967572</v>
      </c>
      <c r="AR4" s="2">
        <v>5136</v>
      </c>
      <c r="AS4" s="2"/>
      <c r="AT4" s="2">
        <v>5706</v>
      </c>
      <c r="AU4" s="2"/>
      <c r="AV4" s="10">
        <v>5290</v>
      </c>
      <c r="AX4" s="10">
        <v>5439</v>
      </c>
      <c r="AZ4" s="10">
        <v>5694</v>
      </c>
      <c r="BB4" s="10">
        <v>5339</v>
      </c>
      <c r="BD4" s="10">
        <v>5644</v>
      </c>
      <c r="BF4" s="10">
        <v>5262</v>
      </c>
      <c r="BH4" s="10">
        <v>5417</v>
      </c>
      <c r="BJ4" s="10">
        <v>2772</v>
      </c>
      <c r="BL4" s="10">
        <v>2931</v>
      </c>
      <c r="BN4" s="10">
        <v>3011</v>
      </c>
      <c r="BP4" s="10">
        <v>4832</v>
      </c>
      <c r="BR4" s="10">
        <v>5839</v>
      </c>
      <c r="BT4" s="10">
        <v>4977</v>
      </c>
      <c r="BV4" s="10">
        <v>5796</v>
      </c>
      <c r="BX4" s="10">
        <v>8130</v>
      </c>
      <c r="BZ4" s="10">
        <v>4875</v>
      </c>
      <c r="CB4" s="10">
        <v>5159</v>
      </c>
      <c r="CD4" s="10">
        <v>4439</v>
      </c>
      <c r="CF4" s="10">
        <v>4931</v>
      </c>
      <c r="CH4" s="10">
        <v>4528</v>
      </c>
      <c r="CJ4" s="10">
        <v>4871</v>
      </c>
      <c r="CL4" s="10">
        <v>5254</v>
      </c>
      <c r="CM4" s="10" t="s">
        <v>1718</v>
      </c>
    </row>
    <row r="5" spans="1:91" s="10" customFormat="1" ht="19.5" customHeight="1">
      <c r="A5" s="24">
        <v>4</v>
      </c>
      <c r="B5" s="240" t="s">
        <v>509</v>
      </c>
      <c r="C5" s="187" t="str">
        <f ca="1">E5</f>
        <v>{"bedarfsPrDate":"04.11.2025","klient":`${p.FamilyName1}, ${p.ManFirstName1}`,"thema":"Ausbildung"}</v>
      </c>
      <c r="D5" s="187" t="s">
        <v>263</v>
      </c>
      <c r="E5" s="45" t="str">
        <f t="shared" ca="1" si="4"/>
        <v>{"bedarfsPrDate":"04.11.2025","klient":`${p.FamilyName1}, ${p.ManFirstName1}`,"thema":"Ausbildung"}</v>
      </c>
      <c r="F5" s="236" t="s">
        <v>491</v>
      </c>
      <c r="G5" s="187" t="str">
        <f ca="1">TEXT(TEXT(TODAY(),"DD")&amp;"."&amp;TEXT(TODAY(),"MM")&amp;"."&amp;TEXT(TODAY(),"YYYY"),"DD.MM.YYYY")</f>
        <v>04.11.2025</v>
      </c>
      <c r="H5" s="187" t="s">
        <v>444</v>
      </c>
      <c r="I5" s="232" t="s">
        <v>492</v>
      </c>
      <c r="J5" s="187" t="s">
        <v>493</v>
      </c>
      <c r="K5" s="187" t="s">
        <v>494</v>
      </c>
      <c r="L5" s="187"/>
      <c r="M5" s="232"/>
      <c r="N5" s="24" t="s">
        <v>37</v>
      </c>
      <c r="O5" s="24"/>
      <c r="P5" s="24"/>
      <c r="Q5" s="24"/>
      <c r="R5" s="24"/>
      <c r="S5" s="186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187"/>
      <c r="AF5" s="24">
        <v>7950</v>
      </c>
      <c r="AG5" s="24">
        <v>0</v>
      </c>
      <c r="AH5" s="156">
        <f t="shared" si="1"/>
        <v>0</v>
      </c>
      <c r="AI5" s="24">
        <v>0</v>
      </c>
      <c r="AJ5" s="24">
        <v>0</v>
      </c>
      <c r="AK5" s="24">
        <v>7950</v>
      </c>
      <c r="AL5" s="156">
        <f t="shared" si="2"/>
        <v>1</v>
      </c>
      <c r="AM5" s="24">
        <v>8619</v>
      </c>
      <c r="AN5" s="24">
        <v>8619</v>
      </c>
      <c r="AO5" s="156">
        <f t="shared" si="0"/>
        <v>1.0841509433962264</v>
      </c>
      <c r="AP5" s="2">
        <v>3829</v>
      </c>
      <c r="AQ5" s="156">
        <f t="shared" si="3"/>
        <v>0.48163522012578619</v>
      </c>
      <c r="AR5" s="2">
        <v>0</v>
      </c>
      <c r="AS5" s="2" t="s">
        <v>510</v>
      </c>
      <c r="AT5" s="2">
        <v>0</v>
      </c>
      <c r="AU5" s="2" t="s">
        <v>511</v>
      </c>
      <c r="AV5" s="501">
        <v>0</v>
      </c>
      <c r="AW5" s="502" t="s">
        <v>1305</v>
      </c>
      <c r="AX5" s="10">
        <v>3964</v>
      </c>
      <c r="AZ5" s="10">
        <v>4334</v>
      </c>
      <c r="BB5" s="10">
        <v>4252</v>
      </c>
      <c r="BD5" s="10">
        <v>3215</v>
      </c>
      <c r="BF5" s="10">
        <v>3845</v>
      </c>
      <c r="BH5" s="10">
        <v>2845</v>
      </c>
      <c r="BJ5" s="10">
        <v>3850</v>
      </c>
      <c r="BL5" s="10">
        <v>3888</v>
      </c>
      <c r="BN5" s="10">
        <v>3759</v>
      </c>
      <c r="BP5" s="1943">
        <v>0</v>
      </c>
      <c r="BQ5" s="1944" t="s">
        <v>1378</v>
      </c>
      <c r="BR5" s="2053">
        <v>0</v>
      </c>
      <c r="BS5" s="2054" t="s">
        <v>1400</v>
      </c>
      <c r="BT5" s="10">
        <v>2851</v>
      </c>
      <c r="BV5" s="10">
        <v>2664</v>
      </c>
      <c r="BX5" s="10">
        <v>3382</v>
      </c>
      <c r="BZ5" s="2758">
        <v>0</v>
      </c>
      <c r="CA5" s="2759" t="s">
        <v>1462</v>
      </c>
      <c r="CB5" s="2932">
        <v>0</v>
      </c>
      <c r="CC5" s="2933" t="s">
        <v>1476</v>
      </c>
      <c r="CD5" s="3120">
        <v>0</v>
      </c>
      <c r="CE5" s="3121" t="s">
        <v>1494</v>
      </c>
      <c r="CF5" s="10">
        <v>5350</v>
      </c>
      <c r="CH5" s="3472">
        <v>0</v>
      </c>
      <c r="CI5" s="3473" t="s">
        <v>1523</v>
      </c>
      <c r="CJ5" s="10">
        <v>2993</v>
      </c>
      <c r="CL5" s="10">
        <v>3115</v>
      </c>
      <c r="CM5" s="10" t="s">
        <v>1718</v>
      </c>
    </row>
    <row r="6" spans="1:91" s="10" customFormat="1" ht="18.75" customHeight="1">
      <c r="A6" s="24">
        <v>5</v>
      </c>
      <c r="B6" s="240" t="s">
        <v>509</v>
      </c>
      <c r="C6" s="187" t="str">
        <f ca="1">E6</f>
        <v>{"bedarfsPrDate":"04.11.2025","klient":`${p.FamilyName1}, ${p.ManFirstName1}`,"thema":"Versicherungen"}</v>
      </c>
      <c r="D6" s="187" t="s">
        <v>263</v>
      </c>
      <c r="E6" s="45" t="str">
        <f t="shared" ca="1" si="4"/>
        <v>{"bedarfsPrDate":"04.11.2025","klient":`${p.FamilyName1}, ${p.ManFirstName1}`,"thema":"Versicherungen"}</v>
      </c>
      <c r="F6" s="236" t="s">
        <v>491</v>
      </c>
      <c r="G6" s="187" t="str">
        <f ca="1">G5</f>
        <v>04.11.2025</v>
      </c>
      <c r="H6" s="187" t="s">
        <v>444</v>
      </c>
      <c r="I6" s="232" t="s">
        <v>492</v>
      </c>
      <c r="J6" s="187" t="s">
        <v>493</v>
      </c>
      <c r="K6" s="187" t="s">
        <v>501</v>
      </c>
      <c r="L6" s="187"/>
      <c r="M6" s="232"/>
      <c r="N6" s="24" t="s">
        <v>37</v>
      </c>
      <c r="O6" s="24"/>
      <c r="P6" s="24"/>
      <c r="Q6" s="24"/>
      <c r="R6" s="24"/>
      <c r="S6" s="186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187"/>
      <c r="AF6" s="24">
        <v>7025</v>
      </c>
      <c r="AG6" s="24">
        <v>288</v>
      </c>
      <c r="AH6" s="156">
        <f t="shared" si="1"/>
        <v>4.0996441281138787E-2</v>
      </c>
      <c r="AI6" s="24">
        <v>358</v>
      </c>
      <c r="AJ6" s="24">
        <v>207</v>
      </c>
      <c r="AK6" s="24">
        <v>7025</v>
      </c>
      <c r="AL6" s="156">
        <f t="shared" si="2"/>
        <v>1</v>
      </c>
      <c r="AM6" s="24">
        <v>6854</v>
      </c>
      <c r="AN6" s="24">
        <v>6854</v>
      </c>
      <c r="AO6" s="156">
        <f t="shared" si="0"/>
        <v>0.97565836298932385</v>
      </c>
      <c r="AP6" s="2">
        <v>3153</v>
      </c>
      <c r="AQ6" s="156">
        <f t="shared" si="3"/>
        <v>0.44882562277580074</v>
      </c>
      <c r="AR6" s="2">
        <v>279</v>
      </c>
      <c r="AS6" s="2"/>
      <c r="AT6" s="2">
        <v>211</v>
      </c>
      <c r="AU6" s="2"/>
      <c r="AV6" s="10">
        <v>351</v>
      </c>
      <c r="AX6" s="10">
        <v>3011</v>
      </c>
      <c r="AZ6" s="10">
        <v>2808</v>
      </c>
      <c r="BB6" s="10">
        <v>3019</v>
      </c>
      <c r="BD6" s="10">
        <v>3007</v>
      </c>
      <c r="BF6" s="10">
        <v>3839</v>
      </c>
      <c r="BH6" s="10">
        <v>2284</v>
      </c>
      <c r="BJ6" s="10">
        <v>2979</v>
      </c>
      <c r="BL6" s="10">
        <v>2463</v>
      </c>
      <c r="BN6" s="10">
        <v>2633</v>
      </c>
      <c r="BP6" s="10">
        <v>298</v>
      </c>
      <c r="BR6" s="10">
        <v>183</v>
      </c>
      <c r="BT6" s="10">
        <v>2770</v>
      </c>
      <c r="BV6" s="10">
        <v>1976</v>
      </c>
      <c r="BX6" s="10">
        <v>2390</v>
      </c>
      <c r="BZ6" s="10">
        <v>198</v>
      </c>
      <c r="CB6" s="10">
        <v>212</v>
      </c>
      <c r="CD6" s="10">
        <v>302</v>
      </c>
      <c r="CF6" s="10">
        <v>3768</v>
      </c>
      <c r="CH6" s="10">
        <v>421</v>
      </c>
      <c r="CJ6" s="10">
        <v>2409</v>
      </c>
      <c r="CL6" s="10">
        <v>2511</v>
      </c>
      <c r="CM6" s="10" t="s">
        <v>1718</v>
      </c>
    </row>
    <row r="7" spans="1:91" s="10" customFormat="1" ht="18.75" customHeight="1">
      <c r="A7" s="24">
        <v>6</v>
      </c>
      <c r="B7" s="240" t="s">
        <v>509</v>
      </c>
      <c r="C7" s="187" t="str">
        <f ca="1">E7</f>
        <v>{"bedarfsPrDate":"04.11.2025","klient":`${p.FamilyName1}, ${p.ManFirstName1}`,"thema":"Vermögen / Schulden"}</v>
      </c>
      <c r="D7" s="187" t="s">
        <v>263</v>
      </c>
      <c r="E7" s="45" t="str">
        <f t="shared" ca="1" si="4"/>
        <v>{"bedarfsPrDate":"04.11.2025","klient":`${p.FamilyName1}, ${p.ManFirstName1}`,"thema":"Vermögen / Schulden"}</v>
      </c>
      <c r="F7" s="236" t="s">
        <v>491</v>
      </c>
      <c r="G7" s="187" t="str">
        <f ca="1">G6</f>
        <v>04.11.2025</v>
      </c>
      <c r="H7" s="187" t="s">
        <v>444</v>
      </c>
      <c r="I7" s="232" t="s">
        <v>492</v>
      </c>
      <c r="J7" s="187" t="s">
        <v>493</v>
      </c>
      <c r="K7" s="187" t="s">
        <v>504</v>
      </c>
      <c r="L7" s="187"/>
      <c r="M7" s="232"/>
      <c r="N7" s="24" t="s">
        <v>37</v>
      </c>
      <c r="O7" s="24"/>
      <c r="P7" s="24"/>
      <c r="Q7" s="24"/>
      <c r="R7" s="24"/>
      <c r="S7" s="186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187"/>
      <c r="AF7" s="24">
        <v>6767</v>
      </c>
      <c r="AG7" s="24"/>
      <c r="AH7" s="156">
        <f t="shared" si="1"/>
        <v>0</v>
      </c>
      <c r="AI7" s="24"/>
      <c r="AJ7" s="24"/>
      <c r="AK7" s="24">
        <v>6767</v>
      </c>
      <c r="AL7" s="156">
        <f t="shared" si="2"/>
        <v>1</v>
      </c>
      <c r="AM7" s="24">
        <v>5858</v>
      </c>
      <c r="AN7" s="24">
        <v>5858</v>
      </c>
      <c r="AO7" s="156">
        <f t="shared" si="0"/>
        <v>0.86567164179104472</v>
      </c>
      <c r="AP7" s="2">
        <v>2455</v>
      </c>
      <c r="AQ7" s="156">
        <f t="shared" si="3"/>
        <v>0.36279001034431801</v>
      </c>
      <c r="AX7" s="10">
        <v>3039</v>
      </c>
      <c r="AZ7" s="10">
        <v>3095</v>
      </c>
      <c r="BB7" s="10">
        <v>2438</v>
      </c>
      <c r="BD7" s="10">
        <v>2433</v>
      </c>
      <c r="BF7" s="10">
        <v>2470</v>
      </c>
      <c r="BH7" s="10">
        <v>2163</v>
      </c>
      <c r="BJ7" s="10">
        <v>2192</v>
      </c>
      <c r="BL7" s="10">
        <v>2537</v>
      </c>
      <c r="BN7" s="10">
        <v>2163</v>
      </c>
      <c r="BT7" s="10">
        <v>2065</v>
      </c>
      <c r="BV7" s="10">
        <v>2229</v>
      </c>
      <c r="BX7" s="10">
        <v>2863</v>
      </c>
      <c r="CF7" s="10">
        <v>3965</v>
      </c>
      <c r="CJ7" s="10">
        <v>2447</v>
      </c>
      <c r="CL7" s="10">
        <v>4066</v>
      </c>
      <c r="CM7" s="10" t="s">
        <v>1718</v>
      </c>
    </row>
    <row r="8" spans="1:91" s="53" customFormat="1" ht="15.75" customHeight="1">
      <c r="A8" s="2">
        <v>7</v>
      </c>
      <c r="B8" s="72" t="s">
        <v>22</v>
      </c>
      <c r="C8" s="55" t="s">
        <v>23</v>
      </c>
      <c r="D8" s="56"/>
      <c r="E8" s="57"/>
      <c r="F8" s="58"/>
      <c r="G8" s="59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>
        <v>4003</v>
      </c>
      <c r="AG8" s="56"/>
      <c r="AH8" s="2"/>
      <c r="AI8" s="56"/>
      <c r="AJ8" s="56"/>
      <c r="AK8" s="56">
        <v>4020</v>
      </c>
      <c r="AL8" s="2"/>
      <c r="AM8" s="56">
        <v>4016</v>
      </c>
      <c r="AN8" s="56">
        <v>4016</v>
      </c>
      <c r="AO8" s="2"/>
      <c r="AP8" s="2">
        <v>4019</v>
      </c>
      <c r="AQ8" s="2"/>
      <c r="AX8" s="53">
        <v>4017</v>
      </c>
      <c r="AZ8" s="53">
        <v>4017</v>
      </c>
      <c r="BB8" s="53">
        <v>4016</v>
      </c>
      <c r="BD8" s="53">
        <v>4016</v>
      </c>
      <c r="BF8" s="53">
        <v>4006</v>
      </c>
      <c r="BH8" s="53">
        <v>4004</v>
      </c>
      <c r="BJ8" s="53">
        <v>4017</v>
      </c>
      <c r="BL8" s="53">
        <v>4018</v>
      </c>
      <c r="BN8" s="53">
        <v>4014</v>
      </c>
      <c r="BT8" s="53">
        <v>4009</v>
      </c>
      <c r="BV8" s="53">
        <v>4013</v>
      </c>
      <c r="BX8" s="53">
        <v>4018</v>
      </c>
      <c r="CF8" s="53">
        <v>4014</v>
      </c>
      <c r="CJ8" s="53">
        <v>4013</v>
      </c>
      <c r="CL8" s="53">
        <v>4007</v>
      </c>
      <c r="CM8" s="53" t="s">
        <v>1718</v>
      </c>
    </row>
    <row r="9" spans="1:91" ht="14.25" customHeight="1">
      <c r="AK9" s="2">
        <f>SUM(AK2:AK8)</f>
        <v>46860</v>
      </c>
      <c r="AM9" s="2">
        <f>SUM(AM2:AM8)</f>
        <v>41233</v>
      </c>
      <c r="AN9" s="2">
        <f>SUM(AN2:AN8)</f>
        <v>41233</v>
      </c>
      <c r="AP9" s="2">
        <f>SUM(AP2:AP8)</f>
        <v>28031</v>
      </c>
      <c r="AR9" s="2">
        <f>SUM(AR2:AR8)</f>
        <v>14159</v>
      </c>
      <c r="AZ9" s="2">
        <f>SUM(AZ2:AZ8)</f>
        <v>30556</v>
      </c>
      <c r="BV9" s="2">
        <f>SUM(BV2:BV8)</f>
        <v>24879</v>
      </c>
    </row>
  </sheetData>
  <conditionalFormatting sqref="AH2:AH147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L2:AL147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O2:AO147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Q2:AQ147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A902-C82B-480E-8F51-AC982684A531}">
  <sheetPr>
    <tabColor rgb="FFFF0000"/>
  </sheetPr>
  <dimension ref="A1:CM13"/>
  <sheetViews>
    <sheetView zoomScaleNormal="100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A13" sqref="A13"/>
    </sheetView>
  </sheetViews>
  <sheetFormatPr defaultColWidth="9.140625" defaultRowHeight="14.25" customHeight="1"/>
  <cols>
    <col min="1" max="1" width="4.85546875" style="53" customWidth="1"/>
    <col min="2" max="2" width="58.7109375" style="2" customWidth="1"/>
    <col min="3" max="3" width="163" style="2" customWidth="1"/>
    <col min="4" max="4" width="9.140625" style="2" customWidth="1"/>
    <col min="5" max="5" width="19.28515625" style="3" customWidth="1"/>
    <col min="6" max="6" width="37.7109375" style="2" customWidth="1"/>
    <col min="7" max="8" width="26.85546875" style="2" customWidth="1"/>
    <col min="9" max="9" width="36.7109375" style="2" customWidth="1"/>
    <col min="10" max="10" width="10.140625" style="2" customWidth="1"/>
    <col min="11" max="11" width="36.5703125" style="2" customWidth="1"/>
    <col min="12" max="12" width="9.140625" style="2" customWidth="1"/>
    <col min="13" max="13" width="20.7109375" style="2" customWidth="1"/>
    <col min="14" max="14" width="40.28515625" style="2" customWidth="1"/>
    <col min="15" max="31" width="9.140625" style="2" customWidth="1"/>
    <col min="32" max="32" width="18" style="2" customWidth="1"/>
    <col min="33" max="33" width="30" style="2" customWidth="1"/>
    <col min="34" max="34" width="10" style="12" customWidth="1"/>
    <col min="35" max="37" width="30" style="2" customWidth="1"/>
    <col min="38" max="38" width="10" style="12" customWidth="1"/>
    <col min="39" max="40" width="30" style="2" customWidth="1"/>
    <col min="41" max="41" width="10" style="12" customWidth="1"/>
    <col min="42" max="42" width="30" style="2" customWidth="1"/>
    <col min="43" max="43" width="10" style="12" customWidth="1"/>
    <col min="44" max="44" width="30" style="2" customWidth="1"/>
    <col min="45" max="45" width="50" style="2" customWidth="1"/>
    <col min="46" max="46" width="30" style="2" customWidth="1"/>
    <col min="47" max="47" width="50" style="2" customWidth="1"/>
    <col min="48" max="48" width="20" style="2" customWidth="1"/>
    <col min="49" max="49" width="50" style="2" customWidth="1"/>
    <col min="50" max="50" width="20" style="2" customWidth="1"/>
    <col min="51" max="51" width="50" style="2" customWidth="1"/>
    <col min="52" max="52" width="20" style="2" customWidth="1"/>
    <col min="53" max="53" width="50" style="2" customWidth="1"/>
    <col min="54" max="54" width="20" style="2" customWidth="1"/>
    <col min="55" max="55" width="50" style="2" customWidth="1"/>
    <col min="56" max="56" width="20" style="2" customWidth="1"/>
    <col min="57" max="57" width="50" style="2" customWidth="1"/>
    <col min="58" max="58" width="20" style="2" customWidth="1"/>
    <col min="59" max="59" width="50" style="2" customWidth="1"/>
    <col min="60" max="60" width="20" style="2" customWidth="1"/>
    <col min="61" max="61" width="50" style="2" customWidth="1"/>
    <col min="62" max="62" width="20" style="2" customWidth="1"/>
    <col min="63" max="63" width="50" style="2" customWidth="1"/>
    <col min="64" max="64" width="20" style="2" customWidth="1"/>
    <col min="65" max="65" width="50" style="2" customWidth="1"/>
    <col min="66" max="66" width="20" style="2" customWidth="1"/>
    <col min="67" max="67" width="50" style="2" customWidth="1"/>
    <col min="68" max="68" width="20" style="2" customWidth="1"/>
    <col min="69" max="69" width="50" style="2" customWidth="1"/>
    <col min="70" max="70" width="20" style="2" customWidth="1"/>
    <col min="71" max="71" width="50" style="2" customWidth="1"/>
    <col min="72" max="72" width="20" style="2" customWidth="1"/>
    <col min="73" max="73" width="50" style="2" customWidth="1"/>
    <col min="74" max="74" width="20" style="2" customWidth="1"/>
    <col min="75" max="75" width="50" style="2" customWidth="1"/>
    <col min="76" max="76" width="20" style="2" customWidth="1"/>
    <col min="77" max="77" width="50" style="2" customWidth="1"/>
    <col min="78" max="78" width="20" style="2" customWidth="1"/>
    <col min="79" max="79" width="50" style="2" customWidth="1"/>
    <col min="80" max="80" width="20" style="2" customWidth="1"/>
    <col min="81" max="81" width="50" style="2" customWidth="1"/>
    <col min="82" max="82" width="20" style="2" customWidth="1"/>
    <col min="83" max="83" width="50" style="2" customWidth="1"/>
    <col min="84" max="84" width="20" style="2" customWidth="1"/>
    <col min="85" max="85" width="50" style="2" customWidth="1"/>
    <col min="86" max="86" width="20" style="2" customWidth="1"/>
    <col min="87" max="87" width="50" style="2" customWidth="1"/>
    <col min="88" max="88" width="20" style="2" customWidth="1"/>
    <col min="89" max="89" width="50" style="2" customWidth="1"/>
    <col min="90" max="90" width="20" style="2" customWidth="1"/>
    <col min="91" max="91" width="50" style="2" customWidth="1"/>
    <col min="92" max="16384" width="9.140625" style="2"/>
  </cols>
  <sheetData>
    <row r="1" spans="1:91" s="10" customFormat="1" ht="18.75" customHeight="1">
      <c r="A1" s="239" t="s">
        <v>0</v>
      </c>
      <c r="B1" s="39" t="s">
        <v>1</v>
      </c>
      <c r="C1" s="39" t="s">
        <v>2</v>
      </c>
      <c r="D1" s="39" t="s">
        <v>3</v>
      </c>
      <c r="E1" s="40"/>
      <c r="F1" s="2" t="s">
        <v>4</v>
      </c>
      <c r="G1" s="2558">
        <f>5*60*1000*SpeedFaktor</f>
        <v>300000</v>
      </c>
      <c r="H1" s="2">
        <v>10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5</v>
      </c>
      <c r="AF1" s="158" t="s">
        <v>489</v>
      </c>
      <c r="AG1" s="2" t="s">
        <v>10</v>
      </c>
      <c r="AH1" s="24" t="s">
        <v>8</v>
      </c>
      <c r="AI1" s="2" t="s">
        <v>11</v>
      </c>
      <c r="AJ1" s="2" t="s">
        <v>12</v>
      </c>
      <c r="AK1" s="2" t="s">
        <v>13</v>
      </c>
      <c r="AL1" s="24" t="s">
        <v>8</v>
      </c>
      <c r="AM1" s="2" t="s">
        <v>65</v>
      </c>
      <c r="AN1" s="2" t="s">
        <v>65</v>
      </c>
      <c r="AO1" s="24" t="s">
        <v>8</v>
      </c>
      <c r="AP1" s="10" t="s">
        <v>17</v>
      </c>
      <c r="AQ1" s="24" t="s">
        <v>8</v>
      </c>
      <c r="AR1" s="10" t="s">
        <v>1285</v>
      </c>
      <c r="AS1" s="10" t="s">
        <v>19</v>
      </c>
      <c r="AT1" s="10" t="s">
        <v>1286</v>
      </c>
      <c r="AU1" s="10" t="s">
        <v>20</v>
      </c>
      <c r="AV1" s="499" t="s">
        <v>1303</v>
      </c>
      <c r="AW1" s="500" t="s">
        <v>572</v>
      </c>
      <c r="AX1" s="579" t="s">
        <v>1307</v>
      </c>
      <c r="AY1" s="580" t="s">
        <v>572</v>
      </c>
      <c r="AZ1" s="797" t="s">
        <v>1311</v>
      </c>
      <c r="BA1" s="798" t="s">
        <v>572</v>
      </c>
      <c r="BB1" s="923" t="s">
        <v>1318</v>
      </c>
      <c r="BC1" s="924" t="s">
        <v>572</v>
      </c>
      <c r="BD1" s="1048" t="s">
        <v>1322</v>
      </c>
      <c r="BE1" s="1049" t="s">
        <v>572</v>
      </c>
      <c r="BF1" s="1070" t="s">
        <v>1324</v>
      </c>
      <c r="BG1" s="1071" t="s">
        <v>572</v>
      </c>
      <c r="BH1" s="1270" t="s">
        <v>1341</v>
      </c>
      <c r="BI1" s="1271" t="s">
        <v>572</v>
      </c>
      <c r="BJ1" s="1506" t="s">
        <v>1363</v>
      </c>
      <c r="BK1" s="1507" t="s">
        <v>572</v>
      </c>
      <c r="BL1" s="1652" t="s">
        <v>1368</v>
      </c>
      <c r="BM1" s="1653" t="s">
        <v>572</v>
      </c>
      <c r="BN1" s="1793" t="s">
        <v>1371</v>
      </c>
      <c r="BO1" s="1794" t="s">
        <v>572</v>
      </c>
      <c r="BP1" s="1941" t="s">
        <v>1375</v>
      </c>
      <c r="BQ1" s="1942" t="s">
        <v>572</v>
      </c>
      <c r="BR1" s="2051" t="s">
        <v>1397</v>
      </c>
      <c r="BS1" s="2052" t="s">
        <v>572</v>
      </c>
      <c r="BT1" s="2243" t="s">
        <v>1421</v>
      </c>
      <c r="BU1" s="2244" t="s">
        <v>572</v>
      </c>
      <c r="BV1" s="2408" t="s">
        <v>1430</v>
      </c>
      <c r="BW1" s="2409" t="s">
        <v>572</v>
      </c>
      <c r="BX1" s="2571" t="s">
        <v>1442</v>
      </c>
      <c r="BY1" s="2572" t="s">
        <v>572</v>
      </c>
      <c r="BZ1" s="2756" t="s">
        <v>1460</v>
      </c>
      <c r="CA1" s="2757" t="s">
        <v>572</v>
      </c>
      <c r="CB1" s="2930" t="s">
        <v>1472</v>
      </c>
      <c r="CC1" s="2931" t="s">
        <v>572</v>
      </c>
      <c r="CD1" s="3118" t="s">
        <v>1492</v>
      </c>
      <c r="CE1" s="3119" t="s">
        <v>572</v>
      </c>
      <c r="CF1" s="3298" t="s">
        <v>1503</v>
      </c>
      <c r="CG1" s="3299" t="s">
        <v>572</v>
      </c>
      <c r="CH1" s="3470" t="s">
        <v>1519</v>
      </c>
      <c r="CI1" s="3471" t="s">
        <v>572</v>
      </c>
      <c r="CJ1" s="3760" t="s">
        <v>1666</v>
      </c>
      <c r="CK1" s="3761" t="s">
        <v>572</v>
      </c>
      <c r="CL1" s="3983" t="s">
        <v>1717</v>
      </c>
      <c r="CM1" s="3984" t="s">
        <v>572</v>
      </c>
    </row>
    <row r="2" spans="1:91" s="10" customFormat="1" ht="18.75" customHeight="1">
      <c r="A2" s="122">
        <v>1</v>
      </c>
      <c r="B2" s="675" t="s">
        <v>21</v>
      </c>
      <c r="C2" s="597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12">
        <v>1669</v>
      </c>
      <c r="AG2" s="2">
        <v>2493</v>
      </c>
      <c r="AH2" s="156">
        <f>AG2/($AF2)</f>
        <v>1.4937088076692631</v>
      </c>
      <c r="AI2" s="2">
        <v>2565</v>
      </c>
      <c r="AJ2" s="2">
        <v>1850</v>
      </c>
      <c r="AK2" s="2">
        <v>1530</v>
      </c>
      <c r="AL2" s="156">
        <f>AK2/($AF2)</f>
        <v>0.91671659676452966</v>
      </c>
      <c r="AM2" s="2">
        <v>2673</v>
      </c>
      <c r="AN2" s="2">
        <v>2673</v>
      </c>
      <c r="AO2" s="156">
        <f t="shared" ref="AO2:AO5" si="0">AN2/($AF2)</f>
        <v>1.6015578190533253</v>
      </c>
      <c r="AP2" s="2">
        <v>1302</v>
      </c>
      <c r="AQ2" s="156">
        <f>AP2/($AF2)</f>
        <v>0.78010784901138408</v>
      </c>
      <c r="AR2" s="2">
        <v>1470</v>
      </c>
      <c r="AS2" s="2"/>
      <c r="AT2" s="2">
        <v>569</v>
      </c>
      <c r="AU2" s="2"/>
      <c r="AV2" s="10">
        <v>1618</v>
      </c>
      <c r="AX2" s="10">
        <v>1131</v>
      </c>
      <c r="AZ2" s="10">
        <v>1179</v>
      </c>
      <c r="BB2" s="10">
        <v>1186</v>
      </c>
      <c r="BD2" s="10">
        <v>1327</v>
      </c>
      <c r="BF2" s="10">
        <v>1313</v>
      </c>
      <c r="BH2" s="10">
        <v>1103</v>
      </c>
      <c r="BJ2" s="10">
        <v>1143</v>
      </c>
      <c r="BL2" s="10">
        <v>1032</v>
      </c>
      <c r="BN2" s="10">
        <v>1086</v>
      </c>
      <c r="BP2" s="10">
        <v>1591</v>
      </c>
      <c r="BR2" s="10">
        <v>1780</v>
      </c>
      <c r="BT2" s="10">
        <v>1813</v>
      </c>
      <c r="BV2" s="10">
        <v>1708</v>
      </c>
      <c r="BX2" s="10">
        <v>1246</v>
      </c>
      <c r="BZ2" s="10">
        <v>1241</v>
      </c>
      <c r="CB2" s="10">
        <v>1653</v>
      </c>
      <c r="CD2" s="10">
        <v>1207</v>
      </c>
      <c r="CF2" s="10">
        <v>1143</v>
      </c>
      <c r="CH2" s="10">
        <v>1063</v>
      </c>
      <c r="CJ2" s="10">
        <v>957</v>
      </c>
      <c r="CL2" s="10">
        <v>922</v>
      </c>
      <c r="CM2" s="10" t="s">
        <v>1718</v>
      </c>
    </row>
    <row r="3" spans="1:91" s="10" customFormat="1" ht="18.75" customHeight="1" thickBot="1">
      <c r="A3" s="122">
        <v>2</v>
      </c>
      <c r="B3" s="676" t="s">
        <v>25</v>
      </c>
      <c r="C3" s="675" t="str">
        <f>E3</f>
        <v>{"username":"bern.sozialarbeiterin1a@diartis.ch","password":"SMze97-jkSJ59!F.","fullname":"Sozialarbeiterin 1A Bern","team":"Sozialarbeit Bern 1"}</v>
      </c>
      <c r="D3" s="13"/>
      <c r="E3" s="45" t="str">
        <f>F3&amp;G3&amp;H3&amp;I3&amp;J3&amp;K3&amp;L3&amp;M3&amp;N3&amp;O3&amp;P3&amp;Q3&amp;R3&amp;S3&amp;T3&amp;U3</f>
        <v>{"username":"bern.sozialarbeiterin1a@diartis.ch","password":"SMze97-jkSJ59!F.","fullname":"Sozialarbeiterin 1A Bern","team":"Sozialarbeit Bern 1"}</v>
      </c>
      <c r="F3" s="152" t="s">
        <v>29</v>
      </c>
      <c r="G3" s="13" t="s">
        <v>71</v>
      </c>
      <c r="H3" s="152" t="s">
        <v>31</v>
      </c>
      <c r="I3" s="13" t="s">
        <v>72</v>
      </c>
      <c r="J3" s="152" t="s">
        <v>73</v>
      </c>
      <c r="K3" s="13" t="s">
        <v>74</v>
      </c>
      <c r="L3" s="152" t="s">
        <v>75</v>
      </c>
      <c r="M3" s="13" t="s">
        <v>76</v>
      </c>
      <c r="N3" s="152" t="s">
        <v>37</v>
      </c>
      <c r="O3" s="152"/>
      <c r="P3" s="13"/>
      <c r="Q3" s="152"/>
      <c r="R3" s="13"/>
      <c r="S3" s="152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45">
        <v>9330</v>
      </c>
      <c r="AG3" s="13">
        <v>11423</v>
      </c>
      <c r="AH3" s="156">
        <f t="shared" ref="AH3:AH5" si="1">AG3/($AF3)</f>
        <v>1.2243301178992498</v>
      </c>
      <c r="AI3" s="13">
        <v>9375</v>
      </c>
      <c r="AJ3" s="13">
        <v>9053</v>
      </c>
      <c r="AK3" s="13">
        <v>8895</v>
      </c>
      <c r="AL3" s="156">
        <f t="shared" ref="AL3:AL5" si="2">AK3/($AF3)</f>
        <v>0.95337620578778137</v>
      </c>
      <c r="AM3" s="13">
        <v>10405</v>
      </c>
      <c r="AN3" s="13">
        <v>10405</v>
      </c>
      <c r="AO3" s="156">
        <f t="shared" si="0"/>
        <v>1.115219721329046</v>
      </c>
      <c r="AP3" s="2">
        <v>8130</v>
      </c>
      <c r="AQ3" s="156">
        <f t="shared" ref="AQ3:AQ5" si="3">AP3/($AF3)</f>
        <v>0.87138263665594851</v>
      </c>
      <c r="AR3" s="2">
        <v>7274</v>
      </c>
      <c r="AS3" s="2"/>
      <c r="AT3" s="2">
        <v>5176</v>
      </c>
      <c r="AU3" s="2"/>
      <c r="AV3" s="10">
        <v>8094</v>
      </c>
      <c r="AX3" s="10">
        <v>8259</v>
      </c>
      <c r="AZ3" s="10">
        <v>9429</v>
      </c>
      <c r="BB3" s="10">
        <v>8213</v>
      </c>
      <c r="BD3" s="10">
        <v>7475</v>
      </c>
      <c r="BF3" s="10">
        <v>7978</v>
      </c>
      <c r="BH3" s="10">
        <v>6771</v>
      </c>
      <c r="BJ3" s="10">
        <v>7785</v>
      </c>
      <c r="BL3" s="10">
        <v>7415</v>
      </c>
      <c r="BN3" s="10">
        <v>7297</v>
      </c>
      <c r="BP3" s="10">
        <v>10321</v>
      </c>
      <c r="BR3" s="10">
        <v>7684</v>
      </c>
      <c r="BT3" s="10">
        <v>11739</v>
      </c>
      <c r="BV3" s="10">
        <v>6493</v>
      </c>
      <c r="BX3" s="10">
        <v>6686</v>
      </c>
      <c r="BZ3" s="10">
        <v>9447</v>
      </c>
      <c r="CB3" s="10">
        <v>8247</v>
      </c>
      <c r="CD3" s="10">
        <v>10562</v>
      </c>
      <c r="CF3" s="10">
        <v>7772</v>
      </c>
      <c r="CH3" s="10">
        <v>9203</v>
      </c>
      <c r="CJ3" s="10">
        <v>7290</v>
      </c>
      <c r="CL3" s="10">
        <v>7680</v>
      </c>
      <c r="CM3" s="10" t="s">
        <v>1718</v>
      </c>
    </row>
    <row r="4" spans="1:91" s="10" customFormat="1" ht="18.75" customHeight="1" thickBot="1">
      <c r="A4" s="122">
        <v>3</v>
      </c>
      <c r="B4" s="597" t="s">
        <v>139</v>
      </c>
      <c r="C4" s="677" t="str">
        <f>E4</f>
        <v>{"searchDossierOrKlient":p.DossierName1,"resultType":"Dossiers"}</v>
      </c>
      <c r="D4" s="90"/>
      <c r="E4" s="45" t="str">
        <f t="shared" ref="E4:E5" si="4">F4&amp;G4&amp;H4&amp;I4&amp;J4&amp;K4&amp;L4&amp;M4&amp;N4&amp;O4&amp;P4&amp;Q4&amp;R4&amp;S4&amp;T4&amp;U4</f>
        <v>{"searchDossierOrKlient":p.DossierName1,"resultType":"Dossiers"}</v>
      </c>
      <c r="F4" s="92" t="s">
        <v>140</v>
      </c>
      <c r="G4" s="64" t="s">
        <v>449</v>
      </c>
      <c r="H4" s="92" t="s">
        <v>141</v>
      </c>
      <c r="I4" s="90" t="s">
        <v>142</v>
      </c>
      <c r="J4" s="92" t="s">
        <v>37</v>
      </c>
      <c r="K4" s="90"/>
      <c r="L4" s="92"/>
      <c r="M4" s="90"/>
      <c r="N4" s="92"/>
      <c r="O4" s="92"/>
      <c r="P4" s="90"/>
      <c r="Q4" s="92"/>
      <c r="R4" s="90"/>
      <c r="S4" s="92"/>
      <c r="T4" s="90"/>
      <c r="U4" s="90"/>
      <c r="V4" s="90"/>
      <c r="W4" s="91"/>
      <c r="X4" s="91"/>
      <c r="Y4" s="91"/>
      <c r="Z4" s="91"/>
      <c r="AA4" s="90"/>
      <c r="AB4" s="90"/>
      <c r="AC4" s="90"/>
      <c r="AD4" s="90"/>
      <c r="AE4" s="90"/>
      <c r="AF4" s="91">
        <v>4009</v>
      </c>
      <c r="AG4" s="90">
        <v>11209</v>
      </c>
      <c r="AH4" s="156">
        <f t="shared" si="1"/>
        <v>2.7959590920429034</v>
      </c>
      <c r="AI4" s="90">
        <v>11264</v>
      </c>
      <c r="AJ4" s="90">
        <v>11229</v>
      </c>
      <c r="AK4" s="90">
        <v>10673</v>
      </c>
      <c r="AL4" s="156">
        <f t="shared" si="2"/>
        <v>2.6622599151908206</v>
      </c>
      <c r="AM4" s="90">
        <v>2808</v>
      </c>
      <c r="AN4" s="90">
        <v>2808</v>
      </c>
      <c r="AO4" s="156">
        <f t="shared" si="0"/>
        <v>0.70042404589673235</v>
      </c>
      <c r="AP4" s="2">
        <v>5143</v>
      </c>
      <c r="AQ4" s="156">
        <f t="shared" si="3"/>
        <v>1.2828635569967572</v>
      </c>
      <c r="AR4" s="2">
        <v>5136</v>
      </c>
      <c r="AS4" s="2"/>
      <c r="AT4" s="2">
        <v>5706</v>
      </c>
      <c r="AU4" s="2"/>
      <c r="AV4" s="10">
        <v>5290</v>
      </c>
      <c r="AX4" s="10">
        <v>5439</v>
      </c>
      <c r="AZ4" s="10">
        <v>5694</v>
      </c>
      <c r="BB4" s="10">
        <v>5339</v>
      </c>
      <c r="BD4" s="10">
        <v>5644</v>
      </c>
      <c r="BF4" s="10">
        <v>5262</v>
      </c>
      <c r="BH4" s="10">
        <v>5417</v>
      </c>
      <c r="BJ4" s="10">
        <v>2772</v>
      </c>
      <c r="BL4" s="10">
        <v>2931</v>
      </c>
      <c r="BN4" s="10">
        <v>3011</v>
      </c>
      <c r="BP4" s="10">
        <v>4832</v>
      </c>
      <c r="BR4" s="10">
        <v>5839</v>
      </c>
      <c r="BT4" s="10">
        <v>4977</v>
      </c>
      <c r="BV4" s="10">
        <v>5796</v>
      </c>
      <c r="BX4" s="10">
        <v>8130</v>
      </c>
      <c r="BZ4" s="10">
        <v>4875</v>
      </c>
      <c r="CB4" s="10">
        <v>5159</v>
      </c>
      <c r="CD4" s="10">
        <v>4439</v>
      </c>
      <c r="CF4" s="10">
        <v>4931</v>
      </c>
      <c r="CH4" s="10">
        <v>4528</v>
      </c>
      <c r="CJ4" s="10">
        <v>4897</v>
      </c>
      <c r="CL4" s="10">
        <v>5002</v>
      </c>
      <c r="CM4" s="10" t="s">
        <v>1718</v>
      </c>
    </row>
    <row r="5" spans="1:91" s="10" customFormat="1" ht="65.25" customHeight="1" thickBot="1">
      <c r="A5" s="24">
        <v>4</v>
      </c>
      <c r="B5" s="3679" t="s">
        <v>1578</v>
      </c>
      <c r="C5" s="187" t="str">
        <f ca="1">E5</f>
        <v>{"bedarfsPrDate":"04.11.2025","klient":`${p.FamilyName1}, ${p.ManFirstName1}`,"filterKategorie":"Ausbildung,Kinder","filterStatus":"einzureichen","filterBetrifft":""}</v>
      </c>
      <c r="D5" s="187" t="s">
        <v>263</v>
      </c>
      <c r="E5" s="45" t="str">
        <f t="shared" ca="1" si="4"/>
        <v>{"bedarfsPrDate":"04.11.2025","klient":`${p.FamilyName1}, ${p.ManFirstName1}`,"filterKategorie":"Ausbildung,Kinder","filterStatus":"einzureichen","filterBetrifft":""}</v>
      </c>
      <c r="F5" s="236" t="s">
        <v>491</v>
      </c>
      <c r="G5" s="187" t="str">
        <f ca="1">TEXT(TEXT(TODAY(),"DD")&amp;"."&amp;TEXT(TODAY(),"MM")&amp;"."&amp;TEXT(TODAY(),"YYYY"),"DD.MM.YYYY")</f>
        <v>04.11.2025</v>
      </c>
      <c r="H5" s="187" t="s">
        <v>444</v>
      </c>
      <c r="I5" s="232" t="s">
        <v>492</v>
      </c>
      <c r="J5" s="187" t="s">
        <v>1582</v>
      </c>
      <c r="K5" s="187" t="s">
        <v>1580</v>
      </c>
      <c r="L5" s="187" t="s">
        <v>1581</v>
      </c>
      <c r="M5" s="232" t="s">
        <v>503</v>
      </c>
      <c r="N5" s="24" t="s">
        <v>1583</v>
      </c>
      <c r="O5" s="24"/>
      <c r="P5" s="714" t="s">
        <v>37</v>
      </c>
      <c r="Q5" s="24"/>
      <c r="R5" s="24"/>
      <c r="S5" s="186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187"/>
      <c r="AF5" s="24">
        <v>7950</v>
      </c>
      <c r="AG5" s="24">
        <v>0</v>
      </c>
      <c r="AH5" s="156">
        <f t="shared" si="1"/>
        <v>0</v>
      </c>
      <c r="AI5" s="24">
        <v>0</v>
      </c>
      <c r="AJ5" s="24">
        <v>0</v>
      </c>
      <c r="AK5" s="24">
        <v>7950</v>
      </c>
      <c r="AL5" s="156">
        <f t="shared" si="2"/>
        <v>1</v>
      </c>
      <c r="AM5" s="24">
        <v>8619</v>
      </c>
      <c r="AN5" s="24">
        <v>8619</v>
      </c>
      <c r="AO5" s="156">
        <f t="shared" si="0"/>
        <v>1.0841509433962264</v>
      </c>
      <c r="AP5" s="2">
        <v>3829</v>
      </c>
      <c r="AQ5" s="156">
        <f t="shared" si="3"/>
        <v>0.48163522012578619</v>
      </c>
      <c r="AR5" s="2">
        <v>0</v>
      </c>
      <c r="AS5" s="2" t="s">
        <v>510</v>
      </c>
      <c r="AT5" s="2">
        <v>0</v>
      </c>
      <c r="AU5" s="2" t="s">
        <v>511</v>
      </c>
      <c r="AV5" s="501">
        <v>0</v>
      </c>
      <c r="AW5" s="502" t="s">
        <v>1305</v>
      </c>
      <c r="AX5" s="10">
        <v>3964</v>
      </c>
      <c r="AZ5" s="10">
        <v>4334</v>
      </c>
      <c r="BB5" s="10">
        <v>4252</v>
      </c>
      <c r="BD5" s="10">
        <v>3215</v>
      </c>
      <c r="BF5" s="10">
        <v>3845</v>
      </c>
      <c r="BH5" s="10">
        <v>2845</v>
      </c>
      <c r="BJ5" s="10">
        <v>3850</v>
      </c>
      <c r="BL5" s="10">
        <v>3888</v>
      </c>
      <c r="BN5" s="10">
        <v>3759</v>
      </c>
      <c r="BP5" s="1943">
        <v>0</v>
      </c>
      <c r="BQ5" s="1944" t="s">
        <v>1378</v>
      </c>
      <c r="BR5" s="2053">
        <v>0</v>
      </c>
      <c r="BS5" s="2054" t="s">
        <v>1400</v>
      </c>
      <c r="BT5" s="10">
        <v>2851</v>
      </c>
      <c r="BV5" s="10">
        <v>2664</v>
      </c>
      <c r="BX5" s="10">
        <v>3382</v>
      </c>
      <c r="BZ5" s="2758">
        <v>0</v>
      </c>
      <c r="CA5" s="2759" t="s">
        <v>1462</v>
      </c>
      <c r="CB5" s="2932">
        <v>0</v>
      </c>
      <c r="CC5" s="2933" t="s">
        <v>1476</v>
      </c>
      <c r="CD5" s="3120">
        <v>0</v>
      </c>
      <c r="CE5" s="3121" t="s">
        <v>1494</v>
      </c>
      <c r="CF5" s="10">
        <v>5350</v>
      </c>
      <c r="CH5" s="3472">
        <v>0</v>
      </c>
      <c r="CI5" s="3473" t="s">
        <v>1523</v>
      </c>
      <c r="CJ5" s="10">
        <v>10780</v>
      </c>
      <c r="CL5" s="3985">
        <v>0</v>
      </c>
      <c r="CM5" s="3986" t="s">
        <v>1722</v>
      </c>
    </row>
    <row r="6" spans="1:91" s="53" customFormat="1" ht="15.75" customHeight="1" thickBot="1">
      <c r="A6" s="2">
        <v>7</v>
      </c>
      <c r="B6" s="72" t="s">
        <v>22</v>
      </c>
      <c r="C6" s="55" t="s">
        <v>23</v>
      </c>
      <c r="D6" s="56"/>
      <c r="E6" s="57"/>
      <c r="F6" s="58"/>
      <c r="G6" s="59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>
        <v>4003</v>
      </c>
      <c r="AG6" s="56"/>
      <c r="AH6" s="2"/>
      <c r="AI6" s="56"/>
      <c r="AJ6" s="56"/>
      <c r="AK6" s="56">
        <v>4020</v>
      </c>
      <c r="AL6" s="2"/>
      <c r="AM6" s="56">
        <v>4016</v>
      </c>
      <c r="AN6" s="56">
        <v>4016</v>
      </c>
      <c r="AO6" s="2"/>
      <c r="AP6" s="2">
        <v>4019</v>
      </c>
      <c r="AQ6" s="2"/>
      <c r="AX6" s="53">
        <v>4017</v>
      </c>
      <c r="AZ6" s="53">
        <v>4017</v>
      </c>
      <c r="BB6" s="53">
        <v>4016</v>
      </c>
      <c r="BD6" s="53">
        <v>4016</v>
      </c>
      <c r="BF6" s="53">
        <v>4006</v>
      </c>
      <c r="BH6" s="53">
        <v>4004</v>
      </c>
      <c r="BJ6" s="53">
        <v>4017</v>
      </c>
      <c r="BL6" s="53">
        <v>4018</v>
      </c>
      <c r="BN6" s="53">
        <v>4014</v>
      </c>
      <c r="BT6" s="53">
        <v>4009</v>
      </c>
      <c r="BV6" s="53">
        <v>4013</v>
      </c>
      <c r="BX6" s="53">
        <v>4018</v>
      </c>
      <c r="CF6" s="53">
        <v>4014</v>
      </c>
      <c r="CJ6" s="53">
        <v>4005</v>
      </c>
      <c r="CL6" s="53">
        <v>676</v>
      </c>
      <c r="CM6" s="53" t="s">
        <v>1718</v>
      </c>
    </row>
    <row r="7" spans="1:91" ht="14.25" customHeight="1">
      <c r="AK7" s="2">
        <f>SUM(AK2:AK6)</f>
        <v>33068</v>
      </c>
      <c r="AM7" s="2">
        <f>SUM(AM2:AM6)</f>
        <v>28521</v>
      </c>
      <c r="AN7" s="2">
        <f>SUM(AN2:AN6)</f>
        <v>28521</v>
      </c>
      <c r="AP7" s="2">
        <f>SUM(AP2:AP6)</f>
        <v>22423</v>
      </c>
      <c r="AR7" s="2">
        <f>SUM(AR2:AR6)</f>
        <v>13880</v>
      </c>
      <c r="AZ7" s="2">
        <f>SUM(AZ2:AZ6)</f>
        <v>24653</v>
      </c>
      <c r="BV7" s="2">
        <f>SUM(BV2:BV6)</f>
        <v>20674</v>
      </c>
    </row>
    <row r="8" spans="1:91"/>
    <row r="9" spans="1:91"/>
    <row r="10" spans="1:91"/>
    <row r="11" spans="1:91"/>
    <row r="12" spans="1:91" ht="14.25" customHeight="1" thickBot="1"/>
    <row r="13" spans="1:91" ht="14.25" customHeight="1" thickBot="1">
      <c r="B13" s="3679" t="s">
        <v>1578</v>
      </c>
      <c r="C13" s="3680" t="s">
        <v>1579</v>
      </c>
    </row>
  </sheetData>
  <conditionalFormatting sqref="AH2:AH145 AL2:AL145 AO2:AO145 AQ2:AQ145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CX13"/>
  <sheetViews>
    <sheetView zoomScaleNormal="100" workbookViewId="0">
      <selection activeCell="C49" sqref="C49"/>
    </sheetView>
  </sheetViews>
  <sheetFormatPr defaultColWidth="9.140625" defaultRowHeight="14.25" customHeight="1"/>
  <cols>
    <col min="1" max="1" width="4.85546875" style="1" customWidth="1"/>
    <col min="2" max="2" width="45.140625" style="2" customWidth="1"/>
    <col min="3" max="3" width="203.85546875" style="2" customWidth="1"/>
    <col min="4" max="4" width="9.140625" style="2" customWidth="1"/>
    <col min="5" max="5" width="19.28515625" style="3" customWidth="1"/>
    <col min="6" max="6" width="18.85546875" style="2" customWidth="1"/>
    <col min="7" max="8" width="26.85546875" style="2" customWidth="1"/>
    <col min="9" max="9" width="36.7109375" style="2" customWidth="1"/>
    <col min="10" max="10" width="10.140625" style="2" customWidth="1"/>
    <col min="11" max="11" width="36.5703125" style="2" customWidth="1"/>
    <col min="12" max="12" width="9.140625" style="2" customWidth="1"/>
    <col min="13" max="13" width="20.7109375" style="2" customWidth="1"/>
    <col min="14" max="14" width="40.28515625" style="2" customWidth="1"/>
    <col min="15" max="15" width="48.28515625" style="2" customWidth="1"/>
    <col min="16" max="16" width="13.5703125" style="2" customWidth="1"/>
    <col min="17" max="17" width="24.5703125" style="2" customWidth="1"/>
    <col min="18" max="34" width="9.140625" style="2" customWidth="1"/>
    <col min="35" max="36" width="17.140625" style="2" customWidth="1"/>
    <col min="37" max="37" width="10" style="12" customWidth="1"/>
    <col min="38" max="38" width="9.5703125" style="2" customWidth="1"/>
    <col min="39" max="39" width="10" style="12" customWidth="1"/>
    <col min="40" max="40" width="9.140625" style="2" customWidth="1"/>
    <col min="41" max="41" width="10" style="12" customWidth="1"/>
    <col min="42" max="42" width="9.42578125" style="2" customWidth="1"/>
    <col min="43" max="43" width="10" style="12" customWidth="1"/>
    <col min="44" max="44" width="9.85546875" style="2" customWidth="1"/>
    <col min="45" max="45" width="10" style="12" customWidth="1"/>
    <col min="46" max="46" width="9.42578125" style="2" customWidth="1"/>
    <col min="47" max="47" width="10" style="12" customWidth="1"/>
    <col min="48" max="48" width="9.5703125" style="2" customWidth="1"/>
    <col min="49" max="49" width="10" style="12" customWidth="1"/>
    <col min="50" max="50" width="11.42578125" style="2" customWidth="1"/>
    <col min="51" max="51" width="10" style="12" customWidth="1"/>
    <col min="52" max="52" width="10.85546875" style="2" customWidth="1"/>
    <col min="53" max="53" width="10" style="12" customWidth="1"/>
    <col min="54" max="54" width="30" style="2" customWidth="1"/>
    <col min="55" max="55" width="50" style="2" customWidth="1"/>
    <col min="56" max="56" width="30" style="2" customWidth="1"/>
    <col min="57" max="57" width="50" style="2" customWidth="1"/>
    <col min="58" max="58" width="9.140625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95" width="20" style="2" customWidth="1"/>
    <col min="96" max="96" width="50" style="2" customWidth="1"/>
    <col min="97" max="97" width="20" style="2" customWidth="1"/>
    <col min="98" max="98" width="50" style="2" customWidth="1"/>
    <col min="99" max="99" width="20" style="2" customWidth="1"/>
    <col min="100" max="100" width="50" style="2" customWidth="1"/>
    <col min="101" max="101" width="20" style="2" customWidth="1"/>
    <col min="102" max="102" width="50" style="2" customWidth="1"/>
    <col min="103" max="16384" width="9.140625" style="2"/>
  </cols>
  <sheetData>
    <row r="1" spans="1:102" ht="14.2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1*60*1000*SpeedFaktor</f>
        <v>60000</v>
      </c>
      <c r="H1" s="2">
        <v>10</v>
      </c>
      <c r="AH1" s="2" t="s">
        <v>5</v>
      </c>
      <c r="AI1" s="2" t="s">
        <v>488</v>
      </c>
      <c r="AJ1" s="2" t="s">
        <v>489</v>
      </c>
      <c r="AK1" s="24" t="s">
        <v>8</v>
      </c>
      <c r="AL1" s="2" t="s">
        <v>282</v>
      </c>
      <c r="AM1" s="24" t="s">
        <v>8</v>
      </c>
      <c r="AN1" s="2" t="s">
        <v>324</v>
      </c>
      <c r="AO1" s="24" t="s">
        <v>8</v>
      </c>
      <c r="AP1" s="2" t="s">
        <v>10</v>
      </c>
      <c r="AQ1" s="24" t="s">
        <v>8</v>
      </c>
      <c r="AR1" s="2" t="s">
        <v>11</v>
      </c>
      <c r="AS1" s="24" t="s">
        <v>8</v>
      </c>
      <c r="AT1" s="2" t="s">
        <v>12</v>
      </c>
      <c r="AU1" s="24" t="s">
        <v>8</v>
      </c>
      <c r="AV1" s="2" t="s">
        <v>13</v>
      </c>
      <c r="AW1" s="24" t="s">
        <v>8</v>
      </c>
      <c r="AX1" s="2" t="s">
        <v>65</v>
      </c>
      <c r="AY1" s="24" t="s">
        <v>8</v>
      </c>
      <c r="AZ1" s="2" t="s">
        <v>17</v>
      </c>
      <c r="BA1" s="24" t="s">
        <v>8</v>
      </c>
      <c r="BB1" s="2" t="s">
        <v>1285</v>
      </c>
      <c r="BC1" s="2" t="s">
        <v>19</v>
      </c>
      <c r="BD1" s="2" t="s">
        <v>1286</v>
      </c>
      <c r="BE1" s="2" t="s">
        <v>20</v>
      </c>
      <c r="BG1" s="503" t="s">
        <v>1303</v>
      </c>
      <c r="BH1" s="504" t="s">
        <v>572</v>
      </c>
      <c r="BI1" s="581" t="s">
        <v>1308</v>
      </c>
      <c r="BJ1" s="582" t="s">
        <v>572</v>
      </c>
      <c r="BK1" s="799" t="s">
        <v>1311</v>
      </c>
      <c r="BL1" s="800" t="s">
        <v>572</v>
      </c>
      <c r="BM1" s="925" t="s">
        <v>1318</v>
      </c>
      <c r="BN1" s="926" t="s">
        <v>572</v>
      </c>
      <c r="BO1" s="1050" t="s">
        <v>1322</v>
      </c>
      <c r="BP1" s="1051" t="s">
        <v>572</v>
      </c>
      <c r="BQ1" s="1072" t="s">
        <v>1324</v>
      </c>
      <c r="BR1" s="1073" t="s">
        <v>572</v>
      </c>
      <c r="BS1" s="1272" t="s">
        <v>1341</v>
      </c>
      <c r="BT1" s="1273" t="s">
        <v>572</v>
      </c>
      <c r="BU1" s="1508" t="s">
        <v>1363</v>
      </c>
      <c r="BV1" s="1509" t="s">
        <v>572</v>
      </c>
      <c r="BW1" s="1654" t="s">
        <v>1368</v>
      </c>
      <c r="BX1" s="1655" t="s">
        <v>572</v>
      </c>
      <c r="BY1" s="1795" t="s">
        <v>1371</v>
      </c>
      <c r="BZ1" s="1796" t="s">
        <v>572</v>
      </c>
      <c r="CA1" s="1945" t="s">
        <v>1375</v>
      </c>
      <c r="CB1" s="1946" t="s">
        <v>572</v>
      </c>
      <c r="CC1" s="2055" t="s">
        <v>1397</v>
      </c>
      <c r="CD1" s="2056" t="s">
        <v>572</v>
      </c>
      <c r="CE1" s="2245" t="s">
        <v>1421</v>
      </c>
      <c r="CF1" s="2246" t="s">
        <v>572</v>
      </c>
      <c r="CG1" s="2410" t="s">
        <v>1430</v>
      </c>
      <c r="CH1" s="2411" t="s">
        <v>572</v>
      </c>
      <c r="CI1" s="2573" t="s">
        <v>1442</v>
      </c>
      <c r="CJ1" s="2574" t="s">
        <v>572</v>
      </c>
      <c r="CK1" s="2760" t="s">
        <v>1460</v>
      </c>
      <c r="CL1" s="2761" t="s">
        <v>572</v>
      </c>
      <c r="CM1" s="2934" t="s">
        <v>1472</v>
      </c>
      <c r="CN1" s="2935" t="s">
        <v>572</v>
      </c>
      <c r="CO1" s="3122" t="s">
        <v>1492</v>
      </c>
      <c r="CP1" s="3123" t="s">
        <v>572</v>
      </c>
      <c r="CQ1" s="3300" t="s">
        <v>1503</v>
      </c>
      <c r="CR1" s="3301" t="s">
        <v>572</v>
      </c>
      <c r="CS1" s="3474" t="s">
        <v>1519</v>
      </c>
      <c r="CT1" s="3475" t="s">
        <v>572</v>
      </c>
      <c r="CU1" s="3762" t="s">
        <v>1666</v>
      </c>
      <c r="CV1" s="3763" t="s">
        <v>572</v>
      </c>
      <c r="CW1" s="3987" t="s">
        <v>1717</v>
      </c>
      <c r="CX1" s="3988" t="s">
        <v>572</v>
      </c>
    </row>
    <row r="2" spans="1:102" s="10" customFormat="1" ht="14.25" customHeight="1">
      <c r="A2" s="119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1712</v>
      </c>
      <c r="AJ2" s="2">
        <v>1669</v>
      </c>
      <c r="AK2" s="156">
        <f>AJ2/($AI2)</f>
        <v>0.97488317757009346</v>
      </c>
      <c r="AL2" s="2">
        <v>1599</v>
      </c>
      <c r="AM2" s="156">
        <f>AL2/($AI2)</f>
        <v>0.93399532710280375</v>
      </c>
      <c r="AN2" s="2">
        <v>1729</v>
      </c>
      <c r="AO2" s="156">
        <f>AN2/($AI2)</f>
        <v>1.0099299065420562</v>
      </c>
      <c r="AP2" s="2">
        <v>2047</v>
      </c>
      <c r="AQ2" s="156">
        <f>AP2/($AI2)</f>
        <v>1.1956775700934579</v>
      </c>
      <c r="AR2" s="2">
        <v>1846</v>
      </c>
      <c r="AS2" s="156">
        <f>AR2/($AI2)</f>
        <v>1.0782710280373833</v>
      </c>
      <c r="AT2" s="2">
        <v>1667</v>
      </c>
      <c r="AU2" s="156">
        <f>AT2/($AI2)</f>
        <v>0.97371495327102808</v>
      </c>
      <c r="AV2" s="2">
        <v>1564</v>
      </c>
      <c r="AW2" s="156">
        <f>AV2/($AI2)</f>
        <v>0.91355140186915884</v>
      </c>
      <c r="AX2" s="2">
        <v>1335</v>
      </c>
      <c r="AY2" s="156">
        <f>AX2/($AI2)</f>
        <v>0.77978971962616828</v>
      </c>
      <c r="AZ2" s="2">
        <v>1127</v>
      </c>
      <c r="BA2" s="156">
        <f>AZ2/($AI2)</f>
        <v>0.65829439252336452</v>
      </c>
      <c r="BB2" s="2">
        <v>1344</v>
      </c>
      <c r="BC2" s="2"/>
      <c r="BD2" s="2">
        <v>566</v>
      </c>
      <c r="BE2" s="2"/>
      <c r="BG2" s="10">
        <v>1544</v>
      </c>
      <c r="BI2" s="10">
        <v>1410</v>
      </c>
      <c r="BK2" s="10">
        <v>1457</v>
      </c>
      <c r="BM2" s="10">
        <v>1558</v>
      </c>
      <c r="BO2" s="10">
        <v>1345</v>
      </c>
      <c r="BQ2" s="10">
        <v>1266</v>
      </c>
      <c r="BS2" s="10">
        <v>1208</v>
      </c>
      <c r="BU2" s="10">
        <v>1287</v>
      </c>
      <c r="BW2" s="10">
        <v>1220</v>
      </c>
      <c r="BY2" s="10">
        <v>1261</v>
      </c>
      <c r="CA2" s="10">
        <v>1737</v>
      </c>
      <c r="CC2" s="10">
        <v>1667</v>
      </c>
      <c r="CE2" s="10">
        <v>1754</v>
      </c>
      <c r="CG2" s="10">
        <v>1573</v>
      </c>
      <c r="CI2" s="10">
        <v>1224</v>
      </c>
      <c r="CK2" s="10">
        <v>900</v>
      </c>
      <c r="CM2" s="10">
        <v>1490</v>
      </c>
      <c r="CO2" s="10">
        <v>1142</v>
      </c>
      <c r="CQ2" s="10">
        <v>1012</v>
      </c>
      <c r="CS2" s="10">
        <v>1098</v>
      </c>
      <c r="CU2" s="10">
        <v>929</v>
      </c>
      <c r="CW2" s="10">
        <v>1229</v>
      </c>
      <c r="CX2" s="10" t="s">
        <v>1718</v>
      </c>
    </row>
    <row r="3" spans="1:102" s="10" customFormat="1" ht="15.75" customHeight="1">
      <c r="A3" s="119">
        <v>2</v>
      </c>
      <c r="B3" s="122" t="s">
        <v>25</v>
      </c>
      <c r="C3" s="121" t="str">
        <f>E3</f>
        <v>{"username":"bern.sozialarbeiterin1a@diartis.ch","password":"SMze97-jkSJ59!F.","fullname":"Sozialarbeiterin 1A Bern","team":"Sozialarbeit Bern 1"}</v>
      </c>
      <c r="D3" s="13"/>
      <c r="E3" s="45" t="str">
        <f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152" t="s">
        <v>29</v>
      </c>
      <c r="G3" s="13" t="s">
        <v>71</v>
      </c>
      <c r="H3" s="152" t="s">
        <v>31</v>
      </c>
      <c r="I3" s="13" t="s">
        <v>72</v>
      </c>
      <c r="J3" s="152" t="s">
        <v>73</v>
      </c>
      <c r="K3" s="13" t="s">
        <v>74</v>
      </c>
      <c r="L3" s="152" t="s">
        <v>75</v>
      </c>
      <c r="M3" s="13" t="s">
        <v>76</v>
      </c>
      <c r="N3" s="152" t="s">
        <v>37</v>
      </c>
      <c r="O3" s="13"/>
      <c r="P3" s="152"/>
      <c r="Q3" s="13"/>
      <c r="R3" s="152"/>
      <c r="S3" s="13"/>
      <c r="T3" s="152"/>
      <c r="U3" s="13"/>
      <c r="V3" s="152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>
        <v>9511</v>
      </c>
      <c r="AJ3" s="13">
        <v>9330</v>
      </c>
      <c r="AK3" s="156">
        <f t="shared" ref="AK3:AM3" si="0">AJ3/($AI3)</f>
        <v>0.98096940384817577</v>
      </c>
      <c r="AL3" s="13">
        <v>9140</v>
      </c>
      <c r="AM3" s="156">
        <f t="shared" si="0"/>
        <v>0.96099253495952053</v>
      </c>
      <c r="AN3" s="13">
        <v>8683</v>
      </c>
      <c r="AO3" s="156">
        <f t="shared" ref="AO3:AQ4" si="1">AN3/($AI3)</f>
        <v>0.91294290821154456</v>
      </c>
      <c r="AP3" s="13">
        <v>12902</v>
      </c>
      <c r="AQ3" s="156">
        <f t="shared" si="1"/>
        <v>1.3565345389548944</v>
      </c>
      <c r="AR3" s="13">
        <v>8803</v>
      </c>
      <c r="AS3" s="156">
        <f t="shared" ref="AS3:BA4" si="2">AR3/($AI3)</f>
        <v>0.92555987803595841</v>
      </c>
      <c r="AT3" s="13">
        <v>8267</v>
      </c>
      <c r="AU3" s="156">
        <f t="shared" si="2"/>
        <v>0.86920407948690992</v>
      </c>
      <c r="AV3" s="13">
        <v>9183</v>
      </c>
      <c r="AW3" s="156">
        <f t="shared" si="2"/>
        <v>0.96551361581326889</v>
      </c>
      <c r="AX3" s="13">
        <v>9544</v>
      </c>
      <c r="AY3" s="156">
        <f t="shared" si="2"/>
        <v>1.0034696667017138</v>
      </c>
      <c r="AZ3" s="2">
        <v>7866</v>
      </c>
      <c r="BA3" s="156">
        <f t="shared" si="2"/>
        <v>0.82704237199032704</v>
      </c>
      <c r="BB3" s="2">
        <v>7557</v>
      </c>
      <c r="BC3" s="2"/>
      <c r="BD3" s="2">
        <v>6136</v>
      </c>
      <c r="BE3" s="2"/>
      <c r="BG3" s="10">
        <v>9660</v>
      </c>
      <c r="BI3" s="10">
        <v>8673</v>
      </c>
      <c r="BK3" s="10">
        <v>8185</v>
      </c>
      <c r="BM3" s="10">
        <v>8252</v>
      </c>
      <c r="BO3" s="10">
        <v>7808</v>
      </c>
      <c r="BQ3" s="10">
        <v>7949</v>
      </c>
      <c r="BS3" s="10">
        <v>7438</v>
      </c>
      <c r="BU3" s="10">
        <v>8850</v>
      </c>
      <c r="BW3" s="10">
        <v>8178</v>
      </c>
      <c r="BY3" s="10">
        <v>7812</v>
      </c>
      <c r="CA3" s="10">
        <v>8007</v>
      </c>
      <c r="CC3" s="10">
        <v>7192</v>
      </c>
      <c r="CE3" s="10">
        <v>7073</v>
      </c>
      <c r="CG3" s="10">
        <v>7727</v>
      </c>
      <c r="CI3" s="10">
        <v>7181</v>
      </c>
      <c r="CK3" s="10">
        <v>9435</v>
      </c>
      <c r="CM3" s="10">
        <v>8718</v>
      </c>
      <c r="CO3" s="10">
        <v>9121</v>
      </c>
      <c r="CQ3" s="10">
        <v>8665</v>
      </c>
      <c r="CS3" s="10">
        <v>7879</v>
      </c>
      <c r="CU3" s="10">
        <v>7684</v>
      </c>
      <c r="CW3" s="10">
        <v>9636</v>
      </c>
      <c r="CX3" s="10" t="s">
        <v>1718</v>
      </c>
    </row>
    <row r="4" spans="1:102" s="10" customFormat="1" ht="96" customHeight="1" thickBot="1">
      <c r="A4" s="21">
        <v>3</v>
      </c>
      <c r="B4" s="240" t="s">
        <v>512</v>
      </c>
      <c r="C4" s="187" t="str">
        <f ca="1">E4</f>
        <v>{"dossier":p.DossierName2,"entscheidVon":"04.11.2025","begruendung":"keine","unterstuetzungAb":"01.11.2025","kontoVerbindung":`${p.FamilyName2}, ${p.ManFirstName2}`}</v>
      </c>
      <c r="D4" s="187" t="s">
        <v>263</v>
      </c>
      <c r="E4" s="24" t="str">
        <f ca="1">F4&amp;G4&amp;H4&amp;I4&amp;J4&amp;K4&amp;L4&amp;M4&amp;N4&amp;O4&amp;P4&amp;Q4&amp;R4&amp;S4&amp;T4&amp;U4&amp;V4&amp;W4&amp;X4&amp;Y4&amp;Z4&amp;AA4&amp;AB4&amp;AC4&amp;AD4&amp;AE4&amp;AF4&amp;AG4</f>
        <v>{"dossier":p.DossierName2,"entscheidVon":"04.11.2025","begruendung":"keine","unterstuetzungAb":"01.11.2025","kontoVerbindung":`${p.FamilyName2}, ${p.ManFirstName2}`}</v>
      </c>
      <c r="F4" s="240" t="s">
        <v>159</v>
      </c>
      <c r="G4" s="24" t="s">
        <v>513</v>
      </c>
      <c r="H4" s="24" t="s">
        <v>514</v>
      </c>
      <c r="I4" s="232" t="str">
        <f ca="1">TEXT(TEXT(TODAY(),"DD")&amp;"."&amp;TEXT(TODAY(),"MM")&amp;"."&amp;TEXT(TODAY(),"YYYY"),"DD.MM.YYYY")</f>
        <v>04.11.2025</v>
      </c>
      <c r="J4" s="24" t="s">
        <v>515</v>
      </c>
      <c r="K4" s="24" t="s">
        <v>498</v>
      </c>
      <c r="L4" s="24" t="s">
        <v>516</v>
      </c>
      <c r="M4" s="232" t="str">
        <f ca="1">"01."&amp;TEXT(TODAY(),"MM")&amp;"."&amp;YEAR(TODAY())</f>
        <v>01.11.2025</v>
      </c>
      <c r="N4" s="24" t="s">
        <v>517</v>
      </c>
      <c r="O4" s="24" t="s">
        <v>518</v>
      </c>
      <c r="P4" s="24" t="s">
        <v>160</v>
      </c>
      <c r="Q4" s="24"/>
      <c r="R4" s="24"/>
      <c r="S4" s="24"/>
      <c r="T4" s="24"/>
      <c r="U4" s="24"/>
      <c r="V4" s="24"/>
      <c r="W4" s="186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>
        <v>71899</v>
      </c>
      <c r="AJ4" s="24">
        <v>25582</v>
      </c>
      <c r="AK4" s="156">
        <f t="shared" ref="AK4:AM4" si="3">AJ4/($AI4)</f>
        <v>0.35580467044047903</v>
      </c>
      <c r="AL4" s="24">
        <v>28057</v>
      </c>
      <c r="AM4" s="156">
        <f t="shared" si="3"/>
        <v>0.39022795866423732</v>
      </c>
      <c r="AN4" s="24">
        <v>24131</v>
      </c>
      <c r="AO4" s="156">
        <f t="shared" si="1"/>
        <v>0.33562358308182311</v>
      </c>
      <c r="AP4" s="24">
        <v>27321</v>
      </c>
      <c r="AQ4" s="156">
        <f t="shared" si="1"/>
        <v>0.37999137679244493</v>
      </c>
      <c r="AR4" s="24">
        <v>24489</v>
      </c>
      <c r="AS4" s="156">
        <f t="shared" si="2"/>
        <v>0.34060279002489602</v>
      </c>
      <c r="AT4" s="24">
        <v>23654</v>
      </c>
      <c r="AU4" s="156">
        <f t="shared" si="2"/>
        <v>0.32898927662415334</v>
      </c>
      <c r="AV4" s="24">
        <v>24030</v>
      </c>
      <c r="AW4" s="156">
        <f t="shared" si="2"/>
        <v>0.33421883475430814</v>
      </c>
      <c r="AX4" s="24">
        <v>19826</v>
      </c>
      <c r="AY4" s="156">
        <f t="shared" si="2"/>
        <v>0.27574792417140709</v>
      </c>
      <c r="AZ4" s="2">
        <v>14166</v>
      </c>
      <c r="BA4" s="156">
        <f t="shared" si="2"/>
        <v>0.19702638423343857</v>
      </c>
      <c r="BB4" s="2">
        <v>14512</v>
      </c>
      <c r="BC4" s="2"/>
      <c r="BD4" s="2">
        <v>18495</v>
      </c>
      <c r="BE4" s="2"/>
      <c r="BG4" s="10">
        <v>19329</v>
      </c>
      <c r="BI4" s="10">
        <v>21116</v>
      </c>
      <c r="BK4" s="10">
        <v>19311</v>
      </c>
      <c r="BM4" s="10">
        <v>18042</v>
      </c>
      <c r="BO4" s="10">
        <v>17228</v>
      </c>
      <c r="BQ4" s="10">
        <v>19491</v>
      </c>
      <c r="BS4" s="10">
        <v>16768</v>
      </c>
      <c r="BU4" s="10">
        <v>15756</v>
      </c>
      <c r="BW4" s="10">
        <v>13938</v>
      </c>
      <c r="BY4" s="10">
        <v>14354</v>
      </c>
      <c r="CA4" s="1947">
        <v>0</v>
      </c>
      <c r="CB4" s="1948" t="s">
        <v>1379</v>
      </c>
      <c r="CC4" s="10">
        <v>26693</v>
      </c>
      <c r="CE4" s="10">
        <v>19290</v>
      </c>
      <c r="CG4" s="10">
        <v>19999</v>
      </c>
      <c r="CI4" s="10">
        <v>20475</v>
      </c>
      <c r="CK4" s="10">
        <v>24233</v>
      </c>
      <c r="CM4" s="10">
        <v>20408</v>
      </c>
      <c r="CO4" s="10">
        <v>19873</v>
      </c>
      <c r="CQ4" s="10">
        <v>20160</v>
      </c>
      <c r="CS4" s="3476">
        <v>0</v>
      </c>
      <c r="CT4" s="3477" t="s">
        <v>1524</v>
      </c>
      <c r="CU4" s="10">
        <v>22176</v>
      </c>
      <c r="CW4" s="10">
        <v>25017</v>
      </c>
      <c r="CX4" s="10" t="s">
        <v>1718</v>
      </c>
    </row>
    <row r="5" spans="1:102">
      <c r="AK5" s="156"/>
      <c r="AL5" s="2">
        <f>SUM(AL2:AL4)</f>
        <v>38796</v>
      </c>
      <c r="AM5" s="156"/>
      <c r="AN5" s="2">
        <f>SUM(AN2:AN4)</f>
        <v>34543</v>
      </c>
      <c r="AO5" s="156"/>
      <c r="AQ5" s="156"/>
      <c r="AS5" s="156"/>
      <c r="AU5" s="156"/>
      <c r="AW5" s="156"/>
      <c r="AY5" s="156"/>
      <c r="BA5" s="156"/>
      <c r="CI5" s="2">
        <f>SUM(CI2:CI4)</f>
        <v>28880</v>
      </c>
    </row>
    <row r="6" spans="1:102">
      <c r="B6" s="30">
        <v>10.7</v>
      </c>
      <c r="C6" s="241" t="s">
        <v>519</v>
      </c>
      <c r="AK6" s="156"/>
      <c r="AM6" s="156"/>
      <c r="AO6" s="156"/>
      <c r="AQ6" s="156"/>
      <c r="AS6" s="156"/>
      <c r="AU6" s="156"/>
      <c r="AW6" s="156"/>
      <c r="AY6" s="156"/>
      <c r="BA6" s="156"/>
    </row>
    <row r="7" spans="1:102">
      <c r="C7" s="2" t="s">
        <v>520</v>
      </c>
      <c r="AK7" s="2"/>
      <c r="AM7" s="2"/>
      <c r="AO7" s="2"/>
      <c r="AQ7" s="2"/>
      <c r="AS7" s="2"/>
      <c r="AU7" s="2"/>
      <c r="AW7" s="2"/>
      <c r="AY7" s="2"/>
      <c r="BA7" s="2"/>
    </row>
    <row r="8" spans="1:102">
      <c r="AK8" s="2"/>
      <c r="AM8" s="2"/>
      <c r="AO8" s="2"/>
      <c r="AQ8" s="2"/>
      <c r="AS8" s="2"/>
      <c r="AU8" s="2"/>
      <c r="AW8" s="2"/>
      <c r="AY8" s="2"/>
      <c r="BA8" s="2"/>
    </row>
    <row r="9" spans="1:102">
      <c r="C9" s="2" t="s">
        <v>521</v>
      </c>
      <c r="AK9" s="2"/>
      <c r="AM9" s="2"/>
      <c r="AO9" s="2"/>
      <c r="AQ9" s="2"/>
      <c r="AS9" s="2"/>
      <c r="AU9" s="2"/>
      <c r="AW9" s="2"/>
      <c r="AY9" s="2"/>
      <c r="BA9" s="2"/>
    </row>
    <row r="10" spans="1:102">
      <c r="AK10" s="2"/>
      <c r="AM10" s="2"/>
      <c r="AO10" s="2"/>
      <c r="AQ10" s="2"/>
      <c r="AS10" s="2"/>
      <c r="AU10" s="2"/>
      <c r="AW10" s="2"/>
      <c r="AY10" s="2"/>
      <c r="BA10" s="2"/>
    </row>
    <row r="11" spans="1:102">
      <c r="AK11" s="2"/>
      <c r="AM11" s="2"/>
      <c r="AO11" s="2"/>
      <c r="AQ11" s="2"/>
      <c r="AS11" s="2"/>
      <c r="AU11" s="2"/>
      <c r="AW11" s="2"/>
      <c r="AY11" s="2"/>
      <c r="BA11" s="2"/>
    </row>
    <row r="12" spans="1:102">
      <c r="B12" s="2" t="s">
        <v>522</v>
      </c>
      <c r="AK12" s="2"/>
      <c r="AM12" s="2"/>
      <c r="AO12" s="2"/>
      <c r="AQ12" s="2"/>
      <c r="AS12" s="2"/>
      <c r="AU12" s="2"/>
      <c r="AW12" s="2"/>
      <c r="AY12" s="2"/>
      <c r="BA12" s="2"/>
    </row>
    <row r="13" spans="1:102">
      <c r="C13" s="2" t="s">
        <v>523</v>
      </c>
      <c r="AK13" s="2"/>
      <c r="AM13" s="2"/>
      <c r="AO13" s="2"/>
      <c r="AQ13" s="2"/>
      <c r="AS13" s="2"/>
      <c r="AU13" s="2"/>
      <c r="AW13" s="2"/>
      <c r="AY13" s="2"/>
      <c r="BA13" s="2"/>
    </row>
  </sheetData>
  <conditionalFormatting sqref="AK2:AK146 AM2:AM146 AO2:AO146 AQ2:AQ146 AS2:AS146 AU2:AU146 AW2:AW146 AY2:AY146 BA2:BA146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CX12"/>
  <sheetViews>
    <sheetView zoomScaleNormal="100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C12" sqref="C12"/>
    </sheetView>
  </sheetViews>
  <sheetFormatPr defaultColWidth="9.140625" defaultRowHeight="26.25" customHeight="1"/>
  <cols>
    <col min="1" max="1" width="4.85546875" style="1" customWidth="1"/>
    <col min="2" max="2" width="45.140625" style="2" customWidth="1"/>
    <col min="3" max="3" width="164.28515625" style="2" customWidth="1"/>
    <col min="4" max="4" width="9.140625" style="2" customWidth="1"/>
    <col min="5" max="5" width="9.85546875" style="3" customWidth="1"/>
    <col min="6" max="6" width="18.85546875" style="2" customWidth="1"/>
    <col min="7" max="7" width="32.42578125" style="2" customWidth="1"/>
    <col min="8" max="8" width="13.85546875" style="2" customWidth="1"/>
    <col min="9" max="9" width="28.5703125" style="2" customWidth="1"/>
    <col min="10" max="10" width="17.28515625" style="2" customWidth="1"/>
    <col min="11" max="11" width="31.140625" style="2" customWidth="1"/>
    <col min="12" max="12" width="23.85546875" style="2" customWidth="1"/>
    <col min="13" max="13" width="12.7109375" style="2" customWidth="1"/>
    <col min="14" max="14" width="15.85546875" style="2" customWidth="1"/>
    <col min="15" max="15" width="11.5703125" style="2" customWidth="1"/>
    <col min="16" max="16" width="13.5703125" style="2" customWidth="1"/>
    <col min="17" max="17" width="15.5703125" style="2" customWidth="1"/>
    <col min="18" max="18" width="17.140625" style="2" customWidth="1"/>
    <col min="19" max="19" width="18.140625" style="2" customWidth="1"/>
    <col min="20" max="20" width="25.5703125" style="2" customWidth="1"/>
    <col min="21" max="25" width="9.140625" style="2" customWidth="1"/>
    <col min="26" max="26" width="21.7109375" style="2" customWidth="1"/>
    <col min="27" max="34" width="9.140625" style="2" customWidth="1"/>
    <col min="35" max="35" width="10" style="2" customWidth="1"/>
    <col min="36" max="36" width="9.7109375" style="2" customWidth="1"/>
    <col min="37" max="37" width="10" style="12" customWidth="1"/>
    <col min="38" max="38" width="9.85546875" style="2" customWidth="1"/>
    <col min="39" max="39" width="10" style="12" customWidth="1"/>
    <col min="40" max="40" width="9.7109375" style="2" customWidth="1"/>
    <col min="41" max="41" width="10" style="12" customWidth="1"/>
    <col min="42" max="42" width="10" style="2" customWidth="1"/>
    <col min="43" max="43" width="10" style="12" customWidth="1"/>
    <col min="44" max="44" width="10" style="2" customWidth="1"/>
    <col min="45" max="45" width="10" style="12" customWidth="1"/>
    <col min="46" max="46" width="9.42578125" style="2" customWidth="1"/>
    <col min="47" max="47" width="10" style="12" customWidth="1"/>
    <col min="48" max="48" width="11.42578125" style="2" customWidth="1"/>
    <col min="49" max="49" width="10" style="12" customWidth="1"/>
    <col min="50" max="50" width="11.7109375" style="2" customWidth="1"/>
    <col min="51" max="51" width="10" style="12" customWidth="1"/>
    <col min="52" max="52" width="11.140625" style="2" customWidth="1"/>
    <col min="53" max="53" width="10" style="12" customWidth="1"/>
    <col min="54" max="54" width="30" style="2" customWidth="1"/>
    <col min="55" max="55" width="50" style="2" customWidth="1"/>
    <col min="56" max="56" width="30" style="2" customWidth="1"/>
    <col min="57" max="57" width="50" style="2" customWidth="1"/>
    <col min="58" max="58" width="9.140625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95" width="20" style="2" customWidth="1"/>
    <col min="96" max="96" width="50" style="2" customWidth="1"/>
    <col min="97" max="97" width="20" style="2" customWidth="1"/>
    <col min="98" max="98" width="50" style="2" customWidth="1"/>
    <col min="99" max="99" width="20" style="2" customWidth="1"/>
    <col min="100" max="100" width="50" style="2" customWidth="1"/>
    <col min="101" max="101" width="20" style="2" customWidth="1"/>
    <col min="102" max="102" width="50" style="2" customWidth="1"/>
    <col min="103" max="16384" width="9.140625" style="2"/>
  </cols>
  <sheetData>
    <row r="1" spans="1:102" ht="15.75" customHeight="1">
      <c r="A1" s="5" t="s">
        <v>0</v>
      </c>
      <c r="B1" s="5">
        <v>4</v>
      </c>
      <c r="C1" s="5" t="s">
        <v>2</v>
      </c>
      <c r="D1" s="5" t="s">
        <v>3</v>
      </c>
      <c r="E1" s="6"/>
      <c r="F1" s="2" t="s">
        <v>4</v>
      </c>
      <c r="G1" s="2558">
        <f>1*60*1000*SpeedFaktor</f>
        <v>60000</v>
      </c>
      <c r="H1" s="2">
        <v>10</v>
      </c>
      <c r="AH1" s="2" t="s">
        <v>5</v>
      </c>
      <c r="AI1" s="12" t="s">
        <v>488</v>
      </c>
      <c r="AJ1" s="12" t="s">
        <v>489</v>
      </c>
      <c r="AK1" s="24" t="s">
        <v>8</v>
      </c>
      <c r="AL1" s="12" t="s">
        <v>324</v>
      </c>
      <c r="AM1" s="24" t="s">
        <v>8</v>
      </c>
      <c r="AN1" s="12" t="s">
        <v>10</v>
      </c>
      <c r="AO1" s="24" t="s">
        <v>8</v>
      </c>
      <c r="AP1" s="12" t="s">
        <v>11</v>
      </c>
      <c r="AQ1" s="24" t="s">
        <v>8</v>
      </c>
      <c r="AR1" s="12" t="s">
        <v>12</v>
      </c>
      <c r="AS1" s="24" t="s">
        <v>8</v>
      </c>
      <c r="AT1" s="12" t="s">
        <v>13</v>
      </c>
      <c r="AU1" s="24" t="s">
        <v>8</v>
      </c>
      <c r="AV1" s="10" t="s">
        <v>65</v>
      </c>
      <c r="AW1" s="24" t="s">
        <v>8</v>
      </c>
      <c r="AX1" s="96" t="s">
        <v>15</v>
      </c>
      <c r="AY1" s="24" t="s">
        <v>8</v>
      </c>
      <c r="AZ1" s="96" t="s">
        <v>17</v>
      </c>
      <c r="BA1" s="24" t="s">
        <v>8</v>
      </c>
      <c r="BB1" s="2" t="s">
        <v>1285</v>
      </c>
      <c r="BC1" s="2" t="s">
        <v>19</v>
      </c>
      <c r="BD1" s="2" t="s">
        <v>1286</v>
      </c>
      <c r="BE1" s="2" t="s">
        <v>20</v>
      </c>
      <c r="BG1" s="505" t="s">
        <v>1303</v>
      </c>
      <c r="BH1" s="506" t="s">
        <v>572</v>
      </c>
      <c r="BI1" s="583" t="s">
        <v>1308</v>
      </c>
      <c r="BJ1" s="584" t="s">
        <v>572</v>
      </c>
      <c r="BK1" s="801" t="s">
        <v>1311</v>
      </c>
      <c r="BL1" s="802" t="s">
        <v>572</v>
      </c>
      <c r="BM1" s="927" t="s">
        <v>1318</v>
      </c>
      <c r="BN1" s="928" t="s">
        <v>572</v>
      </c>
      <c r="BO1" s="1052" t="s">
        <v>1322</v>
      </c>
      <c r="BP1" s="1053" t="s">
        <v>572</v>
      </c>
      <c r="BQ1" s="1074" t="s">
        <v>1324</v>
      </c>
      <c r="BR1" s="1075" t="s">
        <v>572</v>
      </c>
      <c r="BS1" s="1274" t="s">
        <v>1341</v>
      </c>
      <c r="BT1" s="1275" t="s">
        <v>572</v>
      </c>
      <c r="BU1" s="1510" t="s">
        <v>1363</v>
      </c>
      <c r="BV1" s="1511" t="s">
        <v>572</v>
      </c>
      <c r="BW1" s="1656" t="s">
        <v>1368</v>
      </c>
      <c r="BX1" s="1657" t="s">
        <v>572</v>
      </c>
      <c r="BY1" s="1797" t="s">
        <v>1371</v>
      </c>
      <c r="BZ1" s="1798" t="s">
        <v>572</v>
      </c>
      <c r="CA1" s="1949" t="s">
        <v>1375</v>
      </c>
      <c r="CB1" s="1950" t="s">
        <v>572</v>
      </c>
      <c r="CC1" s="2057" t="s">
        <v>1397</v>
      </c>
      <c r="CD1" s="2058" t="s">
        <v>572</v>
      </c>
      <c r="CE1" s="2247" t="s">
        <v>1421</v>
      </c>
      <c r="CF1" s="2248" t="s">
        <v>572</v>
      </c>
      <c r="CG1" s="2412" t="s">
        <v>1430</v>
      </c>
      <c r="CH1" s="2413" t="s">
        <v>572</v>
      </c>
      <c r="CI1" s="2575" t="s">
        <v>1442</v>
      </c>
      <c r="CJ1" s="2576" t="s">
        <v>572</v>
      </c>
      <c r="CK1" s="2762" t="s">
        <v>1460</v>
      </c>
      <c r="CL1" s="2763" t="s">
        <v>572</v>
      </c>
      <c r="CM1" s="2936" t="s">
        <v>1472</v>
      </c>
      <c r="CN1" s="2937" t="s">
        <v>572</v>
      </c>
      <c r="CO1" s="3124" t="s">
        <v>1492</v>
      </c>
      <c r="CP1" s="3125" t="s">
        <v>572</v>
      </c>
      <c r="CQ1" s="3302" t="s">
        <v>1503</v>
      </c>
      <c r="CR1" s="3303" t="s">
        <v>572</v>
      </c>
      <c r="CS1" s="3478" t="s">
        <v>1519</v>
      </c>
      <c r="CT1" s="3479" t="s">
        <v>572</v>
      </c>
      <c r="CU1" s="3764" t="s">
        <v>1666</v>
      </c>
      <c r="CV1" s="3765" t="s">
        <v>572</v>
      </c>
      <c r="CW1" s="3989" t="s">
        <v>1717</v>
      </c>
      <c r="CX1" s="3990" t="s">
        <v>572</v>
      </c>
    </row>
    <row r="2" spans="1:102" s="10" customFormat="1" ht="18.75" customHeight="1">
      <c r="A2" s="120">
        <v>1</v>
      </c>
      <c r="B2" s="121" t="s">
        <v>21</v>
      </c>
      <c r="C2" s="120" t="str">
        <f>'001a'!B59</f>
        <v>{"url":p.aventisURL}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>
        <v>1573</v>
      </c>
      <c r="AJ2" s="12">
        <v>1635</v>
      </c>
      <c r="AK2" s="156">
        <f>AJ2/($AI2)</f>
        <v>1.0394151303242212</v>
      </c>
      <c r="AL2" s="12">
        <v>1491</v>
      </c>
      <c r="AM2" s="156">
        <f>AL2/($AI2)</f>
        <v>0.94787031150667511</v>
      </c>
      <c r="AN2" s="12">
        <v>1670</v>
      </c>
      <c r="AO2" s="156">
        <f>AN2/($AI2)</f>
        <v>1.0616656071201527</v>
      </c>
      <c r="AP2" s="12">
        <v>1721</v>
      </c>
      <c r="AQ2" s="156">
        <f>AP2/($AI2)</f>
        <v>1.0940877304513668</v>
      </c>
      <c r="AR2" s="12">
        <v>1783</v>
      </c>
      <c r="AS2" s="156">
        <f>AR2/($AI2)</f>
        <v>1.1335028607755882</v>
      </c>
      <c r="AT2" s="12">
        <v>1791</v>
      </c>
      <c r="AU2" s="156">
        <f>AT2/($AI2)</f>
        <v>1.1385886840432295</v>
      </c>
      <c r="AV2" s="12">
        <v>1362</v>
      </c>
      <c r="AW2" s="156">
        <f>AV2/($AI2)</f>
        <v>0.86586141131595673</v>
      </c>
      <c r="AX2" s="12">
        <v>1573</v>
      </c>
      <c r="AY2" s="156">
        <f>AX2/($AI2)</f>
        <v>1</v>
      </c>
      <c r="AZ2" s="12">
        <v>1279</v>
      </c>
      <c r="BA2" s="156">
        <f>AZ2/($AI2)</f>
        <v>0.81309599491417672</v>
      </c>
      <c r="BB2" s="2">
        <v>1079</v>
      </c>
      <c r="BC2" s="2"/>
      <c r="BD2" s="2">
        <v>548</v>
      </c>
      <c r="BE2" s="2"/>
      <c r="BG2" s="10">
        <v>1274</v>
      </c>
      <c r="BI2" s="10">
        <v>1575</v>
      </c>
      <c r="BK2" s="10">
        <v>1363</v>
      </c>
      <c r="BM2" s="10">
        <v>1319</v>
      </c>
      <c r="BO2" s="10">
        <v>1207</v>
      </c>
      <c r="BQ2" s="10">
        <v>1274</v>
      </c>
      <c r="BS2" s="10">
        <v>1138</v>
      </c>
      <c r="BU2" s="10">
        <v>1222</v>
      </c>
      <c r="BW2" s="10">
        <v>1350</v>
      </c>
      <c r="BY2" s="10">
        <v>1220</v>
      </c>
      <c r="CA2" s="10">
        <v>2097</v>
      </c>
      <c r="CC2" s="10">
        <v>1832</v>
      </c>
      <c r="CE2" s="10">
        <v>1624</v>
      </c>
      <c r="CG2" s="10">
        <v>1603</v>
      </c>
      <c r="CI2" s="10">
        <v>1163</v>
      </c>
      <c r="CK2" s="10">
        <v>1117</v>
      </c>
      <c r="CM2" s="10">
        <v>1568</v>
      </c>
      <c r="CO2" s="10">
        <v>1144</v>
      </c>
      <c r="CQ2" s="10">
        <v>1197</v>
      </c>
      <c r="CS2" s="10">
        <v>860</v>
      </c>
      <c r="CU2" s="10">
        <v>937</v>
      </c>
      <c r="CW2" s="10">
        <v>863</v>
      </c>
      <c r="CX2" s="10" t="s">
        <v>1718</v>
      </c>
    </row>
    <row r="3" spans="1:102" s="10" customFormat="1" ht="18.75" customHeight="1">
      <c r="A3" s="120">
        <v>2</v>
      </c>
      <c r="B3" s="121" t="s">
        <v>25</v>
      </c>
      <c r="C3" s="121" t="str">
        <f>E3</f>
        <v>{"username":"bern.sozialarbeiterin1a@diartis.ch","password":"SMze97-jkSJ59!F.","fullname":"Sozialarbeiterin 1A Bern","team":"Sozialarbeit Bern 1"}</v>
      </c>
      <c r="D3" s="45"/>
      <c r="E3" s="45" t="str">
        <f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152" t="s">
        <v>29</v>
      </c>
      <c r="G3" s="45" t="s">
        <v>71</v>
      </c>
      <c r="H3" s="152" t="s">
        <v>31</v>
      </c>
      <c r="I3" s="45" t="s">
        <v>72</v>
      </c>
      <c r="J3" s="152" t="s">
        <v>73</v>
      </c>
      <c r="K3" s="45" t="s">
        <v>74</v>
      </c>
      <c r="L3" s="152" t="s">
        <v>75</v>
      </c>
      <c r="M3" s="45" t="s">
        <v>76</v>
      </c>
      <c r="N3" s="152" t="s">
        <v>37</v>
      </c>
      <c r="O3" s="45"/>
      <c r="P3" s="152"/>
      <c r="Q3" s="45"/>
      <c r="R3" s="152"/>
      <c r="S3" s="45"/>
      <c r="T3" s="152"/>
      <c r="U3" s="45"/>
      <c r="V3" s="152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>
        <v>8595</v>
      </c>
      <c r="AJ3" s="45">
        <v>9941</v>
      </c>
      <c r="AK3" s="156">
        <f t="shared" ref="AK3" si="0">AJ3/($AI3)</f>
        <v>1.1566026759744037</v>
      </c>
      <c r="AL3" s="45">
        <v>9639</v>
      </c>
      <c r="AM3" s="156">
        <f t="shared" ref="AM3:BA5" si="1">AL3/($AI3)</f>
        <v>1.1214659685863875</v>
      </c>
      <c r="AN3" s="45">
        <v>10821</v>
      </c>
      <c r="AO3" s="156">
        <f t="shared" si="1"/>
        <v>1.2589877835951135</v>
      </c>
      <c r="AP3" s="45">
        <v>9356</v>
      </c>
      <c r="AQ3" s="156">
        <f t="shared" si="1"/>
        <v>1.0885398487492728</v>
      </c>
      <c r="AR3" s="45">
        <v>8672</v>
      </c>
      <c r="AS3" s="156">
        <f t="shared" si="1"/>
        <v>1.0089586969168121</v>
      </c>
      <c r="AT3" s="45">
        <v>11207</v>
      </c>
      <c r="AU3" s="156">
        <f t="shared" si="1"/>
        <v>1.3038976148923793</v>
      </c>
      <c r="AV3" s="45">
        <v>9949</v>
      </c>
      <c r="AW3" s="156">
        <f t="shared" si="1"/>
        <v>1.1575334496800465</v>
      </c>
      <c r="AX3" s="12">
        <v>8828</v>
      </c>
      <c r="AY3" s="156">
        <f t="shared" si="1"/>
        <v>1.0271087841768469</v>
      </c>
      <c r="AZ3" s="12">
        <v>7452</v>
      </c>
      <c r="BA3" s="156">
        <f t="shared" si="1"/>
        <v>0.8670157068062827</v>
      </c>
      <c r="BB3" s="2">
        <v>8163</v>
      </c>
      <c r="BC3" s="2"/>
      <c r="BD3" s="2">
        <v>5516</v>
      </c>
      <c r="BE3" s="2"/>
      <c r="BG3" s="10">
        <v>9446</v>
      </c>
      <c r="BI3" s="10">
        <v>9237</v>
      </c>
      <c r="BK3" s="10">
        <v>8032</v>
      </c>
      <c r="BM3" s="10">
        <v>7782</v>
      </c>
      <c r="BO3" s="10">
        <v>7215</v>
      </c>
      <c r="BQ3" s="10">
        <v>7475</v>
      </c>
      <c r="BS3" s="10">
        <v>6949</v>
      </c>
      <c r="BU3" s="10">
        <v>7739</v>
      </c>
      <c r="BW3" s="10">
        <v>6956</v>
      </c>
      <c r="BY3" s="10">
        <v>7256</v>
      </c>
      <c r="CA3" s="10">
        <v>9598</v>
      </c>
      <c r="CC3" s="10">
        <v>7802</v>
      </c>
      <c r="CE3" s="10">
        <v>7044</v>
      </c>
      <c r="CG3" s="10">
        <v>6754</v>
      </c>
      <c r="CI3" s="10">
        <v>6752</v>
      </c>
      <c r="CK3" s="10">
        <v>9631</v>
      </c>
      <c r="CM3" s="10">
        <v>8298</v>
      </c>
      <c r="CO3" s="10">
        <v>7653</v>
      </c>
      <c r="CQ3" s="10">
        <v>9032</v>
      </c>
      <c r="CS3" s="10">
        <v>8774</v>
      </c>
      <c r="CU3" s="3766">
        <v>0</v>
      </c>
      <c r="CV3" s="3767" t="s">
        <v>1671</v>
      </c>
      <c r="CW3" s="10">
        <v>9115</v>
      </c>
      <c r="CX3" s="10" t="s">
        <v>1718</v>
      </c>
    </row>
    <row r="4" spans="1:102" s="10" customFormat="1" ht="81" customHeight="1">
      <c r="A4" s="187">
        <v>3</v>
      </c>
      <c r="B4" s="242" t="s">
        <v>524</v>
      </c>
      <c r="C4" s="187" t="str">
        <f ca="1">E4</f>
        <v>{"dossier":p.DossierName2,"konto":"3002 Elektrizität","beschreibung":"BKW Rechnung Strom","betragMonatl":123,"geplantAb":"04.12.2025","geplantBis":"02.02.2026","zahlMethode":"Wiederkehrende Zahlung","zahlungsEmpfang":"BKW Energie AG","zahlungsVerbindung":"BKW Energie AG CH19 3000 0001 3069 3796 2 @PostFinance AG","periode":"Halbmonatlich","referenzScor":"45 03000 00041 14845 05343 74019","mitteilung":"Dies ist eine ganz lange Mitteilung welche völlig unnötig ist und 140 Zeichen enthalten wird dies werde ich aber nicht ausprobieren, oder do"}</v>
      </c>
      <c r="D4" s="187" t="s">
        <v>263</v>
      </c>
      <c r="E4" s="243" t="str">
        <f ca="1">F4&amp;G4&amp;H4&amp;I4&amp;J4&amp;K4&amp;L4&amp;M4&amp;N4&amp;O4&amp;P4&amp;Q4&amp;R4&amp;S4&amp;T4&amp;U4&amp;V4&amp;W4&amp;X4&amp;Y4&amp;Z4&amp;AA4&amp;AB4&amp;AC4&amp;AD4&amp;AE4&amp;AF4&amp;AG4</f>
        <v>{"dossier":p.DossierName2,"konto":"3002 Elektrizität","beschreibung":"BKW Rechnung Strom","betragMonatl":123,"geplantAb":"04.12.2025","geplantBis":"02.02.2026","zahlMethode":"Wiederkehrende Zahlung","zahlungsEmpfang":"BKW Energie AG","zahlungsVerbindung":"BKW Energie AG CH19 3000 0001 3069 3796 2 @PostFinance AG","periode":"Halbmonatlich","referenzScor":"45 03000 00041 14845 05343 74019","mitteilung":"Dies ist eine ganz lange Mitteilung welche völlig unnötig ist und 140 Zeichen enthalten wird dies werde ich aber nicht ausprobieren, oder do"}</v>
      </c>
      <c r="F4" s="240" t="s">
        <v>159</v>
      </c>
      <c r="G4" s="187" t="s">
        <v>513</v>
      </c>
      <c r="H4" s="187" t="s">
        <v>525</v>
      </c>
      <c r="I4" s="187" t="s">
        <v>526</v>
      </c>
      <c r="J4" s="187" t="s">
        <v>527</v>
      </c>
      <c r="K4" s="187" t="s">
        <v>528</v>
      </c>
      <c r="L4" s="187" t="s">
        <v>529</v>
      </c>
      <c r="M4" s="187">
        <v>123</v>
      </c>
      <c r="N4" s="187" t="s">
        <v>530</v>
      </c>
      <c r="O4" s="232" t="str">
        <f ca="1">TEXT(TEXT(TODAY()+30,"DD")&amp;"."&amp;TEXT(TODAY()+30,"MM")&amp;"."&amp;TEXT(TODAY()+30,"YYYY"),"DD.MM.YYYY")</f>
        <v>04.12.2025</v>
      </c>
      <c r="P4" s="187" t="s">
        <v>531</v>
      </c>
      <c r="Q4" s="232" t="str">
        <f ca="1">TEXT(TEXT(TODAY()+90,"DD")&amp;"."&amp;TEXT(TODAY()+90,"MM")&amp;"."&amp;TEXT(TODAY()+90,"YYYY"),"DD.MM.YYYY")</f>
        <v>02.02.2026</v>
      </c>
      <c r="R4" s="187" t="s">
        <v>532</v>
      </c>
      <c r="S4" s="187" t="s">
        <v>533</v>
      </c>
      <c r="T4" s="187" t="s">
        <v>534</v>
      </c>
      <c r="U4" s="187" t="s">
        <v>164</v>
      </c>
      <c r="V4" s="187" t="s">
        <v>535</v>
      </c>
      <c r="W4" s="187" t="s">
        <v>536</v>
      </c>
      <c r="X4" s="186" t="s">
        <v>537</v>
      </c>
      <c r="Y4" s="187" t="s">
        <v>538</v>
      </c>
      <c r="Z4" s="187" t="s">
        <v>539</v>
      </c>
      <c r="AA4" s="187" t="s">
        <v>540</v>
      </c>
      <c r="AB4" s="187" t="s">
        <v>541</v>
      </c>
      <c r="AC4" s="187" t="s">
        <v>542</v>
      </c>
      <c r="AD4" s="187" t="s">
        <v>37</v>
      </c>
      <c r="AE4" s="187"/>
      <c r="AF4" s="187"/>
      <c r="AG4" s="187"/>
      <c r="AH4" s="187"/>
      <c r="AI4" s="187">
        <v>19595</v>
      </c>
      <c r="AJ4" s="187">
        <v>17413</v>
      </c>
      <c r="AK4" s="156">
        <f t="shared" ref="AK4" si="2">AJ4/($AI4)</f>
        <v>0.88864506251594799</v>
      </c>
      <c r="AL4" s="187">
        <v>17711</v>
      </c>
      <c r="AM4" s="156">
        <f t="shared" si="1"/>
        <v>0.90385302373054355</v>
      </c>
      <c r="AN4" s="187">
        <v>20840</v>
      </c>
      <c r="AO4" s="156">
        <f t="shared" si="1"/>
        <v>1.0635366164837969</v>
      </c>
      <c r="AP4" s="187">
        <v>18125</v>
      </c>
      <c r="AQ4" s="156">
        <f t="shared" si="1"/>
        <v>0.92498086246491451</v>
      </c>
      <c r="AR4" s="187">
        <v>17548</v>
      </c>
      <c r="AS4" s="156">
        <f t="shared" si="1"/>
        <v>0.89553457514672108</v>
      </c>
      <c r="AT4" s="187">
        <v>18368</v>
      </c>
      <c r="AU4" s="156">
        <f t="shared" si="1"/>
        <v>0.93738198520030624</v>
      </c>
      <c r="AV4" s="187">
        <v>12340</v>
      </c>
      <c r="AW4" s="156">
        <f t="shared" si="1"/>
        <v>0.62975248787956106</v>
      </c>
      <c r="AX4" s="12">
        <v>11634</v>
      </c>
      <c r="AY4" s="156">
        <f t="shared" si="1"/>
        <v>0.5937228884919622</v>
      </c>
      <c r="AZ4" s="12">
        <v>12723</v>
      </c>
      <c r="BA4" s="156">
        <f t="shared" si="1"/>
        <v>0.64929829038019904</v>
      </c>
      <c r="BB4" s="2">
        <v>13009</v>
      </c>
      <c r="BC4" s="2"/>
      <c r="BD4" s="2">
        <v>12932</v>
      </c>
      <c r="BE4" s="2"/>
      <c r="BG4" s="10">
        <v>14628</v>
      </c>
      <c r="BI4" s="10">
        <v>14507</v>
      </c>
      <c r="BK4" s="10">
        <v>14233</v>
      </c>
      <c r="BM4" s="10">
        <v>13579</v>
      </c>
      <c r="BO4" s="10">
        <v>13687</v>
      </c>
      <c r="BQ4" s="10">
        <v>14345</v>
      </c>
      <c r="BS4" s="10">
        <v>13419</v>
      </c>
      <c r="BU4" s="10">
        <v>12556</v>
      </c>
      <c r="BW4" s="10">
        <v>10512</v>
      </c>
      <c r="BY4" s="10">
        <v>11410</v>
      </c>
      <c r="CA4" s="1951">
        <v>0</v>
      </c>
      <c r="CB4" s="1952" t="s">
        <v>1380</v>
      </c>
      <c r="CC4" s="10">
        <v>16396</v>
      </c>
      <c r="CE4" s="10">
        <v>13450</v>
      </c>
      <c r="CG4" s="10">
        <v>13650</v>
      </c>
      <c r="CI4" s="10">
        <v>13823</v>
      </c>
      <c r="CK4" s="10">
        <v>12753</v>
      </c>
      <c r="CM4" s="10">
        <v>15198</v>
      </c>
      <c r="CO4" s="3126">
        <v>0</v>
      </c>
      <c r="CP4" s="3127" t="s">
        <v>1525</v>
      </c>
      <c r="CQ4" s="3304">
        <v>0</v>
      </c>
      <c r="CR4" s="3305" t="s">
        <v>1525</v>
      </c>
      <c r="CS4" s="3480">
        <v>0</v>
      </c>
      <c r="CT4" s="3481" t="s">
        <v>1525</v>
      </c>
      <c r="CU4" s="10">
        <v>359</v>
      </c>
      <c r="CW4" s="3991">
        <v>0</v>
      </c>
      <c r="CX4" s="3992" t="s">
        <v>1723</v>
      </c>
    </row>
    <row r="5" spans="1:102" s="10" customFormat="1" ht="81" customHeight="1">
      <c r="A5" s="187">
        <v>4</v>
      </c>
      <c r="B5" s="242" t="s">
        <v>524</v>
      </c>
      <c r="C5" s="187" t="str">
        <f ca="1">E5</f>
        <v>{"dossier":p.DossierName2,"konto":"3000 Miete und Nebenkosten","beschreibung":"Miete und Nebenkosten vom Lohn","betragMonatl":1345.45,"geplantAb":"04.11.2025","geplantBis":"04.12.2025","zahlMethode":"Wiederkehrende Zahlung","zahlungsEmpfang":"Klientschaft","zahlungsVerbindung":"","periode":"Monatlich","referenzScor":"","mitteilung":"Dies ist eine ganz lange Mitteilung welche völlig unnötig ist und 140 Zeichen enthalten wird dies werde ich aber nicht ausprobieren, oder do"}</v>
      </c>
      <c r="D5" s="187" t="s">
        <v>263</v>
      </c>
      <c r="E5" s="243" t="str">
        <f t="shared" ref="E5" ca="1" si="3">F5&amp;G5&amp;H5&amp;I5&amp;J5&amp;K5&amp;L5&amp;M5&amp;N5&amp;O5&amp;P5&amp;Q5&amp;R5&amp;S5&amp;T5&amp;U5&amp;V5&amp;W5&amp;X5&amp;Y5&amp;Z5&amp;AA5&amp;AB5&amp;AC5&amp;AD5&amp;AE5&amp;AF5&amp;AG5</f>
        <v>{"dossier":p.DossierName2,"konto":"3000 Miete und Nebenkosten","beschreibung":"Miete und Nebenkosten vom Lohn","betragMonatl":1345.45,"geplantAb":"04.11.2025","geplantBis":"04.12.2025","zahlMethode":"Wiederkehrende Zahlung","zahlungsEmpfang":"Klientschaft","zahlungsVerbindung":"","periode":"Monatlich","referenzScor":"","mitteilung":"Dies ist eine ganz lange Mitteilung welche völlig unnötig ist und 140 Zeichen enthalten wird dies werde ich aber nicht ausprobieren, oder do"}</v>
      </c>
      <c r="F5" s="240" t="s">
        <v>159</v>
      </c>
      <c r="G5" s="187" t="s">
        <v>513</v>
      </c>
      <c r="H5" s="187" t="s">
        <v>525</v>
      </c>
      <c r="I5" s="187" t="s">
        <v>543</v>
      </c>
      <c r="J5" s="187" t="s">
        <v>527</v>
      </c>
      <c r="K5" s="187" t="s">
        <v>544</v>
      </c>
      <c r="L5" s="187" t="s">
        <v>529</v>
      </c>
      <c r="M5" s="187">
        <v>1345.45</v>
      </c>
      <c r="N5" s="187" t="s">
        <v>530</v>
      </c>
      <c r="O5" s="232" t="str">
        <f ca="1">TEXT(TEXT(TODAY(),"DD")&amp;"."&amp;TEXT(TODAY(),"MM")&amp;"."&amp;TEXT(TODAY(),"YYYY"),"DD.MM.YYYY")</f>
        <v>04.11.2025</v>
      </c>
      <c r="P5" s="187" t="s">
        <v>531</v>
      </c>
      <c r="Q5" s="232" t="str">
        <f ca="1">TEXT(TEXT(TODAY()+30,"DD")&amp;"."&amp;TEXT(TODAY()+30,"MM")&amp;"."&amp;TEXT(TODAY()+30,"YYYY"),"DD.MM.YYYY")</f>
        <v>04.12.2025</v>
      </c>
      <c r="R5" s="187" t="s">
        <v>532</v>
      </c>
      <c r="S5" s="187" t="s">
        <v>533</v>
      </c>
      <c r="T5" s="187" t="s">
        <v>534</v>
      </c>
      <c r="U5" s="187" t="s">
        <v>545</v>
      </c>
      <c r="V5" s="187" t="s">
        <v>535</v>
      </c>
      <c r="W5" s="187"/>
      <c r="X5" s="186" t="s">
        <v>537</v>
      </c>
      <c r="Y5" s="187" t="s">
        <v>546</v>
      </c>
      <c r="Z5" s="187" t="s">
        <v>539</v>
      </c>
      <c r="AA5" s="187"/>
      <c r="AB5" s="187" t="s">
        <v>541</v>
      </c>
      <c r="AC5" s="187" t="s">
        <v>542</v>
      </c>
      <c r="AD5" s="187" t="s">
        <v>37</v>
      </c>
      <c r="AE5" s="187"/>
      <c r="AF5" s="187"/>
      <c r="AG5" s="187"/>
      <c r="AH5" s="187"/>
      <c r="AI5" s="187">
        <v>15994</v>
      </c>
      <c r="AJ5" s="187">
        <v>16281</v>
      </c>
      <c r="AK5" s="156">
        <f t="shared" ref="AK5" si="4">AJ5/($AI5)</f>
        <v>1.0179442290859073</v>
      </c>
      <c r="AL5" s="187">
        <v>16292</v>
      </c>
      <c r="AM5" s="156">
        <f t="shared" si="1"/>
        <v>1.0186319869951233</v>
      </c>
      <c r="AN5" s="187">
        <v>18048</v>
      </c>
      <c r="AO5" s="156">
        <f t="shared" si="1"/>
        <v>1.1284231586845066</v>
      </c>
      <c r="AP5" s="187">
        <v>16781</v>
      </c>
      <c r="AQ5" s="156">
        <f t="shared" si="1"/>
        <v>1.0492059522320871</v>
      </c>
      <c r="AR5" s="187">
        <v>16376</v>
      </c>
      <c r="AS5" s="156">
        <f t="shared" si="1"/>
        <v>1.0238839564836815</v>
      </c>
      <c r="AT5" s="187">
        <v>16277</v>
      </c>
      <c r="AU5" s="156">
        <f t="shared" si="1"/>
        <v>1.0176941353007378</v>
      </c>
      <c r="AV5" s="187">
        <v>10181</v>
      </c>
      <c r="AW5" s="156">
        <f t="shared" si="1"/>
        <v>0.63655120670251342</v>
      </c>
      <c r="AX5" s="12">
        <v>9626</v>
      </c>
      <c r="AY5" s="156">
        <f t="shared" si="1"/>
        <v>0.60185069401025382</v>
      </c>
      <c r="AZ5" s="12">
        <v>10642</v>
      </c>
      <c r="BA5" s="156">
        <f t="shared" si="1"/>
        <v>0.66537451544329118</v>
      </c>
      <c r="BB5" s="2">
        <v>11272</v>
      </c>
      <c r="BC5" s="2"/>
      <c r="BD5" s="2">
        <v>11261</v>
      </c>
      <c r="BE5" s="2"/>
      <c r="BG5" s="10">
        <v>11361</v>
      </c>
      <c r="BI5" s="10">
        <v>10935</v>
      </c>
      <c r="BK5" s="10">
        <v>11156</v>
      </c>
      <c r="BM5" s="10">
        <v>10913</v>
      </c>
      <c r="BO5" s="10">
        <v>10754</v>
      </c>
      <c r="BQ5" s="10">
        <v>11248</v>
      </c>
      <c r="BS5" s="10">
        <v>10712</v>
      </c>
      <c r="BU5" s="10">
        <v>7906</v>
      </c>
      <c r="BW5" s="10">
        <v>7716</v>
      </c>
      <c r="BY5" s="10">
        <v>8190</v>
      </c>
      <c r="CA5" s="10">
        <v>300</v>
      </c>
      <c r="CC5" s="10">
        <v>9567</v>
      </c>
      <c r="CE5" s="10">
        <v>13026</v>
      </c>
      <c r="CG5" s="10">
        <v>10041</v>
      </c>
      <c r="CI5" s="10">
        <v>10220</v>
      </c>
      <c r="CK5" s="10">
        <v>10658</v>
      </c>
      <c r="CM5" s="10">
        <v>12726</v>
      </c>
      <c r="CO5" s="10">
        <v>219</v>
      </c>
      <c r="CQ5" s="10">
        <v>297</v>
      </c>
      <c r="CS5" s="10">
        <v>147</v>
      </c>
      <c r="CW5" s="10">
        <v>737</v>
      </c>
      <c r="CX5" s="10" t="s">
        <v>1718</v>
      </c>
    </row>
    <row r="6" spans="1:102" ht="15" customHeight="1">
      <c r="AK6" s="156"/>
      <c r="AM6" s="156"/>
      <c r="AO6" s="156"/>
      <c r="AQ6" s="156"/>
      <c r="AS6" s="156"/>
      <c r="AU6" s="156"/>
      <c r="AW6" s="156"/>
      <c r="AY6" s="156"/>
      <c r="BA6" s="156"/>
      <c r="CI6" s="2">
        <f>SUM(CI2:CI5)</f>
        <v>31958</v>
      </c>
    </row>
    <row r="7" spans="1:102" ht="15" customHeight="1">
      <c r="AK7" s="156"/>
      <c r="AM7" s="156"/>
      <c r="AO7" s="156"/>
      <c r="AQ7" s="156"/>
      <c r="AS7" s="156"/>
      <c r="AU7" s="156"/>
      <c r="AW7" s="156"/>
      <c r="AY7" s="156"/>
      <c r="BA7" s="156"/>
    </row>
    <row r="8" spans="1:102" ht="26.25" customHeight="1">
      <c r="C8" s="244" t="s">
        <v>547</v>
      </c>
      <c r="AK8" s="2"/>
      <c r="AM8" s="2"/>
      <c r="AO8" s="2"/>
      <c r="AQ8" s="2"/>
      <c r="AS8" s="2"/>
      <c r="AU8" s="2"/>
      <c r="AW8" s="2"/>
      <c r="AY8" s="2"/>
      <c r="BA8" s="2"/>
    </row>
    <row r="9" spans="1:102" ht="14.25"/>
    <row r="10" spans="1:102" ht="26.25" customHeight="1">
      <c r="C10" s="2" t="s">
        <v>1558</v>
      </c>
    </row>
    <row r="12" spans="1:102" ht="26.25" customHeight="1">
      <c r="C12" s="2" t="s">
        <v>1753</v>
      </c>
    </row>
  </sheetData>
  <conditionalFormatting sqref="AK2:AK147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2:AM147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O2:AO147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Q2:AQ147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S2:AS147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U2:AU147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W2:AW147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Y2:AY147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147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CX23"/>
  <sheetViews>
    <sheetView zoomScaleNormal="100" workbookViewId="0">
      <pane xSplit="2" ySplit="1" topLeftCell="D2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ColWidth="8" defaultRowHeight="16.5" customHeight="1"/>
  <cols>
    <col min="1" max="1" width="8" style="3" customWidth="1"/>
    <col min="2" max="2" width="32.85546875" style="3" customWidth="1"/>
    <col min="3" max="3" width="138.28515625" style="3" customWidth="1"/>
    <col min="4" max="48" width="8" style="3" customWidth="1"/>
    <col min="49" max="49" width="11" style="3" customWidth="1"/>
    <col min="50" max="50" width="8" style="3" customWidth="1"/>
    <col min="51" max="51" width="11" style="3" customWidth="1"/>
    <col min="52" max="62" width="10.85546875" style="3" customWidth="1"/>
    <col min="63" max="63" width="20" style="3" customWidth="1"/>
    <col min="64" max="64" width="50" style="3" customWidth="1"/>
    <col min="65" max="65" width="20" style="3" customWidth="1"/>
    <col min="66" max="66" width="50" style="3" customWidth="1"/>
    <col min="67" max="67" width="20" style="3" customWidth="1"/>
    <col min="68" max="68" width="50" style="3" customWidth="1"/>
    <col min="69" max="69" width="20" style="3" customWidth="1"/>
    <col min="70" max="70" width="50" style="3" customWidth="1"/>
    <col min="71" max="71" width="20" style="3" customWidth="1"/>
    <col min="72" max="72" width="50" style="3" customWidth="1"/>
    <col min="73" max="73" width="20" style="3" customWidth="1"/>
    <col min="74" max="74" width="50" style="3" customWidth="1"/>
    <col min="75" max="75" width="20" style="3" customWidth="1"/>
    <col min="76" max="76" width="50" style="3" customWidth="1"/>
    <col min="77" max="77" width="20" style="3" customWidth="1"/>
    <col min="78" max="78" width="50" style="3" customWidth="1"/>
    <col min="79" max="79" width="20" style="3" customWidth="1"/>
    <col min="80" max="80" width="50" style="3" customWidth="1"/>
    <col min="81" max="81" width="20" style="3" customWidth="1"/>
    <col min="82" max="82" width="50" style="3" customWidth="1"/>
    <col min="83" max="83" width="20" style="3" customWidth="1"/>
    <col min="84" max="84" width="50" style="3" customWidth="1"/>
    <col min="85" max="85" width="20" style="3" customWidth="1"/>
    <col min="86" max="86" width="50" style="3" customWidth="1"/>
    <col min="87" max="87" width="20" style="3" customWidth="1"/>
    <col min="88" max="88" width="50" style="3" customWidth="1"/>
    <col min="89" max="89" width="20" style="3" customWidth="1"/>
    <col min="90" max="90" width="50" style="3" customWidth="1"/>
    <col min="91" max="91" width="20" style="3" customWidth="1"/>
    <col min="92" max="92" width="50" style="3" customWidth="1"/>
    <col min="93" max="93" width="20" style="3" customWidth="1"/>
    <col min="94" max="94" width="50" style="3" customWidth="1"/>
    <col min="95" max="95" width="20" style="3" customWidth="1"/>
    <col min="96" max="96" width="50" style="3" customWidth="1"/>
    <col min="97" max="97" width="20" style="3" customWidth="1"/>
    <col min="98" max="98" width="50" style="3" customWidth="1"/>
    <col min="99" max="99" width="20" style="3" customWidth="1"/>
    <col min="100" max="100" width="50" style="3" customWidth="1"/>
    <col min="101" max="101" width="20" style="3" customWidth="1"/>
    <col min="102" max="102" width="50" style="3" customWidth="1"/>
    <col min="103" max="16384" width="8" style="3"/>
  </cols>
  <sheetData>
    <row r="1" spans="1:102" ht="16.5" customHeight="1">
      <c r="A1" s="239" t="s">
        <v>0</v>
      </c>
      <c r="B1" s="239" t="s">
        <v>1</v>
      </c>
      <c r="C1" s="239" t="s">
        <v>2</v>
      </c>
      <c r="D1" s="239" t="s">
        <v>3</v>
      </c>
      <c r="E1" s="245"/>
      <c r="F1" s="3" t="s">
        <v>4</v>
      </c>
      <c r="G1" s="2558">
        <f>1*60*1000*SpeedFaktor</f>
        <v>60000</v>
      </c>
      <c r="H1" s="3">
        <v>10</v>
      </c>
      <c r="AH1" s="3" t="s">
        <v>5</v>
      </c>
      <c r="AI1" s="3" t="s">
        <v>488</v>
      </c>
      <c r="AJ1" s="231" t="s">
        <v>8</v>
      </c>
      <c r="AK1" s="3" t="s">
        <v>489</v>
      </c>
      <c r="AL1" s="231" t="s">
        <v>8</v>
      </c>
      <c r="AM1" s="3" t="s">
        <v>324</v>
      </c>
      <c r="AN1" s="231" t="s">
        <v>8</v>
      </c>
      <c r="AO1" s="3" t="s">
        <v>10</v>
      </c>
      <c r="AP1" s="231" t="s">
        <v>8</v>
      </c>
      <c r="AQ1" s="3" t="s">
        <v>11</v>
      </c>
      <c r="AR1" s="231" t="s">
        <v>8</v>
      </c>
      <c r="AS1" s="3" t="s">
        <v>12</v>
      </c>
      <c r="AT1" s="231" t="s">
        <v>8</v>
      </c>
      <c r="AU1" s="3" t="s">
        <v>13</v>
      </c>
      <c r="AV1" s="231" t="s">
        <v>8</v>
      </c>
      <c r="AW1" s="3" t="s">
        <v>65</v>
      </c>
      <c r="AX1" s="231" t="s">
        <v>8</v>
      </c>
      <c r="AY1" s="3" t="s">
        <v>15</v>
      </c>
      <c r="AZ1" s="231" t="s">
        <v>8</v>
      </c>
      <c r="BA1" s="3" t="s">
        <v>17</v>
      </c>
      <c r="BB1" s="231" t="s">
        <v>8</v>
      </c>
      <c r="BC1" s="3" t="s">
        <v>1285</v>
      </c>
      <c r="BD1" s="231" t="s">
        <v>8</v>
      </c>
      <c r="BE1" s="3" t="s">
        <v>1286</v>
      </c>
      <c r="BF1" s="231" t="s">
        <v>8</v>
      </c>
      <c r="BG1" s="507" t="s">
        <v>1303</v>
      </c>
      <c r="BH1" s="231" t="s">
        <v>8</v>
      </c>
      <c r="BI1" s="585" t="s">
        <v>1308</v>
      </c>
      <c r="BJ1" s="231" t="s">
        <v>8</v>
      </c>
      <c r="BK1" s="803" t="s">
        <v>1311</v>
      </c>
      <c r="BL1" s="804" t="s">
        <v>572</v>
      </c>
      <c r="BM1" s="929" t="s">
        <v>1318</v>
      </c>
      <c r="BN1" s="930" t="s">
        <v>572</v>
      </c>
      <c r="BO1" s="1054" t="s">
        <v>1322</v>
      </c>
      <c r="BP1" s="1055" t="s">
        <v>572</v>
      </c>
      <c r="BQ1" s="1076" t="s">
        <v>1324</v>
      </c>
      <c r="BR1" s="1077" t="s">
        <v>572</v>
      </c>
      <c r="BS1" s="1276" t="s">
        <v>1341</v>
      </c>
      <c r="BT1" s="1277" t="s">
        <v>572</v>
      </c>
      <c r="BU1" s="1512" t="s">
        <v>1363</v>
      </c>
      <c r="BV1" s="1513" t="s">
        <v>572</v>
      </c>
      <c r="BW1" s="1658" t="s">
        <v>1368</v>
      </c>
      <c r="BX1" s="1659" t="s">
        <v>572</v>
      </c>
      <c r="BY1" s="1799" t="s">
        <v>1371</v>
      </c>
      <c r="BZ1" s="1800" t="s">
        <v>572</v>
      </c>
      <c r="CA1" s="1953" t="s">
        <v>1375</v>
      </c>
      <c r="CB1" s="1954" t="s">
        <v>572</v>
      </c>
      <c r="CC1" s="2059" t="s">
        <v>1397</v>
      </c>
      <c r="CD1" s="2060" t="s">
        <v>572</v>
      </c>
      <c r="CE1" s="2249" t="s">
        <v>1421</v>
      </c>
      <c r="CF1" s="2250" t="s">
        <v>572</v>
      </c>
      <c r="CG1" s="2414" t="s">
        <v>1430</v>
      </c>
      <c r="CH1" s="2415" t="s">
        <v>572</v>
      </c>
      <c r="CI1" s="2577" t="s">
        <v>1442</v>
      </c>
      <c r="CJ1" s="2578" t="s">
        <v>572</v>
      </c>
      <c r="CK1" s="2764" t="s">
        <v>1460</v>
      </c>
      <c r="CL1" s="2765" t="s">
        <v>572</v>
      </c>
      <c r="CM1" s="2938" t="s">
        <v>1472</v>
      </c>
      <c r="CN1" s="2939" t="s">
        <v>572</v>
      </c>
      <c r="CO1" s="3128" t="s">
        <v>1492</v>
      </c>
      <c r="CP1" s="3129" t="s">
        <v>572</v>
      </c>
      <c r="CQ1" s="3306" t="s">
        <v>1503</v>
      </c>
      <c r="CR1" s="3307" t="s">
        <v>572</v>
      </c>
      <c r="CS1" s="3482" t="s">
        <v>1519</v>
      </c>
      <c r="CT1" s="3483" t="s">
        <v>572</v>
      </c>
      <c r="CU1" s="3768" t="s">
        <v>1666</v>
      </c>
      <c r="CV1" s="3769" t="s">
        <v>572</v>
      </c>
      <c r="CW1" s="3993" t="s">
        <v>1717</v>
      </c>
      <c r="CX1" s="3994" t="s">
        <v>572</v>
      </c>
    </row>
    <row r="2" spans="1:102" s="53" customFormat="1" ht="16.5" customHeight="1">
      <c r="A2" s="606">
        <v>1</v>
      </c>
      <c r="B2" s="606" t="s">
        <v>21</v>
      </c>
      <c r="C2" s="591" t="str">
        <f>'001a'!B59</f>
        <v>{"url":p.aventisURL}</v>
      </c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>
        <v>1480</v>
      </c>
      <c r="AJ2" s="246">
        <f>AI2/($AI2)</f>
        <v>1</v>
      </c>
      <c r="AK2" s="3">
        <v>1704</v>
      </c>
      <c r="AL2" s="246">
        <f>AK2/($AI2)</f>
        <v>1.1513513513513514</v>
      </c>
      <c r="AM2" s="3">
        <v>1523</v>
      </c>
      <c r="AN2" s="246">
        <f>AM2/($AI2)</f>
        <v>1.029054054054054</v>
      </c>
      <c r="AO2" s="3">
        <v>1799</v>
      </c>
      <c r="AP2" s="246">
        <f>AO2/($AI2)</f>
        <v>1.2155405405405406</v>
      </c>
      <c r="AQ2" s="3">
        <v>1711</v>
      </c>
      <c r="AR2" s="246">
        <f>AQ2/($AI2)</f>
        <v>1.1560810810810811</v>
      </c>
      <c r="AS2" s="3">
        <v>1427</v>
      </c>
      <c r="AT2" s="246">
        <f>AS2/($AI2)</f>
        <v>0.96418918918918917</v>
      </c>
      <c r="AU2" s="3">
        <v>1477</v>
      </c>
      <c r="AV2" s="246">
        <f>AU2/($AI2)</f>
        <v>0.99797297297297294</v>
      </c>
      <c r="AW2" s="2">
        <v>1427</v>
      </c>
      <c r="AX2" s="246">
        <f>AW2/($AI2)</f>
        <v>0.96418918918918917</v>
      </c>
      <c r="AY2" s="2">
        <v>1201</v>
      </c>
      <c r="AZ2" s="246">
        <f>AY2/($AI2)</f>
        <v>0.81148648648648647</v>
      </c>
      <c r="BA2" s="2">
        <v>1100</v>
      </c>
      <c r="BB2" s="246">
        <f>BA2/($AI2)</f>
        <v>0.7432432432432432</v>
      </c>
      <c r="BC2" s="2">
        <v>1139</v>
      </c>
      <c r="BD2" s="246">
        <f>BC2/($AI2)</f>
        <v>0.76959459459459456</v>
      </c>
      <c r="BE2" s="2">
        <v>561</v>
      </c>
      <c r="BF2" s="246">
        <f>BE2/($AI2)</f>
        <v>0.37905405405405407</v>
      </c>
      <c r="BG2" s="53">
        <v>1469</v>
      </c>
      <c r="BH2" s="246">
        <f>BG2/($AI2)</f>
        <v>0.99256756756756759</v>
      </c>
      <c r="BI2" s="53">
        <v>1375</v>
      </c>
      <c r="BJ2" s="246">
        <f>BI2/($AI2)</f>
        <v>0.92905405405405406</v>
      </c>
      <c r="BK2" s="53">
        <v>1252</v>
      </c>
      <c r="BM2" s="53">
        <v>1331</v>
      </c>
      <c r="BO2" s="53">
        <v>1246</v>
      </c>
      <c r="BQ2" s="53">
        <v>1267</v>
      </c>
      <c r="BS2" s="53">
        <v>1167</v>
      </c>
      <c r="BU2" s="53">
        <v>1204</v>
      </c>
      <c r="BW2" s="53">
        <v>1251</v>
      </c>
      <c r="BY2" s="53">
        <v>1100</v>
      </c>
      <c r="CA2" s="53">
        <v>1665</v>
      </c>
      <c r="CC2" s="53">
        <v>1696</v>
      </c>
      <c r="CE2" s="53">
        <v>1737</v>
      </c>
      <c r="CG2" s="53">
        <v>1845</v>
      </c>
      <c r="CI2" s="53">
        <v>1111</v>
      </c>
      <c r="CK2" s="53">
        <v>1088</v>
      </c>
      <c r="CM2" s="53">
        <v>1609</v>
      </c>
      <c r="CO2" s="53">
        <v>1231</v>
      </c>
      <c r="CQ2" s="53">
        <v>1178</v>
      </c>
      <c r="CS2" s="53">
        <v>852</v>
      </c>
      <c r="CU2" s="53">
        <v>902</v>
      </c>
      <c r="CW2" s="53">
        <v>1331</v>
      </c>
      <c r="CX2" s="53" t="s">
        <v>1718</v>
      </c>
    </row>
    <row r="3" spans="1:102" s="53" customFormat="1" ht="16.5" customHeight="1" thickBot="1">
      <c r="A3" s="122">
        <v>2</v>
      </c>
      <c r="B3" s="122" t="s">
        <v>25</v>
      </c>
      <c r="C3" s="606" t="str">
        <f>E3</f>
        <v>{"username":"bern.sozialarbeiterin1a@diartis.ch","password":"SMze97-jkSJ59!F.","fullname":"Sozialarbeiterin 1A Bern","team":"Sozialarbeit Bern 1"}</v>
      </c>
      <c r="D3" s="13"/>
      <c r="E3" s="154" t="str">
        <f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247" t="s">
        <v>29</v>
      </c>
      <c r="G3" s="13" t="s">
        <v>71</v>
      </c>
      <c r="H3" s="247" t="s">
        <v>31</v>
      </c>
      <c r="I3" s="13" t="s">
        <v>72</v>
      </c>
      <c r="J3" s="247" t="s">
        <v>73</v>
      </c>
      <c r="K3" s="13" t="s">
        <v>74</v>
      </c>
      <c r="L3" s="247" t="s">
        <v>75</v>
      </c>
      <c r="M3" s="13" t="s">
        <v>76</v>
      </c>
      <c r="N3" s="247" t="s">
        <v>37</v>
      </c>
      <c r="O3" s="13"/>
      <c r="P3" s="247"/>
      <c r="Q3" s="13"/>
      <c r="R3" s="247"/>
      <c r="S3" s="13"/>
      <c r="T3" s="247"/>
      <c r="U3" s="13"/>
      <c r="V3" s="247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54">
        <v>8878</v>
      </c>
      <c r="AJ3" s="246">
        <f t="shared" ref="AJ3:AL3" si="0">AI3/($AI3)</f>
        <v>1</v>
      </c>
      <c r="AK3" s="154">
        <v>9271</v>
      </c>
      <c r="AL3" s="246">
        <f t="shared" si="0"/>
        <v>1.0442667267402568</v>
      </c>
      <c r="AM3" s="154">
        <v>8657</v>
      </c>
      <c r="AN3" s="246">
        <f t="shared" ref="AN3:BJ4" si="1">AM3/($AI3)</f>
        <v>0.97510700608245104</v>
      </c>
      <c r="AO3" s="154">
        <v>10981</v>
      </c>
      <c r="AP3" s="246">
        <f t="shared" si="1"/>
        <v>1.2368776751520614</v>
      </c>
      <c r="AQ3" s="154">
        <v>10229</v>
      </c>
      <c r="AR3" s="246">
        <f t="shared" si="1"/>
        <v>1.1521739130434783</v>
      </c>
      <c r="AS3" s="154">
        <v>8718</v>
      </c>
      <c r="AT3" s="246">
        <f t="shared" si="1"/>
        <v>0.98197792295562059</v>
      </c>
      <c r="AU3" s="154">
        <v>9354</v>
      </c>
      <c r="AV3" s="246">
        <f t="shared" si="1"/>
        <v>1.0536156792070286</v>
      </c>
      <c r="AW3" s="13">
        <v>10126</v>
      </c>
      <c r="AX3" s="246">
        <f t="shared" si="1"/>
        <v>1.140572200946159</v>
      </c>
      <c r="AY3" s="2">
        <v>8550</v>
      </c>
      <c r="AZ3" s="246">
        <f t="shared" si="1"/>
        <v>0.96305474205902231</v>
      </c>
      <c r="BA3" s="2">
        <v>6989</v>
      </c>
      <c r="BB3" s="246">
        <f t="shared" si="1"/>
        <v>0.7872268528947961</v>
      </c>
      <c r="BC3" s="2">
        <v>7185</v>
      </c>
      <c r="BD3" s="246">
        <f t="shared" si="1"/>
        <v>0.80930389727416085</v>
      </c>
      <c r="BE3" s="2">
        <v>5159</v>
      </c>
      <c r="BF3" s="246">
        <f t="shared" si="1"/>
        <v>0.58109934669970709</v>
      </c>
      <c r="BG3" s="53">
        <v>8262</v>
      </c>
      <c r="BH3" s="246">
        <f t="shared" si="1"/>
        <v>0.93061500337913949</v>
      </c>
      <c r="BI3" s="53">
        <v>7595</v>
      </c>
      <c r="BJ3" s="246">
        <f t="shared" si="1"/>
        <v>0.85548546970038297</v>
      </c>
      <c r="BK3" s="53">
        <v>7824</v>
      </c>
      <c r="BM3" s="53">
        <v>7683</v>
      </c>
      <c r="BO3" s="53">
        <v>7693</v>
      </c>
      <c r="BQ3" s="53">
        <v>7477</v>
      </c>
      <c r="BS3" s="53">
        <v>6722</v>
      </c>
      <c r="BU3" s="53">
        <v>8282</v>
      </c>
      <c r="BW3" s="53">
        <v>6915</v>
      </c>
      <c r="BY3" s="53">
        <v>7117</v>
      </c>
      <c r="CA3" s="53">
        <v>7163</v>
      </c>
      <c r="CC3" s="53">
        <v>6752</v>
      </c>
      <c r="CE3" s="53">
        <v>6422</v>
      </c>
      <c r="CG3" s="53">
        <v>6855</v>
      </c>
      <c r="CI3" s="53">
        <v>6789</v>
      </c>
      <c r="CK3" s="53">
        <v>9314</v>
      </c>
      <c r="CM3" s="53">
        <v>8819</v>
      </c>
      <c r="CO3" s="53">
        <v>8100</v>
      </c>
      <c r="CQ3" s="53">
        <v>8786</v>
      </c>
      <c r="CS3" s="53">
        <v>9735</v>
      </c>
      <c r="CU3" s="53">
        <v>8609</v>
      </c>
      <c r="CW3" s="53">
        <v>7649</v>
      </c>
      <c r="CX3" s="53" t="s">
        <v>1718</v>
      </c>
    </row>
    <row r="4" spans="1:102" s="53" customFormat="1" ht="46.5" customHeight="1" thickBot="1">
      <c r="A4" s="231">
        <v>3</v>
      </c>
      <c r="B4" s="248" t="s">
        <v>548</v>
      </c>
      <c r="C4" s="231" t="str">
        <f>E4</f>
        <v>{"dossier":p.DossierName2,"beschreibung":"Miete und Nebenkosten vom Lohn","zahlEmpf":"Klientschaft","zahlMeth":"Wiederkehrende Zahlung","konto":"3000 Miete und Nebenkosten","gueltigkeit":"","zahlVerbinudung":`${p.FamilyName2}, ${p.ManFirstName2} - ${p.IBAN2}`,"periode":"Monatlich","betrag":1345.45,"total":2645.45}</v>
      </c>
      <c r="D4" s="231" t="s">
        <v>263</v>
      </c>
      <c r="E4" s="231" t="str">
        <f>F4&amp;G4&amp;H4&amp;I4&amp;J4&amp;K4&amp;L4&amp;M4&amp;N4&amp;O4&amp;P4&amp;Q4&amp;R4&amp;S4&amp;T4&amp;U4&amp;V4&amp;W4&amp;X4&amp;Y4&amp;Z4&amp;AA4&amp;AB4&amp;AC4&amp;AD4&amp;AE4&amp;AF4&amp;AG4</f>
        <v>{"dossier":p.DossierName2,"beschreibung":"Miete und Nebenkosten vom Lohn","zahlEmpf":"Klientschaft","zahlMeth":"Wiederkehrende Zahlung","konto":"3000 Miete und Nebenkosten","gueltigkeit":"","zahlVerbinudung":`${p.FamilyName2}, ${p.ManFirstName2} - ${p.IBAN2}`,"periode":"Monatlich","betrag":1345.45,"total":2645.45}</v>
      </c>
      <c r="F4" s="248" t="s">
        <v>159</v>
      </c>
      <c r="G4" s="231" t="s">
        <v>513</v>
      </c>
      <c r="H4" s="248" t="s">
        <v>549</v>
      </c>
      <c r="I4" s="231" t="str">
        <f>'A03-FE01'!K5</f>
        <v>Miete und Nebenkosten vom Lohn</v>
      </c>
      <c r="J4" s="231" t="s">
        <v>550</v>
      </c>
      <c r="K4" s="231" t="str">
        <f>'A03-FE01'!U5</f>
        <v>Klientschaft</v>
      </c>
      <c r="L4" s="231" t="s">
        <v>551</v>
      </c>
      <c r="M4" s="231" t="s">
        <v>533</v>
      </c>
      <c r="N4" s="231" t="s">
        <v>552</v>
      </c>
      <c r="O4" s="24" t="str">
        <f>'A03-FE01'!I5</f>
        <v>3000 Miete und Nebenkosten</v>
      </c>
      <c r="P4" s="231" t="s">
        <v>553</v>
      </c>
      <c r="Q4" s="24"/>
      <c r="R4" s="231" t="s">
        <v>554</v>
      </c>
      <c r="S4" s="231" t="str">
        <f>"${p.FamilyName2}, ${p.ManFirstName2} - ${p.IBAN2}"</f>
        <v>${p.FamilyName2}, ${p.ManFirstName2} - ${p.IBAN2}</v>
      </c>
      <c r="T4" s="231" t="s">
        <v>555</v>
      </c>
      <c r="U4" s="231" t="s">
        <v>546</v>
      </c>
      <c r="V4" s="231" t="s">
        <v>556</v>
      </c>
      <c r="W4" s="249">
        <v>1345.45</v>
      </c>
      <c r="X4" s="231" t="s">
        <v>557</v>
      </c>
      <c r="Y4" s="163">
        <v>2645.45</v>
      </c>
      <c r="Z4" s="231" t="s">
        <v>109</v>
      </c>
      <c r="AA4" s="24"/>
      <c r="AB4" s="24"/>
      <c r="AC4" s="24"/>
      <c r="AD4" s="24"/>
      <c r="AE4" s="24"/>
      <c r="AF4" s="24"/>
      <c r="AG4" s="24"/>
      <c r="AH4" s="24"/>
      <c r="AI4" s="231">
        <v>13886</v>
      </c>
      <c r="AJ4" s="246">
        <f t="shared" ref="AJ4:AL4" si="2">AI4/($AI4)</f>
        <v>1</v>
      </c>
      <c r="AK4" s="231">
        <v>14349</v>
      </c>
      <c r="AL4" s="246">
        <f t="shared" si="2"/>
        <v>1.0333429353305488</v>
      </c>
      <c r="AM4" s="231">
        <v>0</v>
      </c>
      <c r="AN4" s="246">
        <f t="shared" si="1"/>
        <v>0</v>
      </c>
      <c r="AO4" s="231">
        <v>0</v>
      </c>
      <c r="AP4" s="246">
        <f t="shared" si="1"/>
        <v>0</v>
      </c>
      <c r="AQ4" s="231">
        <v>15644</v>
      </c>
      <c r="AR4" s="246">
        <f t="shared" si="1"/>
        <v>1.1266023332853234</v>
      </c>
      <c r="AS4" s="231">
        <v>14471</v>
      </c>
      <c r="AT4" s="246">
        <f t="shared" si="1"/>
        <v>1.0421287627826588</v>
      </c>
      <c r="AU4" s="231">
        <v>14673</v>
      </c>
      <c r="AV4" s="246">
        <f t="shared" si="1"/>
        <v>1.0566757885640212</v>
      </c>
      <c r="AW4" s="24">
        <v>8448</v>
      </c>
      <c r="AX4" s="246">
        <f t="shared" si="1"/>
        <v>0.60838254356906241</v>
      </c>
      <c r="AY4" s="2">
        <v>7970</v>
      </c>
      <c r="AZ4" s="246">
        <f t="shared" si="1"/>
        <v>0.57395938355177878</v>
      </c>
      <c r="BA4" s="2">
        <v>7850</v>
      </c>
      <c r="BB4" s="246">
        <f t="shared" si="1"/>
        <v>0.56531758605790006</v>
      </c>
      <c r="BC4" s="2">
        <v>7956</v>
      </c>
      <c r="BD4" s="246">
        <f t="shared" si="1"/>
        <v>0.57295117384415961</v>
      </c>
      <c r="BE4" s="2">
        <v>8630</v>
      </c>
      <c r="BF4" s="246">
        <f t="shared" si="1"/>
        <v>0.62148926976811181</v>
      </c>
      <c r="BG4" s="53">
        <v>8996</v>
      </c>
      <c r="BH4" s="246">
        <f t="shared" si="1"/>
        <v>0.64784675212444187</v>
      </c>
      <c r="BI4" s="53">
        <v>8726</v>
      </c>
      <c r="BJ4" s="246">
        <f t="shared" si="1"/>
        <v>0.62840270776321472</v>
      </c>
      <c r="BK4" s="53">
        <v>8768</v>
      </c>
      <c r="BM4" s="53">
        <v>9567</v>
      </c>
      <c r="BO4" s="53">
        <v>8784</v>
      </c>
      <c r="BQ4" s="53">
        <v>8743</v>
      </c>
      <c r="BS4" s="53">
        <v>8831</v>
      </c>
      <c r="BU4" s="53">
        <v>7387</v>
      </c>
      <c r="BW4" s="53">
        <v>6011</v>
      </c>
      <c r="BY4" s="53">
        <v>6778</v>
      </c>
      <c r="CA4" s="1955">
        <v>0</v>
      </c>
      <c r="CB4" s="1956" t="s">
        <v>1381</v>
      </c>
      <c r="CC4" s="53">
        <v>9266</v>
      </c>
      <c r="CE4" s="53">
        <v>8420</v>
      </c>
      <c r="CG4" s="53">
        <v>9082</v>
      </c>
      <c r="CI4" s="53">
        <v>8690</v>
      </c>
      <c r="CK4" s="53">
        <v>9723</v>
      </c>
      <c r="CM4" s="2940">
        <v>0</v>
      </c>
      <c r="CN4" s="2941" t="s">
        <v>1477</v>
      </c>
      <c r="CO4" s="3130">
        <v>0</v>
      </c>
      <c r="CP4" s="3131" t="s">
        <v>1526</v>
      </c>
      <c r="CQ4" s="3308">
        <v>0</v>
      </c>
      <c r="CR4" s="3309" t="s">
        <v>1526</v>
      </c>
      <c r="CS4" s="3484">
        <v>0</v>
      </c>
      <c r="CT4" s="3485" t="s">
        <v>1526</v>
      </c>
      <c r="CU4" s="3770">
        <v>0</v>
      </c>
      <c r="CV4" s="3771" t="s">
        <v>1672</v>
      </c>
      <c r="CW4" s="3995">
        <v>0</v>
      </c>
      <c r="CX4" s="3996" t="s">
        <v>1724</v>
      </c>
    </row>
    <row r="5" spans="1:102" ht="16.5" customHeight="1">
      <c r="P5" s="3" t="str">
        <f ca="1">TEXT(TODAY(),"DD")&amp;"."&amp;TEXT(TODAY(),"MM")&amp;". - "&amp;TEXT(TEXT(TODAY()+30,"DD")&amp;"."&amp;TEXT(TODAY()+30,"MM")&amp;"."&amp;TEXT(TODAY()+30,"YYYY"),"DD.MM.YYYY")</f>
        <v>04.11. - 04.12.2025</v>
      </c>
      <c r="AJ5" s="246"/>
      <c r="AL5" s="246"/>
      <c r="AN5" s="246"/>
      <c r="AP5" s="246"/>
      <c r="AR5" s="246"/>
      <c r="AT5" s="246"/>
      <c r="AV5" s="246"/>
      <c r="AX5" s="246"/>
      <c r="AZ5" s="246"/>
      <c r="BB5" s="246"/>
      <c r="BD5" s="246"/>
      <c r="BF5" s="246"/>
      <c r="BH5" s="246"/>
      <c r="BJ5" s="246"/>
      <c r="CI5" s="3">
        <f>SUM(CI2:CI4)</f>
        <v>16590</v>
      </c>
    </row>
    <row r="6" spans="1:102" ht="16.5" customHeight="1">
      <c r="C6" s="250" t="s">
        <v>558</v>
      </c>
      <c r="AJ6" s="246"/>
      <c r="AL6" s="246"/>
      <c r="AN6" s="246"/>
      <c r="AP6" s="246"/>
      <c r="AR6" s="246"/>
      <c r="AT6" s="246"/>
      <c r="AV6" s="246"/>
      <c r="AX6" s="246"/>
      <c r="AZ6" s="246"/>
      <c r="BB6" s="246"/>
      <c r="BD6" s="246"/>
      <c r="BF6" s="246"/>
      <c r="BH6" s="246"/>
      <c r="BJ6" s="246"/>
    </row>
    <row r="7" spans="1:102" ht="16.5" customHeight="1">
      <c r="C7" s="3" t="s">
        <v>559</v>
      </c>
      <c r="AJ7" s="246"/>
      <c r="AL7" s="246"/>
      <c r="AN7" s="246"/>
      <c r="AP7" s="246"/>
      <c r="AR7" s="246"/>
      <c r="AT7" s="246"/>
      <c r="AV7" s="246"/>
      <c r="AX7" s="246"/>
      <c r="AZ7" s="246"/>
      <c r="BB7" s="246"/>
      <c r="BD7" s="246"/>
      <c r="BF7" s="246"/>
      <c r="BH7" s="246"/>
      <c r="BJ7" s="246"/>
    </row>
    <row r="8" spans="1:102" ht="16.5" customHeight="1">
      <c r="C8" s="3" t="s">
        <v>560</v>
      </c>
    </row>
    <row r="9" spans="1:102" ht="16.5" customHeight="1">
      <c r="C9" s="3" t="s">
        <v>561</v>
      </c>
    </row>
    <row r="10" spans="1:102" ht="16.5" customHeight="1">
      <c r="C10" s="3" t="s">
        <v>562</v>
      </c>
    </row>
    <row r="11" spans="1:102" ht="14.25" customHeight="1"/>
    <row r="12" spans="1:102" ht="16.5" customHeight="1">
      <c r="C12" s="3" t="s">
        <v>563</v>
      </c>
    </row>
    <row r="13" spans="1:102" ht="14.25" customHeight="1"/>
    <row r="14" spans="1:102" ht="16.5" customHeight="1">
      <c r="C14" s="50" t="s">
        <v>564</v>
      </c>
    </row>
    <row r="15" spans="1:102" ht="14.25" customHeight="1"/>
    <row r="16" spans="1:102" ht="16.5" customHeight="1">
      <c r="C16" s="3" t="s">
        <v>565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</sheetData>
  <conditionalFormatting sqref="AJ2:AJ147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L2:AL147">
    <cfRule type="colorScale" priority="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N2:AN147">
    <cfRule type="colorScale" priority="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P2:AP147">
    <cfRule type="colorScale" priority="1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R2:AR147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T2:AT147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V2:AV147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X2:AX147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2:AZ147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147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147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147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H2:BH147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J2:BJ147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BZ8"/>
  <sheetViews>
    <sheetView zoomScaleNormal="100" workbookViewId="0">
      <selection activeCell="H1" sqref="H1"/>
    </sheetView>
  </sheetViews>
  <sheetFormatPr defaultColWidth="9.140625" defaultRowHeight="14.25" customHeight="1"/>
  <cols>
    <col min="1" max="1" width="4.85546875" style="1" customWidth="1"/>
    <col min="2" max="2" width="45.140625" style="2" customWidth="1"/>
    <col min="3" max="3" width="137.42578125" style="2" customWidth="1"/>
    <col min="4" max="4" width="9.140625" style="2" customWidth="1"/>
    <col min="5" max="5" width="78.5703125" style="3" customWidth="1"/>
    <col min="6" max="6" width="18.85546875" style="2" customWidth="1"/>
    <col min="7" max="8" width="26.85546875" style="2" customWidth="1"/>
    <col min="9" max="9" width="36.7109375" style="2" customWidth="1"/>
    <col min="10" max="10" width="10.140625" style="2" customWidth="1"/>
    <col min="11" max="11" width="36.5703125" style="2" customWidth="1"/>
    <col min="12" max="12" width="9.140625" style="2" customWidth="1"/>
    <col min="13" max="13" width="20.7109375" style="2" customWidth="1"/>
    <col min="14" max="14" width="40.28515625" style="2" customWidth="1"/>
    <col min="15" max="15" width="22.5703125" style="2" customWidth="1"/>
    <col min="16" max="16" width="9.140625" style="2" customWidth="1"/>
    <col min="17" max="18" width="9.85546875" style="2" customWidth="1"/>
    <col min="19" max="19" width="9.85546875" style="12" customWidth="1"/>
    <col min="20" max="20" width="9.85546875" style="2" customWidth="1"/>
    <col min="21" max="21" width="9.85546875" style="12" customWidth="1"/>
    <col min="22" max="22" width="9.85546875" style="2" customWidth="1"/>
    <col min="23" max="23" width="9.85546875" style="12" customWidth="1"/>
    <col min="24" max="24" width="9.85546875" style="2" customWidth="1"/>
    <col min="25" max="25" width="9.85546875" style="12" customWidth="1"/>
    <col min="26" max="26" width="8.42578125" style="2" customWidth="1"/>
    <col min="27" max="27" width="9.85546875" style="12" customWidth="1"/>
    <col min="28" max="28" width="9.5703125" style="2" customWidth="1"/>
    <col min="29" max="29" width="9.85546875" style="12" customWidth="1"/>
    <col min="30" max="30" width="9.7109375" style="2" customWidth="1"/>
    <col min="31" max="31" width="9.85546875" style="12" customWidth="1"/>
    <col min="32" max="32" width="10.42578125" style="2" customWidth="1"/>
    <col min="33" max="33" width="9.85546875" style="12" customWidth="1"/>
    <col min="34" max="34" width="20" style="2" customWidth="1"/>
    <col min="35" max="35" width="9.85546875" style="12" customWidth="1"/>
    <col min="36" max="36" width="20" style="2" customWidth="1"/>
    <col min="37" max="37" width="9.85546875" style="12" customWidth="1"/>
    <col min="38" max="38" width="9.140625" style="2"/>
    <col min="39" max="39" width="20" style="2" customWidth="1"/>
    <col min="40" max="40" width="50" style="2" customWidth="1"/>
    <col min="41" max="41" width="20" style="2" customWidth="1"/>
    <col min="42" max="42" width="50" style="2" customWidth="1"/>
    <col min="43" max="43" width="20" style="2" customWidth="1"/>
    <col min="44" max="44" width="50" style="2" customWidth="1"/>
    <col min="45" max="45" width="20" style="2" customWidth="1"/>
    <col min="46" max="46" width="50" style="2" customWidth="1"/>
    <col min="47" max="47" width="20" style="2" customWidth="1"/>
    <col min="48" max="48" width="50" style="2" customWidth="1"/>
    <col min="49" max="49" width="20" style="2" customWidth="1"/>
    <col min="50" max="50" width="50" style="2" customWidth="1"/>
    <col min="51" max="51" width="20" style="2" customWidth="1"/>
    <col min="52" max="52" width="50" style="2" customWidth="1"/>
    <col min="53" max="53" width="20" style="2" customWidth="1"/>
    <col min="54" max="54" width="50" style="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16384" width="9.140625" style="2"/>
  </cols>
  <sheetData>
    <row r="1" spans="1:78" s="4" customFormat="1" ht="27" customHeight="1">
      <c r="A1" s="39" t="s">
        <v>0</v>
      </c>
      <c r="B1" s="39" t="s">
        <v>1</v>
      </c>
      <c r="C1" s="39" t="s">
        <v>2</v>
      </c>
      <c r="D1" s="39" t="s">
        <v>3</v>
      </c>
      <c r="E1" s="40"/>
      <c r="F1" s="4" t="s">
        <v>4</v>
      </c>
      <c r="G1" s="2558">
        <f>1*60*1000*SpeedFaktor</f>
        <v>60000</v>
      </c>
      <c r="H1" s="4">
        <v>10</v>
      </c>
      <c r="P1" s="4" t="s">
        <v>5</v>
      </c>
      <c r="Q1" s="158" t="s">
        <v>488</v>
      </c>
      <c r="R1" s="4" t="s">
        <v>489</v>
      </c>
      <c r="S1" s="43" t="s">
        <v>8</v>
      </c>
      <c r="T1" s="4" t="s">
        <v>282</v>
      </c>
      <c r="U1" s="43" t="s">
        <v>8</v>
      </c>
      <c r="V1" s="4" t="s">
        <v>324</v>
      </c>
      <c r="W1" s="43" t="s">
        <v>8</v>
      </c>
      <c r="X1" s="4" t="s">
        <v>10</v>
      </c>
      <c r="Y1" s="43" t="s">
        <v>8</v>
      </c>
      <c r="Z1" s="4" t="s">
        <v>11</v>
      </c>
      <c r="AA1" s="43" t="s">
        <v>8</v>
      </c>
      <c r="AB1" s="4" t="s">
        <v>12</v>
      </c>
      <c r="AC1" s="43" t="s">
        <v>8</v>
      </c>
      <c r="AD1" s="4" t="s">
        <v>13</v>
      </c>
      <c r="AE1" s="43" t="s">
        <v>8</v>
      </c>
      <c r="AF1" s="4" t="s">
        <v>17</v>
      </c>
      <c r="AG1" s="43" t="s">
        <v>8</v>
      </c>
      <c r="AH1" s="1391" t="s">
        <v>1303</v>
      </c>
      <c r="AI1" s="43" t="s">
        <v>8</v>
      </c>
      <c r="AJ1" s="1392" t="s">
        <v>1308</v>
      </c>
      <c r="AK1" s="43" t="s">
        <v>8</v>
      </c>
      <c r="AM1" s="1393" t="s">
        <v>1311</v>
      </c>
      <c r="AN1" s="1394" t="s">
        <v>572</v>
      </c>
      <c r="AO1" s="1395" t="s">
        <v>1318</v>
      </c>
      <c r="AP1" s="1396" t="s">
        <v>572</v>
      </c>
      <c r="AQ1" s="1397" t="s">
        <v>1322</v>
      </c>
      <c r="AR1" s="1398" t="s">
        <v>572</v>
      </c>
      <c r="AS1" s="1399" t="s">
        <v>1324</v>
      </c>
      <c r="AT1" s="1400" t="s">
        <v>572</v>
      </c>
      <c r="AU1" s="1401" t="s">
        <v>1341</v>
      </c>
      <c r="AV1" s="1402" t="s">
        <v>572</v>
      </c>
      <c r="AW1" s="1514" t="s">
        <v>1363</v>
      </c>
      <c r="AX1" s="1515" t="s">
        <v>572</v>
      </c>
      <c r="AY1" s="1660" t="s">
        <v>1368</v>
      </c>
      <c r="AZ1" s="1661" t="s">
        <v>572</v>
      </c>
      <c r="BA1" s="1801" t="s">
        <v>1371</v>
      </c>
      <c r="BB1" s="1802" t="s">
        <v>572</v>
      </c>
      <c r="BC1" s="1957" t="s">
        <v>1375</v>
      </c>
      <c r="BD1" s="1958" t="s">
        <v>572</v>
      </c>
      <c r="BE1" s="2061" t="s">
        <v>1397</v>
      </c>
      <c r="BF1" s="2062" t="s">
        <v>572</v>
      </c>
      <c r="BG1" s="2251" t="s">
        <v>1421</v>
      </c>
      <c r="BH1" s="2252" t="s">
        <v>572</v>
      </c>
      <c r="BI1" s="2416" t="s">
        <v>1430</v>
      </c>
      <c r="BJ1" s="2417" t="s">
        <v>572</v>
      </c>
      <c r="BK1" s="2579" t="s">
        <v>1442</v>
      </c>
      <c r="BL1" s="2580" t="s">
        <v>572</v>
      </c>
      <c r="BM1" s="2766" t="s">
        <v>1460</v>
      </c>
      <c r="BN1" s="2767" t="s">
        <v>572</v>
      </c>
      <c r="BO1" s="2942" t="s">
        <v>1472</v>
      </c>
      <c r="BP1" s="2943" t="s">
        <v>572</v>
      </c>
      <c r="BQ1" s="3132" t="s">
        <v>1492</v>
      </c>
      <c r="BR1" s="3133" t="s">
        <v>572</v>
      </c>
      <c r="BS1" s="3310" t="s">
        <v>1503</v>
      </c>
      <c r="BT1" s="3311" t="s">
        <v>572</v>
      </c>
      <c r="BU1" s="3486" t="s">
        <v>1519</v>
      </c>
      <c r="BV1" s="3487" t="s">
        <v>572</v>
      </c>
      <c r="BW1" s="3772" t="s">
        <v>1666</v>
      </c>
      <c r="BX1" s="3773" t="s">
        <v>572</v>
      </c>
      <c r="BY1" s="3997" t="s">
        <v>1717</v>
      </c>
      <c r="BZ1" s="3998" t="s">
        <v>572</v>
      </c>
    </row>
    <row r="2" spans="1:78" s="10" customFormat="1" ht="14.25" customHeight="1">
      <c r="A2" s="1">
        <v>1</v>
      </c>
      <c r="B2" s="2" t="s">
        <v>21</v>
      </c>
      <c r="C2" s="11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2">
        <v>1513</v>
      </c>
      <c r="R2" s="2">
        <v>1714</v>
      </c>
      <c r="S2" s="156">
        <f>R2/($Q2)</f>
        <v>1.132848645076008</v>
      </c>
      <c r="T2" s="2">
        <v>1726</v>
      </c>
      <c r="U2" s="156">
        <f>T2/($Q2)</f>
        <v>1.1407799074686054</v>
      </c>
      <c r="V2" s="2">
        <v>1751</v>
      </c>
      <c r="W2" s="156">
        <f>V2/($Q2)</f>
        <v>1.1573033707865168</v>
      </c>
      <c r="X2" s="2">
        <v>1786</v>
      </c>
      <c r="Y2" s="156">
        <f>X2/($Q2)</f>
        <v>1.1804362194315929</v>
      </c>
      <c r="Z2" s="2">
        <v>1195</v>
      </c>
      <c r="AA2" s="156">
        <f>Z2/($Q2)</f>
        <v>0.78982154659616655</v>
      </c>
      <c r="AB2" s="2">
        <v>1314</v>
      </c>
      <c r="AC2" s="156">
        <f>AB2/($Q2)</f>
        <v>0.86847323198942494</v>
      </c>
      <c r="AD2" s="2">
        <v>1432</v>
      </c>
      <c r="AE2" s="156">
        <f>AD2/($Q2)</f>
        <v>0.94646397884996691</v>
      </c>
      <c r="AF2" s="2">
        <v>1173</v>
      </c>
      <c r="AG2" s="156">
        <f>AF2/($Q2)</f>
        <v>0.7752808988764045</v>
      </c>
      <c r="AH2" s="10">
        <v>1252</v>
      </c>
      <c r="AI2" s="156">
        <f>AH2/($Q2)</f>
        <v>0.82749504296100462</v>
      </c>
      <c r="AJ2" s="10">
        <v>1295</v>
      </c>
      <c r="AK2" s="156">
        <f>AJ2/($Q2)</f>
        <v>0.85591539986781229</v>
      </c>
      <c r="AM2" s="10">
        <v>1187</v>
      </c>
      <c r="AO2" s="10">
        <v>1264</v>
      </c>
      <c r="AQ2" s="10">
        <v>1308</v>
      </c>
      <c r="AS2" s="10">
        <v>1234</v>
      </c>
      <c r="AU2" s="10">
        <v>1178</v>
      </c>
      <c r="AW2" s="10">
        <v>1179</v>
      </c>
      <c r="AY2" s="10">
        <v>1134</v>
      </c>
      <c r="BA2" s="10">
        <v>1233</v>
      </c>
      <c r="BC2" s="10">
        <v>1669</v>
      </c>
      <c r="BE2" s="10">
        <v>1614</v>
      </c>
      <c r="BG2" s="10">
        <v>1903</v>
      </c>
      <c r="BI2" s="10">
        <v>1792</v>
      </c>
      <c r="BK2" s="10">
        <v>1176</v>
      </c>
      <c r="BM2" s="10">
        <v>1124</v>
      </c>
      <c r="BO2" s="10">
        <v>1743</v>
      </c>
      <c r="BQ2" s="10">
        <v>1514</v>
      </c>
      <c r="BS2" s="10">
        <v>1348</v>
      </c>
      <c r="BU2" s="10">
        <v>1236</v>
      </c>
      <c r="BW2" s="10">
        <v>868</v>
      </c>
      <c r="BY2" s="10">
        <v>1158</v>
      </c>
      <c r="BZ2" s="10" t="s">
        <v>1718</v>
      </c>
    </row>
    <row r="3" spans="1:78" s="10" customFormat="1" ht="15.75" customHeight="1" thickBot="1">
      <c r="A3" s="49">
        <v>2</v>
      </c>
      <c r="B3" s="13" t="s">
        <v>25</v>
      </c>
      <c r="C3" s="38" t="str">
        <f>E3</f>
        <v>{"username":"bern.sozialarbeiterin1a@diartis.ch","password":"SMze97-jkSJ59!F.","fullname":"Sozialarbeiterin 1A Bern","team":"Sozialarbeit Bern 1"}</v>
      </c>
      <c r="D3" s="13"/>
      <c r="E3" s="45" t="str">
        <f>F3&amp;G3&amp;H3&amp;I3&amp;J3&amp;K3&amp;L3&amp;M3&amp;N3&amp;O3</f>
        <v>{"username":"bern.sozialarbeiterin1a@diartis.ch","password":"SMze97-jkSJ59!F.","fullname":"Sozialarbeiterin 1A Bern","team":"Sozialarbeit Bern 1"}</v>
      </c>
      <c r="F3" s="152" t="s">
        <v>29</v>
      </c>
      <c r="G3" s="13" t="s">
        <v>71</v>
      </c>
      <c r="H3" s="152" t="s">
        <v>31</v>
      </c>
      <c r="I3" s="13" t="s">
        <v>72</v>
      </c>
      <c r="J3" s="152" t="s">
        <v>73</v>
      </c>
      <c r="K3" s="13" t="s">
        <v>74</v>
      </c>
      <c r="L3" s="152" t="s">
        <v>75</v>
      </c>
      <c r="M3" s="13" t="s">
        <v>76</v>
      </c>
      <c r="N3" s="152" t="s">
        <v>37</v>
      </c>
      <c r="O3" s="13"/>
      <c r="P3" s="13"/>
      <c r="Q3" s="42">
        <v>9668</v>
      </c>
      <c r="R3" s="13">
        <v>8829</v>
      </c>
      <c r="S3" s="156">
        <f t="shared" ref="S3:U3" si="0">R3/($Q3)</f>
        <v>0.91321886636326022</v>
      </c>
      <c r="T3" s="13">
        <v>8941</v>
      </c>
      <c r="U3" s="156">
        <f t="shared" si="0"/>
        <v>0.9248034753827058</v>
      </c>
      <c r="V3" s="13">
        <v>8748</v>
      </c>
      <c r="W3" s="156">
        <f t="shared" ref="W3:AK4" si="1">V3/($Q3)</f>
        <v>0.90484071162598267</v>
      </c>
      <c r="X3" s="13">
        <v>11077</v>
      </c>
      <c r="Y3" s="156">
        <f t="shared" si="1"/>
        <v>1.1457385188249896</v>
      </c>
      <c r="Z3" s="13">
        <v>9672</v>
      </c>
      <c r="AA3" s="156">
        <f t="shared" si="1"/>
        <v>1.0004137360364087</v>
      </c>
      <c r="AB3" s="13">
        <v>9205</v>
      </c>
      <c r="AC3" s="156">
        <f t="shared" si="1"/>
        <v>0.9521100537856847</v>
      </c>
      <c r="AD3" s="13">
        <v>9365</v>
      </c>
      <c r="AE3" s="156">
        <f t="shared" si="1"/>
        <v>0.96865949524203554</v>
      </c>
      <c r="AF3" s="2">
        <v>7511</v>
      </c>
      <c r="AG3" s="156">
        <f t="shared" si="1"/>
        <v>0.77689284236657008</v>
      </c>
      <c r="AH3" s="10">
        <v>9363</v>
      </c>
      <c r="AI3" s="156">
        <f t="shared" si="1"/>
        <v>0.96845262722383119</v>
      </c>
      <c r="AJ3" s="10">
        <v>8060</v>
      </c>
      <c r="AK3" s="156">
        <f t="shared" si="1"/>
        <v>0.83367811336367392</v>
      </c>
      <c r="AM3" s="10">
        <v>9461</v>
      </c>
      <c r="AO3" s="10">
        <v>7735</v>
      </c>
      <c r="AQ3" s="10">
        <v>7492</v>
      </c>
      <c r="AS3" s="10">
        <v>7146</v>
      </c>
      <c r="AU3" s="10">
        <v>6665</v>
      </c>
      <c r="AW3" s="10">
        <v>6837</v>
      </c>
      <c r="AY3" s="10">
        <v>6927</v>
      </c>
      <c r="BA3" s="10">
        <v>7207</v>
      </c>
      <c r="BC3" s="10">
        <v>7582</v>
      </c>
      <c r="BE3" s="10">
        <v>6592</v>
      </c>
      <c r="BG3" s="10">
        <v>6913</v>
      </c>
      <c r="BI3" s="10">
        <v>6418</v>
      </c>
      <c r="BK3" s="10">
        <v>6714</v>
      </c>
      <c r="BM3" s="10">
        <v>8942</v>
      </c>
      <c r="BO3" s="10">
        <v>9834</v>
      </c>
      <c r="BQ3" s="10">
        <v>8897</v>
      </c>
      <c r="BS3" s="10">
        <v>9552</v>
      </c>
      <c r="BU3" s="10">
        <v>9056</v>
      </c>
      <c r="BW3" s="10">
        <v>7767</v>
      </c>
      <c r="BY3" s="10">
        <v>8179</v>
      </c>
      <c r="BZ3" s="10" t="s">
        <v>1718</v>
      </c>
    </row>
    <row r="4" spans="1:78" s="10" customFormat="1" ht="99.95" customHeight="1" thickBot="1">
      <c r="A4" s="231">
        <v>3</v>
      </c>
      <c r="B4" s="240" t="s">
        <v>566</v>
      </c>
      <c r="C4" s="187" t="str">
        <f>E4</f>
        <v>{"dossier":p.DossierName2,"ausgewaehltePosSum":"3’059.90","saldoVorschau":"-3’059.90","clickAuswahlFreigeben":""} </v>
      </c>
      <c r="D4" s="187" t="s">
        <v>263</v>
      </c>
      <c r="E4" s="45" t="str">
        <f>F4&amp;G4&amp;H4&amp;I4&amp;J4&amp;K4&amp;L4&amp;M4&amp;N4&amp;O4</f>
        <v>{"dossier":p.DossierName2,"ausgewaehltePosSum":"3’059.90","saldoVorschau":"-3’059.90","clickAuswahlFreigeben":""} </v>
      </c>
      <c r="F4" s="240" t="s">
        <v>159</v>
      </c>
      <c r="G4" s="187" t="s">
        <v>513</v>
      </c>
      <c r="H4" s="240" t="s">
        <v>567</v>
      </c>
      <c r="I4" s="542" t="s">
        <v>1563</v>
      </c>
      <c r="J4" s="187" t="s">
        <v>1564</v>
      </c>
      <c r="K4" s="163" t="s">
        <v>1566</v>
      </c>
      <c r="L4" s="187" t="s">
        <v>1565</v>
      </c>
      <c r="M4" s="231"/>
      <c r="N4" s="187" t="s">
        <v>568</v>
      </c>
      <c r="O4" s="231"/>
      <c r="P4" s="231"/>
      <c r="Q4" s="150">
        <v>12221</v>
      </c>
      <c r="R4" s="231">
        <v>12717</v>
      </c>
      <c r="S4" s="156">
        <f t="shared" ref="S4:U4" si="2">R4/($Q4)</f>
        <v>1.0405858767694951</v>
      </c>
      <c r="T4" s="231">
        <v>0</v>
      </c>
      <c r="U4" s="156">
        <f t="shared" si="2"/>
        <v>0</v>
      </c>
      <c r="V4" s="231">
        <v>12479</v>
      </c>
      <c r="W4" s="156">
        <f t="shared" si="1"/>
        <v>1.0211112020292938</v>
      </c>
      <c r="X4" s="231">
        <v>13329</v>
      </c>
      <c r="Y4" s="156">
        <f t="shared" si="1"/>
        <v>1.0906636118157271</v>
      </c>
      <c r="Z4" s="231">
        <v>13340</v>
      </c>
      <c r="AA4" s="156">
        <f t="shared" si="1"/>
        <v>1.0915637018247279</v>
      </c>
      <c r="AB4" s="231">
        <v>12602</v>
      </c>
      <c r="AC4" s="156">
        <f t="shared" si="1"/>
        <v>1.031175844857213</v>
      </c>
      <c r="AD4" s="231">
        <v>12224</v>
      </c>
      <c r="AE4" s="156">
        <f t="shared" si="1"/>
        <v>1.0002454790933639</v>
      </c>
      <c r="AF4" s="3">
        <v>0</v>
      </c>
      <c r="AG4" s="156">
        <f t="shared" si="1"/>
        <v>0</v>
      </c>
      <c r="AH4" s="10">
        <v>8707</v>
      </c>
      <c r="AI4" s="156">
        <f t="shared" si="1"/>
        <v>0.71246215530643975</v>
      </c>
      <c r="AJ4" s="10">
        <v>9149</v>
      </c>
      <c r="AK4" s="156">
        <f t="shared" si="1"/>
        <v>0.74862940839538494</v>
      </c>
      <c r="AM4" s="10">
        <v>8197</v>
      </c>
      <c r="AO4" s="10">
        <v>10726</v>
      </c>
      <c r="AQ4" s="10">
        <v>8822</v>
      </c>
      <c r="AS4" s="10">
        <v>8200</v>
      </c>
      <c r="AU4" s="10">
        <v>7927</v>
      </c>
      <c r="AW4" s="10">
        <v>6000</v>
      </c>
      <c r="AY4" s="10">
        <v>6927</v>
      </c>
      <c r="BA4" s="10">
        <v>5095</v>
      </c>
      <c r="BC4" s="1959">
        <v>0</v>
      </c>
      <c r="BD4" s="1960" t="s">
        <v>1382</v>
      </c>
      <c r="BE4" s="10">
        <v>6580</v>
      </c>
      <c r="BG4" s="10">
        <v>7731</v>
      </c>
      <c r="BI4" s="10">
        <v>7842</v>
      </c>
      <c r="BK4" s="10">
        <v>11070</v>
      </c>
      <c r="BM4" s="10">
        <v>8497</v>
      </c>
      <c r="BO4" s="10">
        <v>10141</v>
      </c>
      <c r="BQ4" s="3134">
        <v>0</v>
      </c>
      <c r="BR4" s="3135" t="s">
        <v>1527</v>
      </c>
      <c r="BS4" s="3312">
        <v>0</v>
      </c>
      <c r="BT4" s="3313" t="s">
        <v>1527</v>
      </c>
      <c r="BU4" s="3488">
        <v>0</v>
      </c>
      <c r="BV4" s="3489" t="s">
        <v>1527</v>
      </c>
      <c r="BW4" s="3774">
        <v>0</v>
      </c>
      <c r="BX4" s="3775" t="s">
        <v>1673</v>
      </c>
      <c r="BY4" s="3999">
        <v>0</v>
      </c>
      <c r="BZ4" s="4000" t="s">
        <v>1725</v>
      </c>
    </row>
    <row r="5" spans="1:78">
      <c r="BK5" s="2">
        <f>SUM(BK2:BK4)</f>
        <v>18960</v>
      </c>
    </row>
    <row r="6" spans="1:78" ht="14.25" customHeight="1">
      <c r="C6" s="251" t="s">
        <v>569</v>
      </c>
    </row>
    <row r="7" spans="1:78" ht="14.25" customHeight="1">
      <c r="C7" s="251" t="s">
        <v>570</v>
      </c>
      <c r="E7" s="3" t="s">
        <v>1551</v>
      </c>
    </row>
    <row r="8" spans="1:78" ht="14.25" customHeight="1">
      <c r="C8" s="251" t="s">
        <v>571</v>
      </c>
    </row>
  </sheetData>
  <conditionalFormatting sqref="S2:S147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U2:U147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W2:W147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Y2:Y147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A2:AA147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C2:AC147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E2:AE147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G2:AG147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I2:AI147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2:AK147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DK21"/>
  <sheetViews>
    <sheetView zoomScale="85" zoomScaleNormal="85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C11" sqref="C11"/>
    </sheetView>
  </sheetViews>
  <sheetFormatPr defaultColWidth="9.140625" defaultRowHeight="14.25" customHeight="1"/>
  <cols>
    <col min="1" max="1" width="4.85546875" style="1" customWidth="1"/>
    <col min="2" max="2" width="33.140625" style="2" customWidth="1"/>
    <col min="3" max="3" width="170.570312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9" width="36.7109375" style="2" customWidth="1"/>
    <col min="10" max="10" width="10.140625" style="2" customWidth="1"/>
    <col min="11" max="11" width="36.5703125" style="2" customWidth="1"/>
    <col min="12" max="12" width="9.140625" style="2" customWidth="1"/>
    <col min="13" max="13" width="20.7109375" style="2" customWidth="1"/>
    <col min="14" max="14" width="40.28515625" style="2" customWidth="1"/>
    <col min="15" max="15" width="48.28515625" style="2" customWidth="1"/>
    <col min="16" max="16" width="13.5703125" style="2" customWidth="1"/>
    <col min="17" max="17" width="24.5703125" style="2" customWidth="1"/>
    <col min="18" max="18" width="9.140625" style="2" customWidth="1"/>
    <col min="19" max="20" width="9.85546875" style="2" customWidth="1"/>
    <col min="21" max="21" width="9.85546875" style="12" customWidth="1"/>
    <col min="22" max="22" width="9.85546875" style="2" customWidth="1"/>
    <col min="23" max="23" width="9.85546875" style="12" customWidth="1"/>
    <col min="24" max="24" width="9.85546875" style="2" customWidth="1"/>
    <col min="25" max="25" width="9.85546875" style="12" customWidth="1"/>
    <col min="26" max="26" width="10.140625" style="2" customWidth="1"/>
    <col min="27" max="27" width="9.85546875" style="12" customWidth="1"/>
    <col min="28" max="28" width="12" style="2" customWidth="1"/>
    <col min="29" max="29" width="9.85546875" style="12" customWidth="1"/>
    <col min="30" max="30" width="11.5703125" style="2" customWidth="1"/>
    <col min="31" max="31" width="9.85546875" style="12" customWidth="1"/>
    <col min="32" max="32" width="30" style="2" customWidth="1"/>
    <col min="33" max="33" width="9.85546875" style="12" customWidth="1"/>
    <col min="34" max="34" width="30" style="2" customWidth="1"/>
    <col min="35" max="35" width="50" style="2" customWidth="1"/>
    <col min="36" max="36" width="30" style="2" customWidth="1"/>
    <col min="37" max="37" width="50" style="2" customWidth="1"/>
    <col min="38" max="38" width="9.140625" style="2" customWidth="1"/>
    <col min="39" max="39" width="20" style="2" customWidth="1"/>
    <col min="40" max="40" width="50" style="2" customWidth="1"/>
    <col min="41" max="41" width="20" style="2" customWidth="1"/>
    <col min="42" max="42" width="50" style="2" customWidth="1"/>
    <col min="43" max="43" width="20" style="2" customWidth="1"/>
    <col min="44" max="44" width="50" style="2" customWidth="1"/>
    <col min="45" max="45" width="20" style="2" customWidth="1"/>
    <col min="46" max="46" width="50" style="2" customWidth="1"/>
    <col min="47" max="47" width="20" style="2" customWidth="1"/>
    <col min="48" max="48" width="50" style="2" customWidth="1"/>
    <col min="49" max="49" width="20" style="2" customWidth="1"/>
    <col min="50" max="50" width="50" style="2" customWidth="1"/>
    <col min="51" max="51" width="20" style="2" customWidth="1"/>
    <col min="52" max="52" width="50" style="2" customWidth="1"/>
    <col min="53" max="53" width="20" style="2" customWidth="1"/>
    <col min="54" max="54" width="50" style="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16384" width="9.140625" style="2"/>
  </cols>
  <sheetData>
    <row r="1" spans="1:115" s="4" customFormat="1" ht="27" customHeight="1">
      <c r="A1" s="39" t="s">
        <v>0</v>
      </c>
      <c r="B1" s="39" t="s">
        <v>1</v>
      </c>
      <c r="C1" s="39" t="s">
        <v>2</v>
      </c>
      <c r="D1" s="39" t="s">
        <v>3</v>
      </c>
      <c r="E1" s="40"/>
      <c r="F1" s="4" t="s">
        <v>4</v>
      </c>
      <c r="G1" s="2558">
        <f>4*60*1000*SpeedFaktor</f>
        <v>240000</v>
      </c>
      <c r="H1" s="4">
        <v>10</v>
      </c>
      <c r="R1" s="12" t="s">
        <v>5</v>
      </c>
      <c r="S1" s="4" t="s">
        <v>324</v>
      </c>
      <c r="T1" s="4" t="s">
        <v>10</v>
      </c>
      <c r="U1" s="43" t="s">
        <v>8</v>
      </c>
      <c r="V1" s="4" t="s">
        <v>11</v>
      </c>
      <c r="W1" s="43" t="s">
        <v>8</v>
      </c>
      <c r="X1" s="4" t="s">
        <v>12</v>
      </c>
      <c r="Y1" s="43" t="s">
        <v>8</v>
      </c>
      <c r="Z1" s="4" t="s">
        <v>13</v>
      </c>
      <c r="AA1" s="43" t="s">
        <v>8</v>
      </c>
      <c r="AB1" s="4" t="s">
        <v>65</v>
      </c>
      <c r="AC1" s="43" t="s">
        <v>8</v>
      </c>
      <c r="AD1" s="4" t="s">
        <v>15</v>
      </c>
      <c r="AE1" s="43" t="s">
        <v>8</v>
      </c>
      <c r="AF1" s="4" t="s">
        <v>17</v>
      </c>
      <c r="AG1" s="43" t="s">
        <v>8</v>
      </c>
      <c r="AH1" s="4" t="s">
        <v>1285</v>
      </c>
      <c r="AI1" s="4" t="s">
        <v>19</v>
      </c>
      <c r="AJ1" s="4" t="s">
        <v>1286</v>
      </c>
      <c r="AK1" s="4" t="s">
        <v>20</v>
      </c>
      <c r="AM1" s="1403" t="s">
        <v>1311</v>
      </c>
      <c r="AN1" s="1404" t="s">
        <v>572</v>
      </c>
      <c r="AO1" s="1405" t="s">
        <v>1318</v>
      </c>
      <c r="AP1" s="1406" t="s">
        <v>572</v>
      </c>
      <c r="AQ1" s="1407" t="s">
        <v>1322</v>
      </c>
      <c r="AR1" s="1408" t="s">
        <v>572</v>
      </c>
      <c r="AS1" s="1409" t="s">
        <v>1324</v>
      </c>
      <c r="AT1" s="1410" t="s">
        <v>572</v>
      </c>
      <c r="AU1" s="1411" t="s">
        <v>1341</v>
      </c>
      <c r="AV1" s="1412" t="s">
        <v>572</v>
      </c>
      <c r="AW1" s="1516" t="s">
        <v>1363</v>
      </c>
      <c r="AX1" s="1517" t="s">
        <v>572</v>
      </c>
      <c r="AY1" s="1662" t="s">
        <v>1368</v>
      </c>
      <c r="AZ1" s="1663" t="s">
        <v>572</v>
      </c>
      <c r="BA1" s="1803" t="s">
        <v>1371</v>
      </c>
      <c r="BB1" s="1804" t="s">
        <v>572</v>
      </c>
      <c r="BC1" s="1961" t="s">
        <v>1375</v>
      </c>
      <c r="BD1" s="1962" t="s">
        <v>572</v>
      </c>
      <c r="BE1" s="2063" t="s">
        <v>1397</v>
      </c>
      <c r="BF1" s="2064" t="s">
        <v>572</v>
      </c>
      <c r="BG1" s="2253" t="s">
        <v>1421</v>
      </c>
      <c r="BH1" s="2254" t="s">
        <v>572</v>
      </c>
      <c r="BI1" s="2418" t="s">
        <v>1430</v>
      </c>
      <c r="BJ1" s="2419" t="s">
        <v>572</v>
      </c>
      <c r="BK1" s="2581" t="s">
        <v>1442</v>
      </c>
      <c r="BL1" s="2582" t="s">
        <v>572</v>
      </c>
      <c r="BM1" s="2768" t="s">
        <v>1460</v>
      </c>
      <c r="BN1" s="2769" t="s">
        <v>572</v>
      </c>
      <c r="BO1" s="2944" t="s">
        <v>1472</v>
      </c>
      <c r="BP1" s="2945" t="s">
        <v>572</v>
      </c>
      <c r="BQ1" s="3136" t="s">
        <v>1492</v>
      </c>
      <c r="BR1" s="3137" t="s">
        <v>572</v>
      </c>
      <c r="BS1" s="3314" t="s">
        <v>1503</v>
      </c>
      <c r="BT1" s="3315" t="s">
        <v>572</v>
      </c>
      <c r="BU1" s="3490" t="s">
        <v>1519</v>
      </c>
      <c r="BV1" s="3491" t="s">
        <v>572</v>
      </c>
      <c r="BW1" s="3776" t="s">
        <v>1666</v>
      </c>
      <c r="BX1" s="3777" t="s">
        <v>572</v>
      </c>
      <c r="BY1" s="4001" t="s">
        <v>1717</v>
      </c>
      <c r="BZ1" s="4002" t="s">
        <v>572</v>
      </c>
    </row>
    <row r="2" spans="1:115" s="10" customFormat="1" ht="14.25" customHeight="1">
      <c r="A2" s="678">
        <v>1</v>
      </c>
      <c r="B2" s="122" t="s">
        <v>21</v>
      </c>
      <c r="C2" s="120" t="s">
        <v>231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>
        <v>1482</v>
      </c>
      <c r="T2" s="2">
        <v>1983</v>
      </c>
      <c r="U2" s="156">
        <f>T2/($S2)</f>
        <v>1.3380566801619433</v>
      </c>
      <c r="V2" s="2">
        <v>1651</v>
      </c>
      <c r="W2" s="156">
        <f>V2/($S2)</f>
        <v>1.1140350877192982</v>
      </c>
      <c r="X2" s="2">
        <v>1313</v>
      </c>
      <c r="Y2" s="156">
        <f>X2/($S2)</f>
        <v>0.88596491228070173</v>
      </c>
      <c r="Z2" s="2">
        <v>1272</v>
      </c>
      <c r="AA2" s="156">
        <f>Z2/($S2)</f>
        <v>0.8582995951417004</v>
      </c>
      <c r="AB2" s="2">
        <v>2054</v>
      </c>
      <c r="AC2" s="156">
        <f>AB2/($S2)</f>
        <v>1.3859649122807018</v>
      </c>
      <c r="AD2" s="2">
        <v>1306</v>
      </c>
      <c r="AE2" s="156">
        <f>AD2/($S2)</f>
        <v>0.88124156545209176</v>
      </c>
      <c r="AF2" s="2">
        <v>1183</v>
      </c>
      <c r="AG2" s="156">
        <f>AF2/($S2)</f>
        <v>0.79824561403508776</v>
      </c>
      <c r="AH2" s="2">
        <v>1455</v>
      </c>
      <c r="AI2" s="2"/>
      <c r="AJ2" s="2">
        <v>591</v>
      </c>
      <c r="AK2" s="2"/>
      <c r="AM2" s="10">
        <v>1354</v>
      </c>
      <c r="AO2" s="10">
        <v>1416</v>
      </c>
      <c r="AQ2" s="10">
        <v>1260</v>
      </c>
      <c r="AS2" s="10">
        <v>1230</v>
      </c>
      <c r="AU2" s="10">
        <v>1177</v>
      </c>
      <c r="AW2" s="10">
        <v>1226</v>
      </c>
      <c r="AY2" s="10">
        <v>1203</v>
      </c>
      <c r="BA2" s="10">
        <v>1135</v>
      </c>
      <c r="BC2" s="10">
        <v>1736</v>
      </c>
      <c r="BE2" s="10">
        <v>1483</v>
      </c>
      <c r="BG2" s="10">
        <v>1670</v>
      </c>
      <c r="BI2" s="10">
        <v>1677</v>
      </c>
      <c r="BK2" s="10">
        <v>1175</v>
      </c>
      <c r="BM2" s="10">
        <v>1122</v>
      </c>
      <c r="BO2" s="10">
        <v>1493</v>
      </c>
      <c r="BQ2" s="10">
        <v>1169</v>
      </c>
      <c r="BS2" s="10">
        <v>1180</v>
      </c>
      <c r="BU2" s="10">
        <v>1231</v>
      </c>
      <c r="BW2" s="10">
        <v>856</v>
      </c>
      <c r="BY2" s="10">
        <v>922</v>
      </c>
      <c r="BZ2" s="10" t="s">
        <v>1718</v>
      </c>
    </row>
    <row r="3" spans="1:115" s="10" customFormat="1" ht="15.75" customHeight="1">
      <c r="A3" s="119">
        <v>2</v>
      </c>
      <c r="B3" s="122" t="s">
        <v>25</v>
      </c>
      <c r="C3" s="121" t="str">
        <f>E3</f>
        <v>{"username":"bern.sozialarbeiterin1a@diartis.ch","password":"SMze97-jkSJ59!F.","fullname":"Sozialarbeiterin 1A Bern","team":"Sozialarbeit Bern 1"}</v>
      </c>
      <c r="D3" s="13"/>
      <c r="E3" s="45" t="str">
        <f>F3&amp;G3&amp;H3&amp;I3&amp;J3&amp;K3&amp;L3&amp;M3&amp;N3&amp;O3&amp;P3&amp;Q3</f>
        <v>{"username":"bern.sozialarbeiterin1a@diartis.ch","password":"SMze97-jkSJ59!F.","fullname":"Sozialarbeiterin 1A Bern","team":"Sozialarbeit Bern 1"}</v>
      </c>
      <c r="F3" s="152" t="s">
        <v>29</v>
      </c>
      <c r="G3" s="13" t="s">
        <v>71</v>
      </c>
      <c r="H3" s="152" t="s">
        <v>31</v>
      </c>
      <c r="I3" s="13" t="s">
        <v>72</v>
      </c>
      <c r="J3" s="152" t="s">
        <v>73</v>
      </c>
      <c r="K3" s="13" t="s">
        <v>74</v>
      </c>
      <c r="L3" s="152" t="s">
        <v>75</v>
      </c>
      <c r="M3" s="13" t="s">
        <v>76</v>
      </c>
      <c r="N3" s="152" t="s">
        <v>37</v>
      </c>
      <c r="O3" s="13"/>
      <c r="P3" s="152"/>
      <c r="Q3" s="13"/>
      <c r="R3" s="13"/>
      <c r="S3" s="13">
        <v>9446</v>
      </c>
      <c r="T3" s="13">
        <v>11658</v>
      </c>
      <c r="U3" s="156">
        <f t="shared" ref="U3:AG11" si="0">T3/($S3)</f>
        <v>1.234173195003176</v>
      </c>
      <c r="V3" s="13">
        <v>9987</v>
      </c>
      <c r="W3" s="156">
        <f t="shared" si="0"/>
        <v>1.0572729197543933</v>
      </c>
      <c r="X3" s="13">
        <v>8577</v>
      </c>
      <c r="Y3" s="156">
        <f t="shared" si="0"/>
        <v>0.90800338767732369</v>
      </c>
      <c r="Z3" s="13">
        <v>9218</v>
      </c>
      <c r="AA3" s="156">
        <f t="shared" si="0"/>
        <v>0.97586279906838869</v>
      </c>
      <c r="AB3" s="13">
        <v>10824</v>
      </c>
      <c r="AC3" s="156">
        <f t="shared" si="0"/>
        <v>1.1458818547533347</v>
      </c>
      <c r="AD3" s="2">
        <v>8910</v>
      </c>
      <c r="AE3" s="156">
        <f t="shared" si="0"/>
        <v>0.94325640482744022</v>
      </c>
      <c r="AF3" s="2">
        <v>7474</v>
      </c>
      <c r="AG3" s="156">
        <f t="shared" si="0"/>
        <v>0.79123438492483589</v>
      </c>
      <c r="AH3" s="2">
        <v>8150</v>
      </c>
      <c r="AI3" s="2"/>
      <c r="AJ3" s="2">
        <v>5014</v>
      </c>
      <c r="AK3" s="2"/>
      <c r="AM3" s="10">
        <v>7676</v>
      </c>
      <c r="AO3" s="10">
        <v>7415</v>
      </c>
      <c r="AQ3" s="10">
        <v>7488</v>
      </c>
      <c r="AS3" s="10">
        <v>7284</v>
      </c>
      <c r="AU3" s="10">
        <v>6769</v>
      </c>
      <c r="AW3" s="10">
        <v>6967</v>
      </c>
      <c r="AY3" s="10">
        <v>7620</v>
      </c>
      <c r="BA3" s="10">
        <v>7294</v>
      </c>
      <c r="BC3" s="10">
        <v>7841</v>
      </c>
      <c r="BE3" s="10">
        <v>6501</v>
      </c>
      <c r="BG3" s="10">
        <v>8044</v>
      </c>
      <c r="BI3" s="10">
        <v>7043</v>
      </c>
      <c r="BK3" s="10">
        <v>6934</v>
      </c>
      <c r="BM3" s="10">
        <v>8694</v>
      </c>
      <c r="BO3" s="10">
        <v>8043</v>
      </c>
      <c r="BQ3" s="10">
        <v>9364</v>
      </c>
      <c r="BS3" s="10">
        <v>9304</v>
      </c>
      <c r="BU3" s="10">
        <v>8803</v>
      </c>
      <c r="BW3" s="10">
        <v>8201</v>
      </c>
      <c r="BY3" s="10">
        <v>8319</v>
      </c>
      <c r="BZ3" s="10" t="s">
        <v>1718</v>
      </c>
    </row>
    <row r="4" spans="1:115" s="10" customFormat="1" ht="20.25" customHeight="1" thickBot="1">
      <c r="A4" s="1209"/>
      <c r="B4" s="1212" t="s">
        <v>139</v>
      </c>
      <c r="C4" s="1213" t="str">
        <f>E4</f>
        <v>{"searchDossierOrKlient":p.DossierName1,"resultType":"Dossiers"}</v>
      </c>
      <c r="D4" s="122"/>
      <c r="E4" s="121" t="str">
        <f>F4&amp;G4&amp;H4&amp;I4&amp;J4&amp;K4&amp;L4&amp;M4&amp;N4&amp;O4&amp;P4&amp;Q4&amp;R4&amp;S4&amp;T4&amp;U4&amp;V4&amp;W4&amp;X4</f>
        <v>{"searchDossierOrKlient":p.DossierName1,"resultType":"Dossiers"}</v>
      </c>
      <c r="F4" s="609" t="s">
        <v>140</v>
      </c>
      <c r="G4" s="611" t="str">
        <f>G6</f>
        <v>p.DossierName1</v>
      </c>
      <c r="H4" s="609" t="s">
        <v>141</v>
      </c>
      <c r="I4" s="611" t="s">
        <v>142</v>
      </c>
      <c r="J4" s="609" t="s">
        <v>37</v>
      </c>
      <c r="K4" s="611"/>
      <c r="L4" s="609"/>
      <c r="M4" s="611"/>
      <c r="N4" s="609"/>
      <c r="O4" s="611"/>
      <c r="P4" s="609"/>
      <c r="Q4" s="611"/>
      <c r="R4" s="609"/>
      <c r="S4" s="611"/>
      <c r="T4" s="609"/>
      <c r="U4" s="611"/>
      <c r="V4" s="609"/>
      <c r="W4" s="611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169">
        <v>10637</v>
      </c>
      <c r="AJ4" s="162">
        <v>10857</v>
      </c>
      <c r="AK4" s="156">
        <f t="shared" ref="AK4:AM4" si="1">AJ4/($AI4)</f>
        <v>1.0206825232678387</v>
      </c>
      <c r="AL4" s="162">
        <v>11582</v>
      </c>
      <c r="AM4" s="156">
        <f t="shared" si="1"/>
        <v>1.088840838582307</v>
      </c>
      <c r="AN4" s="162">
        <v>11107</v>
      </c>
      <c r="AO4" s="156">
        <f t="shared" ref="AO4:AW4" si="2">AN4/($AI4)</f>
        <v>1.0441853906176553</v>
      </c>
      <c r="AP4" s="162">
        <v>10818</v>
      </c>
      <c r="AQ4" s="156">
        <f t="shared" si="2"/>
        <v>1.0170160759612672</v>
      </c>
      <c r="AR4" s="162">
        <v>11086</v>
      </c>
      <c r="AS4" s="156">
        <f t="shared" si="2"/>
        <v>1.0422111497602708</v>
      </c>
      <c r="AT4" s="162">
        <v>11069</v>
      </c>
      <c r="AU4" s="156">
        <f t="shared" si="2"/>
        <v>1.0406129547804832</v>
      </c>
      <c r="AV4" s="162">
        <v>10674</v>
      </c>
      <c r="AW4" s="156">
        <f t="shared" si="2"/>
        <v>1.0034784243677728</v>
      </c>
      <c r="AX4" s="162">
        <v>2476</v>
      </c>
      <c r="AY4" s="156">
        <f t="shared" ref="AY4" si="3">AX4/($AI4)</f>
        <v>0.23277239823258439</v>
      </c>
      <c r="AZ4" s="3">
        <v>2438</v>
      </c>
      <c r="BA4" s="156">
        <f t="shared" ref="BA4:BK4" si="4">AZ4/($AI4)</f>
        <v>0.22919996239541224</v>
      </c>
      <c r="BB4" s="2">
        <v>0</v>
      </c>
      <c r="BC4" s="156">
        <f t="shared" si="4"/>
        <v>0</v>
      </c>
      <c r="BD4" s="2">
        <v>2621</v>
      </c>
      <c r="BE4" s="156">
        <f t="shared" si="4"/>
        <v>0.24640406129547804</v>
      </c>
      <c r="BF4" s="2">
        <v>5694</v>
      </c>
      <c r="BG4" s="156">
        <f t="shared" si="4"/>
        <v>0.53530130675942467</v>
      </c>
      <c r="BH4" s="2">
        <v>7028</v>
      </c>
      <c r="BI4" s="156">
        <f t="shared" si="4"/>
        <v>0.66071260693804645</v>
      </c>
      <c r="BJ4" s="2">
        <v>6521</v>
      </c>
      <c r="BK4" s="156">
        <f t="shared" si="4"/>
        <v>0.61304879195261819</v>
      </c>
      <c r="BM4" s="10">
        <v>5963</v>
      </c>
      <c r="BN4" s="156">
        <f t="shared" ref="BN4" si="5">BM4/($AI4)</f>
        <v>0.56059039202782734</v>
      </c>
      <c r="BO4" s="10">
        <v>6705</v>
      </c>
      <c r="BP4" s="156">
        <f t="shared" ref="BP4:BX4" si="6">BO4/($AI4)</f>
        <v>0.63034690232208335</v>
      </c>
      <c r="BQ4" s="10">
        <v>6252</v>
      </c>
      <c r="BR4" s="156">
        <f t="shared" si="6"/>
        <v>0.58775970668421551</v>
      </c>
      <c r="BS4" s="10">
        <v>6235</v>
      </c>
      <c r="BT4" s="156">
        <f t="shared" si="6"/>
        <v>0.58616151170442798</v>
      </c>
      <c r="BU4" s="10">
        <v>5975</v>
      </c>
      <c r="BV4" s="156">
        <f t="shared" si="6"/>
        <v>0.56171852966061864</v>
      </c>
      <c r="BW4" s="10">
        <v>6279</v>
      </c>
      <c r="BX4" s="156">
        <f t="shared" si="6"/>
        <v>0.59029801635799573</v>
      </c>
      <c r="BY4" s="10">
        <v>6147</v>
      </c>
      <c r="BZ4" s="156">
        <f t="shared" ref="BZ4" si="7">BY4/($AI4)</f>
        <v>0.5778885023972925</v>
      </c>
      <c r="CA4" s="10">
        <v>6195</v>
      </c>
      <c r="CB4" s="156">
        <f t="shared" ref="CB4" si="8">CA4/($AI4)</f>
        <v>0.58240105292845723</v>
      </c>
      <c r="CC4" s="10">
        <v>6032</v>
      </c>
      <c r="CD4" s="156">
        <f t="shared" ref="CD4:CL4" si="9">CC4/($AI4)</f>
        <v>0.56707718341637681</v>
      </c>
      <c r="CE4" s="10">
        <v>5693</v>
      </c>
      <c r="CF4" s="156">
        <f t="shared" si="9"/>
        <v>0.53520729529002542</v>
      </c>
      <c r="CG4" s="10">
        <v>2904</v>
      </c>
      <c r="CH4" s="156">
        <f t="shared" si="9"/>
        <v>0.2730093071354705</v>
      </c>
      <c r="CI4" s="10">
        <v>2896</v>
      </c>
      <c r="CJ4" s="156">
        <f t="shared" si="9"/>
        <v>0.27225721538027642</v>
      </c>
      <c r="CK4" s="10">
        <v>3441</v>
      </c>
      <c r="CL4" s="156">
        <f t="shared" si="9"/>
        <v>0.32349346620287678</v>
      </c>
      <c r="CM4" s="10">
        <v>5957</v>
      </c>
      <c r="CN4" s="156">
        <f t="shared" ref="CN4" si="10">CM4/($AI4)</f>
        <v>0.56002632321143175</v>
      </c>
      <c r="CO4" s="10">
        <v>5527</v>
      </c>
      <c r="CP4" s="156">
        <f t="shared" ref="CP4" si="11">CO4/($AI4)</f>
        <v>0.51960139136974715</v>
      </c>
      <c r="CQ4" s="10">
        <v>4923</v>
      </c>
      <c r="CR4" s="156">
        <f t="shared" ref="CR4:CZ4" si="12">CQ4/($AI4)</f>
        <v>0.46281846385259001</v>
      </c>
      <c r="CS4" s="10">
        <v>9034</v>
      </c>
      <c r="CT4" s="156">
        <f t="shared" si="12"/>
        <v>0.84929961455297542</v>
      </c>
      <c r="CU4" s="10">
        <v>6512</v>
      </c>
      <c r="CV4" s="156">
        <f t="shared" si="12"/>
        <v>0.61220268872802486</v>
      </c>
      <c r="CW4" s="10">
        <v>7114</v>
      </c>
      <c r="CX4" s="156">
        <f t="shared" si="12"/>
        <v>0.66879759330638333</v>
      </c>
      <c r="CY4" s="10">
        <v>6394</v>
      </c>
      <c r="CZ4" s="156">
        <f t="shared" si="12"/>
        <v>0.60110933533891131</v>
      </c>
      <c r="DA4" s="10">
        <v>9200</v>
      </c>
      <c r="DB4" s="156">
        <f t="shared" ref="DB4" si="13">DA4/($AI4)</f>
        <v>0.8649055184732537</v>
      </c>
      <c r="DC4" s="10">
        <v>4985</v>
      </c>
      <c r="DE4" s="10">
        <v>5806</v>
      </c>
      <c r="DG4" s="10">
        <v>6873</v>
      </c>
      <c r="DI4" s="10">
        <v>5331</v>
      </c>
      <c r="DK4" s="10">
        <v>4534</v>
      </c>
    </row>
    <row r="5" spans="1:115" s="2722" customFormat="1" ht="16.5" customHeight="1" thickBot="1">
      <c r="A5" s="2721"/>
      <c r="B5" s="2722" t="s">
        <v>22</v>
      </c>
      <c r="C5" s="2723" t="s">
        <v>280</v>
      </c>
      <c r="D5" s="2724"/>
      <c r="E5" s="2725"/>
      <c r="F5" s="2726"/>
      <c r="G5" s="2727"/>
      <c r="H5" s="2727"/>
      <c r="I5" s="2727"/>
      <c r="J5" s="2727"/>
      <c r="K5" s="2727"/>
      <c r="L5" s="2727"/>
      <c r="M5" s="2727"/>
      <c r="N5" s="2727"/>
      <c r="O5" s="2727"/>
      <c r="P5" s="2727"/>
      <c r="Q5" s="2727"/>
      <c r="R5" s="2727"/>
      <c r="S5" s="2727"/>
      <c r="T5" s="2727"/>
      <c r="U5" s="2727"/>
      <c r="V5" s="2727"/>
      <c r="W5" s="2727"/>
      <c r="X5" s="2724"/>
      <c r="Y5" s="2724"/>
      <c r="Z5" s="2724"/>
      <c r="AA5" s="2724"/>
      <c r="AB5" s="2724"/>
      <c r="AC5" s="2724"/>
      <c r="AD5" s="2724"/>
      <c r="AE5" s="2724"/>
      <c r="AF5" s="2724"/>
      <c r="AG5" s="2724"/>
      <c r="AH5" s="2724"/>
      <c r="AI5" s="2724">
        <v>2011</v>
      </c>
      <c r="AJ5" s="2728"/>
      <c r="AK5" s="2729"/>
      <c r="AL5" s="2724">
        <v>2008</v>
      </c>
      <c r="AM5" s="2730">
        <f t="shared" ref="AM5" si="14">AL5/($AI5)</f>
        <v>0.99850820487319747</v>
      </c>
      <c r="AN5" s="2724">
        <v>2011</v>
      </c>
      <c r="AO5" s="2730">
        <f t="shared" ref="AO5" si="15">AN5/($AI5)</f>
        <v>1</v>
      </c>
      <c r="AP5" s="2724"/>
      <c r="AQ5" s="2730">
        <f t="shared" ref="AQ5" si="16">AP5/($AI5)</f>
        <v>0</v>
      </c>
      <c r="AR5" s="2724">
        <v>2013</v>
      </c>
      <c r="AS5" s="2730">
        <f t="shared" ref="AS5" si="17">AR5/($AI5)</f>
        <v>1.0009945300845351</v>
      </c>
      <c r="AT5" s="2724">
        <v>2020</v>
      </c>
      <c r="AU5" s="2730">
        <f t="shared" ref="AU5" si="18">AT5/($AI5)</f>
        <v>1.0044753853804078</v>
      </c>
      <c r="AV5" s="2724">
        <v>2017</v>
      </c>
      <c r="AW5" s="2730">
        <f t="shared" ref="AW5" si="19">AV5/($AI5)</f>
        <v>1.0029835902536051</v>
      </c>
      <c r="AX5" s="2724">
        <v>2019</v>
      </c>
      <c r="AY5" s="2730">
        <f t="shared" ref="AY5" si="20">AX5/($AI5)</f>
        <v>1.0039781203381402</v>
      </c>
      <c r="AZ5" s="2724">
        <v>2013</v>
      </c>
      <c r="BA5" s="2724"/>
      <c r="BB5" s="2724">
        <v>341</v>
      </c>
      <c r="BC5" s="2730">
        <f t="shared" ref="BC5" si="21">BB5/($AI5)</f>
        <v>0.16956737941322725</v>
      </c>
      <c r="BD5" s="2724">
        <v>2007</v>
      </c>
      <c r="BE5" s="2730">
        <f t="shared" ref="BE5" si="22">BD5/($AI5)</f>
        <v>0.99801093983092992</v>
      </c>
      <c r="BF5" s="2724">
        <v>2003</v>
      </c>
      <c r="BG5" s="2730">
        <f t="shared" ref="BG5" si="23">BF5/($AI5)</f>
        <v>0.99602187966185973</v>
      </c>
      <c r="BH5" s="2724">
        <v>2009</v>
      </c>
      <c r="BI5" s="2730">
        <f t="shared" ref="BI5" si="24">BH5/($AI5)</f>
        <v>0.99900546991546491</v>
      </c>
      <c r="BK5" s="2722">
        <v>2019</v>
      </c>
      <c r="BL5" s="2730">
        <f t="shared" ref="BL5" si="25">BK5/($AI5)</f>
        <v>1.0039781203381402</v>
      </c>
      <c r="BM5" s="2722">
        <v>2008</v>
      </c>
      <c r="BN5" s="2730">
        <f t="shared" ref="BN5" si="26">BM5/($AI5)</f>
        <v>0.99850820487319747</v>
      </c>
      <c r="BO5" s="2722">
        <v>2005</v>
      </c>
      <c r="BP5" s="2730">
        <f t="shared" ref="BP5" si="27">BO5/($AI5)</f>
        <v>0.99701640974639483</v>
      </c>
      <c r="BQ5" s="2722">
        <v>2012</v>
      </c>
      <c r="BR5" s="2730">
        <f t="shared" ref="BR5" si="28">BQ5/($AI5)</f>
        <v>1.0004972650422674</v>
      </c>
      <c r="BS5" s="2722">
        <v>2004</v>
      </c>
      <c r="BT5" s="2730">
        <f t="shared" ref="BT5" si="29">BS5/($AI5)</f>
        <v>0.99651914470412728</v>
      </c>
      <c r="BU5" s="2722">
        <v>2005</v>
      </c>
      <c r="BV5" s="2730">
        <f t="shared" ref="BV5" si="30">BU5/($AI5)</f>
        <v>0.99701640974639483</v>
      </c>
      <c r="BW5" s="2722">
        <v>2013</v>
      </c>
      <c r="BX5" s="2730">
        <f t="shared" ref="BX5" si="31">BW5/($AI5)</f>
        <v>1.0009945300845351</v>
      </c>
      <c r="BY5" s="2722">
        <v>2013</v>
      </c>
      <c r="BZ5" s="2730">
        <f t="shared" ref="BZ5" si="32">BY5/($AI5)</f>
        <v>1.0009945300845351</v>
      </c>
      <c r="CA5" s="2722">
        <v>2006</v>
      </c>
      <c r="CB5" s="2730">
        <f t="shared" ref="CB5" si="33">CA5/($AI5)</f>
        <v>0.99751367478866237</v>
      </c>
      <c r="CC5" s="2722">
        <v>2006</v>
      </c>
      <c r="CD5" s="2730">
        <f t="shared" ref="CD5" si="34">CC5/($AI5)</f>
        <v>0.99751367478866237</v>
      </c>
      <c r="CE5" s="2722">
        <v>2015</v>
      </c>
      <c r="CF5" s="2730">
        <f t="shared" ref="CF5" si="35">CE5/($AI5)</f>
        <v>1.0019890601690702</v>
      </c>
      <c r="CG5" s="2722">
        <v>2010</v>
      </c>
      <c r="CH5" s="2730">
        <f t="shared" ref="CH5" si="36">CG5/($AI5)</f>
        <v>0.99950273495773245</v>
      </c>
      <c r="CI5" s="2722">
        <v>2012</v>
      </c>
      <c r="CJ5" s="2730">
        <f t="shared" ref="CJ5" si="37">CI5/($AI5)</f>
        <v>1.0004972650422674</v>
      </c>
      <c r="CK5" s="2722">
        <v>2005</v>
      </c>
      <c r="CL5" s="2730">
        <f t="shared" ref="CL5" si="38">CK5/($AI5)</f>
        <v>0.99701640974639483</v>
      </c>
      <c r="CN5" s="2730">
        <f t="shared" ref="CN5" si="39">CM5/($AI5)</f>
        <v>0</v>
      </c>
      <c r="CO5" s="2722">
        <v>3307</v>
      </c>
      <c r="CP5" s="2730">
        <f t="shared" ref="CP5:CR5" si="40">CO5/($AI5)</f>
        <v>1.6444554947787171</v>
      </c>
      <c r="CQ5" s="2722">
        <v>9914</v>
      </c>
      <c r="CR5" s="2730">
        <f t="shared" si="40"/>
        <v>4.9298856290402782</v>
      </c>
      <c r="CS5" s="2722">
        <v>1695</v>
      </c>
      <c r="CU5" s="2722">
        <v>6019</v>
      </c>
      <c r="CW5" s="2722">
        <v>6046</v>
      </c>
      <c r="CY5" s="2722">
        <v>6007</v>
      </c>
      <c r="DA5" s="2722">
        <v>6007</v>
      </c>
    </row>
    <row r="6" spans="1:115" s="10" customFormat="1" ht="31.5" customHeight="1" thickBot="1">
      <c r="A6" s="393">
        <v>4</v>
      </c>
      <c r="B6" s="240" t="s">
        <v>573</v>
      </c>
      <c r="C6" s="187" t="str">
        <f>E6</f>
        <v>{"dossier":p.DossierName1,"expectedErrorContains":"Für dieses Dossier kann keine Soforthilfe mehr erfasst werden, ","klientschaft":"","Zahlungsverbindung":""}</v>
      </c>
      <c r="D6" s="38" t="s">
        <v>263</v>
      </c>
      <c r="E6" s="45" t="str">
        <f>F6&amp;G6&amp;H6&amp;I6&amp;J6&amp;K6&amp;L6&amp;M6&amp;N6&amp;O6&amp;P6&amp;Q6</f>
        <v>{"dossier":p.DossierName1,"expectedErrorContains":"Für dieses Dossier kann keine Soforthilfe mehr erfasst werden, ","klientschaft":"","Zahlungsverbindung":""}</v>
      </c>
      <c r="F6" s="252" t="s">
        <v>159</v>
      </c>
      <c r="G6" s="2" t="s">
        <v>449</v>
      </c>
      <c r="H6" s="2" t="s">
        <v>574</v>
      </c>
      <c r="I6" t="s">
        <v>1562</v>
      </c>
      <c r="J6" s="2" t="s">
        <v>576</v>
      </c>
      <c r="K6" s="2"/>
      <c r="L6" s="2" t="s">
        <v>577</v>
      </c>
      <c r="M6" s="253"/>
      <c r="N6" s="2" t="s">
        <v>37</v>
      </c>
      <c r="O6" s="45"/>
      <c r="P6" s="2"/>
      <c r="Q6" s="2"/>
      <c r="R6" s="2"/>
      <c r="S6" s="2">
        <v>11111</v>
      </c>
      <c r="T6" s="2">
        <v>12653</v>
      </c>
      <c r="U6" s="156">
        <f t="shared" si="0"/>
        <v>1.1387813878138782</v>
      </c>
      <c r="V6" s="2">
        <v>11931</v>
      </c>
      <c r="W6" s="156">
        <f t="shared" si="0"/>
        <v>1.0738007380073802</v>
      </c>
      <c r="X6" s="2">
        <v>11747</v>
      </c>
      <c r="Y6" s="156">
        <f t="shared" si="0"/>
        <v>1.0572405724057241</v>
      </c>
      <c r="Z6" s="2">
        <v>11518</v>
      </c>
      <c r="AA6" s="156">
        <f t="shared" si="0"/>
        <v>1.0366303663036631</v>
      </c>
      <c r="AB6" s="2">
        <v>6737</v>
      </c>
      <c r="AC6" s="156">
        <f t="shared" si="0"/>
        <v>0.60633606336063361</v>
      </c>
      <c r="AD6" s="2">
        <v>6750</v>
      </c>
      <c r="AE6" s="156">
        <f t="shared" si="0"/>
        <v>0.60750607506075061</v>
      </c>
      <c r="AF6" s="2">
        <v>6375</v>
      </c>
      <c r="AG6" s="156">
        <f t="shared" si="0"/>
        <v>0.57375573755737552</v>
      </c>
      <c r="AH6" s="2">
        <v>6447</v>
      </c>
      <c r="AI6" s="2"/>
      <c r="AJ6" s="2">
        <v>6748</v>
      </c>
      <c r="AK6" s="2"/>
      <c r="AM6" s="10">
        <v>7050</v>
      </c>
      <c r="AO6" s="10">
        <v>6666</v>
      </c>
      <c r="AQ6" s="10">
        <v>6870</v>
      </c>
      <c r="AS6" s="10">
        <v>6838</v>
      </c>
      <c r="AU6" s="10">
        <v>6778</v>
      </c>
      <c r="AW6" s="10">
        <v>5021</v>
      </c>
      <c r="AY6" s="10">
        <v>4760</v>
      </c>
      <c r="BA6" s="10">
        <v>4038</v>
      </c>
      <c r="BC6" s="10">
        <v>5852</v>
      </c>
      <c r="BE6" s="10">
        <v>7182</v>
      </c>
      <c r="BG6" s="10">
        <v>6506</v>
      </c>
      <c r="BI6" s="10">
        <v>7716</v>
      </c>
      <c r="BK6" s="10">
        <v>6099</v>
      </c>
      <c r="BM6" s="10">
        <v>6500</v>
      </c>
      <c r="BO6" s="10">
        <v>7136</v>
      </c>
      <c r="BQ6" s="10">
        <v>6353</v>
      </c>
      <c r="BS6" s="10">
        <v>6925</v>
      </c>
      <c r="BU6" s="3492">
        <v>0</v>
      </c>
      <c r="BV6" s="3493" t="s">
        <v>1528</v>
      </c>
      <c r="BW6" s="10">
        <v>6791</v>
      </c>
      <c r="BY6" s="10">
        <v>6629</v>
      </c>
      <c r="BZ6" s="10" t="s">
        <v>1718</v>
      </c>
    </row>
    <row r="7" spans="1:115" s="2722" customFormat="1" ht="16.5" customHeight="1" thickBot="1">
      <c r="A7" s="2721">
        <v>5</v>
      </c>
      <c r="B7" s="2722" t="s">
        <v>22</v>
      </c>
      <c r="C7" s="2723" t="s">
        <v>280</v>
      </c>
      <c r="D7" s="2724"/>
      <c r="E7" s="2725"/>
      <c r="F7" s="2726"/>
      <c r="G7" s="2727"/>
      <c r="H7" s="2727"/>
      <c r="I7" s="2727"/>
      <c r="J7" s="2727"/>
      <c r="K7" s="2727"/>
      <c r="L7" s="2727"/>
      <c r="M7" s="2727"/>
      <c r="N7" s="2727"/>
      <c r="O7" s="2727"/>
      <c r="P7" s="2727"/>
      <c r="Q7" s="2727"/>
      <c r="R7" s="2727"/>
      <c r="S7" s="2727"/>
      <c r="T7" s="2727"/>
      <c r="U7" s="2727"/>
      <c r="V7" s="2727"/>
      <c r="W7" s="2727"/>
      <c r="X7" s="2724"/>
      <c r="Y7" s="2724"/>
      <c r="Z7" s="2724"/>
      <c r="AA7" s="2724"/>
      <c r="AB7" s="2724"/>
      <c r="AC7" s="2724"/>
      <c r="AD7" s="2724"/>
      <c r="AE7" s="2724"/>
      <c r="AF7" s="2724"/>
      <c r="AG7" s="2724"/>
      <c r="AH7" s="2724"/>
      <c r="AI7" s="2724">
        <v>2011</v>
      </c>
      <c r="AJ7" s="2728"/>
      <c r="AK7" s="2729"/>
      <c r="AL7" s="2724">
        <v>2008</v>
      </c>
      <c r="AM7" s="2730">
        <f t="shared" ref="AM7:AM8" si="41">AL7/($AI7)</f>
        <v>0.99850820487319747</v>
      </c>
      <c r="AN7" s="2724">
        <v>2011</v>
      </c>
      <c r="AO7" s="2730">
        <f t="shared" ref="AO7:AO8" si="42">AN7/($AI7)</f>
        <v>1</v>
      </c>
      <c r="AP7" s="2724"/>
      <c r="AQ7" s="2730">
        <f t="shared" ref="AQ7:AQ8" si="43">AP7/($AI7)</f>
        <v>0</v>
      </c>
      <c r="AR7" s="2724">
        <v>2013</v>
      </c>
      <c r="AS7" s="2730">
        <f t="shared" ref="AS7:AS8" si="44">AR7/($AI7)</f>
        <v>1.0009945300845351</v>
      </c>
      <c r="AT7" s="2724">
        <v>2020</v>
      </c>
      <c r="AU7" s="2730">
        <f t="shared" ref="AU7:AU8" si="45">AT7/($AI7)</f>
        <v>1.0044753853804078</v>
      </c>
      <c r="AV7" s="2724">
        <v>2017</v>
      </c>
      <c r="AW7" s="2730">
        <f t="shared" ref="AW7:AW8" si="46">AV7/($AI7)</f>
        <v>1.0029835902536051</v>
      </c>
      <c r="AX7" s="2724">
        <v>2019</v>
      </c>
      <c r="AY7" s="2730">
        <f t="shared" ref="AY7:AY8" si="47">AX7/($AI7)</f>
        <v>1.0039781203381402</v>
      </c>
      <c r="AZ7" s="2724">
        <v>2013</v>
      </c>
      <c r="BA7" s="2724"/>
      <c r="BB7" s="2724">
        <v>341</v>
      </c>
      <c r="BC7" s="2730">
        <f t="shared" ref="BC7:BC8" si="48">BB7/($AI7)</f>
        <v>0.16956737941322725</v>
      </c>
      <c r="BD7" s="2724">
        <v>2007</v>
      </c>
      <c r="BE7" s="2730">
        <f t="shared" ref="BE7:BE8" si="49">BD7/($AI7)</f>
        <v>0.99801093983092992</v>
      </c>
      <c r="BF7" s="2724">
        <v>2003</v>
      </c>
      <c r="BG7" s="2730">
        <f t="shared" ref="BG7:BG8" si="50">BF7/($AI7)</f>
        <v>0.99602187966185973</v>
      </c>
      <c r="BH7" s="2724">
        <v>2009</v>
      </c>
      <c r="BI7" s="2730">
        <f t="shared" ref="BI7:BI8" si="51">BH7/($AI7)</f>
        <v>0.99900546991546491</v>
      </c>
      <c r="BK7" s="2722">
        <v>2019</v>
      </c>
      <c r="BL7" s="2730">
        <f t="shared" ref="BL7" si="52">BK7/($AI7)</f>
        <v>1.0039781203381402</v>
      </c>
      <c r="BM7" s="2722">
        <v>2008</v>
      </c>
      <c r="BN7" s="2730">
        <f t="shared" ref="BN7:BN8" si="53">BM7/($AI7)</f>
        <v>0.99850820487319747</v>
      </c>
      <c r="BO7" s="2722">
        <v>2005</v>
      </c>
      <c r="BP7" s="2730">
        <f t="shared" ref="BP7:BP8" si="54">BO7/($AI7)</f>
        <v>0.99701640974639483</v>
      </c>
      <c r="BQ7" s="2722">
        <v>2012</v>
      </c>
      <c r="BR7" s="2730">
        <f t="shared" ref="BR7:BR8" si="55">BQ7/($AI7)</f>
        <v>1.0004972650422674</v>
      </c>
      <c r="BS7" s="2722">
        <v>2004</v>
      </c>
      <c r="BT7" s="2730">
        <f t="shared" ref="BT7:BT8" si="56">BS7/($AI7)</f>
        <v>0.99651914470412728</v>
      </c>
      <c r="BU7" s="2722">
        <v>2005</v>
      </c>
      <c r="BV7" s="2730">
        <f t="shared" ref="BV7:BV8" si="57">BU7/($AI7)</f>
        <v>0.99701640974639483</v>
      </c>
      <c r="BW7" s="2722">
        <v>6016</v>
      </c>
      <c r="BX7" s="2730"/>
      <c r="BY7" s="2722">
        <v>6019</v>
      </c>
      <c r="BZ7" s="2730" t="s">
        <v>1718</v>
      </c>
      <c r="CA7" s="2722">
        <v>2006</v>
      </c>
      <c r="CB7" s="2730">
        <f t="shared" ref="CB7:CB8" si="58">CA7/($AI7)</f>
        <v>0.99751367478866237</v>
      </c>
      <c r="CC7" s="2722">
        <v>2006</v>
      </c>
      <c r="CD7" s="2730">
        <f t="shared" ref="CD7:CD8" si="59">CC7/($AI7)</f>
        <v>0.99751367478866237</v>
      </c>
      <c r="CE7" s="2722">
        <v>2015</v>
      </c>
      <c r="CF7" s="2730">
        <f t="shared" ref="CF7:CF8" si="60">CE7/($AI7)</f>
        <v>1.0019890601690702</v>
      </c>
      <c r="CG7" s="2722">
        <v>2010</v>
      </c>
      <c r="CH7" s="2730">
        <f t="shared" ref="CH7:CH8" si="61">CG7/($AI7)</f>
        <v>0.99950273495773245</v>
      </c>
      <c r="CI7" s="2722">
        <v>2012</v>
      </c>
      <c r="CJ7" s="2730">
        <f t="shared" ref="CJ7:CJ8" si="62">CI7/($AI7)</f>
        <v>1.0004972650422674</v>
      </c>
      <c r="CK7" s="2722">
        <v>2005</v>
      </c>
      <c r="CL7" s="2730">
        <f t="shared" ref="CL7:CL8" si="63">CK7/($AI7)</f>
        <v>0.99701640974639483</v>
      </c>
      <c r="CN7" s="2730">
        <f t="shared" ref="CN7:CN8" si="64">CM7/($AI7)</f>
        <v>0</v>
      </c>
      <c r="CO7" s="2722">
        <v>3307</v>
      </c>
      <c r="CP7" s="2730">
        <f t="shared" ref="CP7:CP8" si="65">CO7/($AI7)</f>
        <v>1.6444554947787171</v>
      </c>
      <c r="CQ7" s="2722">
        <v>9914</v>
      </c>
      <c r="CR7" s="2730">
        <f t="shared" ref="CR7:CR8" si="66">CQ7/($AI7)</f>
        <v>4.9298856290402782</v>
      </c>
      <c r="CS7" s="2722">
        <v>1695</v>
      </c>
      <c r="CU7" s="2722">
        <v>6019</v>
      </c>
      <c r="CW7" s="2722">
        <v>6046</v>
      </c>
      <c r="CY7" s="2722">
        <v>6007</v>
      </c>
      <c r="DA7" s="2722">
        <v>6007</v>
      </c>
    </row>
    <row r="8" spans="1:115" s="10" customFormat="1" ht="20.25" customHeight="1" thickBot="1">
      <c r="A8" s="1209"/>
      <c r="B8" s="1212" t="s">
        <v>139</v>
      </c>
      <c r="C8" s="1213" t="str">
        <f>E8</f>
        <v>{"searchDossierOrKlient":p.DossierName5,"resultType":"Dossiers"}</v>
      </c>
      <c r="D8" s="122"/>
      <c r="E8" s="121" t="str">
        <f>F8&amp;G8&amp;H8&amp;I8&amp;J8&amp;K8&amp;L8&amp;M8&amp;N8&amp;O8&amp;P8&amp;Q8&amp;R8&amp;S8&amp;T8&amp;U8&amp;V8&amp;W8&amp;X8</f>
        <v>{"searchDossierOrKlient":p.DossierName5,"resultType":"Dossiers"}</v>
      </c>
      <c r="F8" s="609" t="s">
        <v>140</v>
      </c>
      <c r="G8" s="611" t="str">
        <f>G9</f>
        <v>p.DossierName5</v>
      </c>
      <c r="H8" s="609" t="s">
        <v>141</v>
      </c>
      <c r="I8" s="611" t="s">
        <v>142</v>
      </c>
      <c r="J8" s="609" t="s">
        <v>37</v>
      </c>
      <c r="K8" s="611"/>
      <c r="L8" s="609"/>
      <c r="M8" s="611"/>
      <c r="N8" s="609"/>
      <c r="O8" s="611"/>
      <c r="P8" s="609"/>
      <c r="Q8" s="611"/>
      <c r="R8" s="609"/>
      <c r="S8" s="611"/>
      <c r="T8" s="609"/>
      <c r="U8" s="611"/>
      <c r="V8" s="609"/>
      <c r="W8" s="611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169">
        <v>10637</v>
      </c>
      <c r="AJ8" s="162">
        <v>10857</v>
      </c>
      <c r="AK8" s="156">
        <f t="shared" ref="AK8" si="67">AJ8/($AI8)</f>
        <v>1.0206825232678387</v>
      </c>
      <c r="AL8" s="162">
        <v>11582</v>
      </c>
      <c r="AM8" s="156">
        <f t="shared" si="41"/>
        <v>1.088840838582307</v>
      </c>
      <c r="AN8" s="162">
        <v>11107</v>
      </c>
      <c r="AO8" s="156">
        <f t="shared" si="42"/>
        <v>1.0441853906176553</v>
      </c>
      <c r="AP8" s="162">
        <v>10818</v>
      </c>
      <c r="AQ8" s="156">
        <f t="shared" si="43"/>
        <v>1.0170160759612672</v>
      </c>
      <c r="AR8" s="162">
        <v>11086</v>
      </c>
      <c r="AS8" s="156">
        <f t="shared" si="44"/>
        <v>1.0422111497602708</v>
      </c>
      <c r="AT8" s="162">
        <v>11069</v>
      </c>
      <c r="AU8" s="156">
        <f t="shared" si="45"/>
        <v>1.0406129547804832</v>
      </c>
      <c r="AV8" s="162">
        <v>10674</v>
      </c>
      <c r="AW8" s="156">
        <f t="shared" si="46"/>
        <v>1.0034784243677728</v>
      </c>
      <c r="AX8" s="162">
        <v>2476</v>
      </c>
      <c r="AY8" s="156">
        <f t="shared" si="47"/>
        <v>0.23277239823258439</v>
      </c>
      <c r="AZ8" s="3">
        <v>2438</v>
      </c>
      <c r="BA8" s="156">
        <f t="shared" ref="BA8" si="68">AZ8/($AI8)</f>
        <v>0.22919996239541224</v>
      </c>
      <c r="BB8" s="2">
        <v>0</v>
      </c>
      <c r="BC8" s="156">
        <f t="shared" si="48"/>
        <v>0</v>
      </c>
      <c r="BD8" s="2">
        <v>2621</v>
      </c>
      <c r="BE8" s="156">
        <f t="shared" si="49"/>
        <v>0.24640406129547804</v>
      </c>
      <c r="BF8" s="2">
        <v>5694</v>
      </c>
      <c r="BG8" s="156">
        <f t="shared" si="50"/>
        <v>0.53530130675942467</v>
      </c>
      <c r="BH8" s="2">
        <v>7028</v>
      </c>
      <c r="BI8" s="156">
        <f t="shared" si="51"/>
        <v>0.66071260693804645</v>
      </c>
      <c r="BJ8" s="2">
        <v>6521</v>
      </c>
      <c r="BK8" s="156">
        <f t="shared" ref="BK8" si="69">BJ8/($AI8)</f>
        <v>0.61304879195261819</v>
      </c>
      <c r="BM8" s="10">
        <v>5963</v>
      </c>
      <c r="BN8" s="156">
        <f t="shared" si="53"/>
        <v>0.56059039202782734</v>
      </c>
      <c r="BO8" s="10">
        <v>6705</v>
      </c>
      <c r="BP8" s="156">
        <f t="shared" si="54"/>
        <v>0.63034690232208335</v>
      </c>
      <c r="BQ8" s="10">
        <v>6252</v>
      </c>
      <c r="BR8" s="156">
        <f t="shared" si="55"/>
        <v>0.58775970668421551</v>
      </c>
      <c r="BS8" s="10">
        <v>6235</v>
      </c>
      <c r="BT8" s="156">
        <f t="shared" si="56"/>
        <v>0.58616151170442798</v>
      </c>
      <c r="BU8" s="10">
        <v>5975</v>
      </c>
      <c r="BV8" s="156">
        <f t="shared" si="57"/>
        <v>0.56171852966061864</v>
      </c>
      <c r="BW8" s="10">
        <v>6279</v>
      </c>
      <c r="BX8" s="156"/>
      <c r="BY8" s="10">
        <v>6147</v>
      </c>
      <c r="BZ8" s="156"/>
      <c r="CA8" s="10">
        <v>6195</v>
      </c>
      <c r="CB8" s="156">
        <f t="shared" si="58"/>
        <v>0.58240105292845723</v>
      </c>
      <c r="CC8" s="10">
        <v>6032</v>
      </c>
      <c r="CD8" s="156">
        <f t="shared" si="59"/>
        <v>0.56707718341637681</v>
      </c>
      <c r="CE8" s="10">
        <v>5693</v>
      </c>
      <c r="CF8" s="156">
        <f t="shared" si="60"/>
        <v>0.53520729529002542</v>
      </c>
      <c r="CG8" s="10">
        <v>2904</v>
      </c>
      <c r="CH8" s="156">
        <f t="shared" si="61"/>
        <v>0.2730093071354705</v>
      </c>
      <c r="CI8" s="10">
        <v>2896</v>
      </c>
      <c r="CJ8" s="156">
        <f t="shared" si="62"/>
        <v>0.27225721538027642</v>
      </c>
      <c r="CK8" s="10">
        <v>3441</v>
      </c>
      <c r="CL8" s="156">
        <f t="shared" si="63"/>
        <v>0.32349346620287678</v>
      </c>
      <c r="CM8" s="10">
        <v>5957</v>
      </c>
      <c r="CN8" s="156">
        <f t="shared" si="64"/>
        <v>0.56002632321143175</v>
      </c>
      <c r="CO8" s="10">
        <v>5527</v>
      </c>
      <c r="CP8" s="156">
        <f t="shared" si="65"/>
        <v>0.51960139136974715</v>
      </c>
      <c r="CQ8" s="10">
        <v>4923</v>
      </c>
      <c r="CR8" s="156">
        <f t="shared" si="66"/>
        <v>0.46281846385259001</v>
      </c>
      <c r="CS8" s="10">
        <v>9034</v>
      </c>
      <c r="CT8" s="156">
        <f t="shared" ref="CT8" si="70">CS8/($AI8)</f>
        <v>0.84929961455297542</v>
      </c>
      <c r="CU8" s="10">
        <v>6512</v>
      </c>
      <c r="CV8" s="156">
        <f t="shared" ref="CV8" si="71">CU8/($AI8)</f>
        <v>0.61220268872802486</v>
      </c>
      <c r="CW8" s="10">
        <v>7114</v>
      </c>
      <c r="CX8" s="156">
        <f t="shared" ref="CX8" si="72">CW8/($AI8)</f>
        <v>0.66879759330638333</v>
      </c>
      <c r="CY8" s="10">
        <v>6394</v>
      </c>
      <c r="CZ8" s="156">
        <f t="shared" ref="CZ8" si="73">CY8/($AI8)</f>
        <v>0.60110933533891131</v>
      </c>
      <c r="DA8" s="10">
        <v>9200</v>
      </c>
      <c r="DB8" s="156">
        <f t="shared" ref="DB8" si="74">DA8/($AI8)</f>
        <v>0.8649055184732537</v>
      </c>
      <c r="DC8" s="10">
        <v>4985</v>
      </c>
      <c r="DE8" s="10">
        <v>5806</v>
      </c>
      <c r="DG8" s="10">
        <v>6873</v>
      </c>
      <c r="DI8" s="10">
        <v>5331</v>
      </c>
      <c r="DK8" s="10">
        <v>4534</v>
      </c>
    </row>
    <row r="9" spans="1:115" s="10" customFormat="1" ht="21" customHeight="1" thickBot="1">
      <c r="A9" s="21">
        <v>6</v>
      </c>
      <c r="B9" s="240" t="s">
        <v>573</v>
      </c>
      <c r="C9" s="187" t="str">
        <f>E9</f>
        <v>{"dossier":p.DossierName5,"expectedErrorContains":"","klientschaft":`${p.FamilyName5}, ${p.ManFirstName5}`,"Zahlungsverbindung":"Barzahlung","betrag":100}</v>
      </c>
      <c r="D9" s="38" t="s">
        <v>263</v>
      </c>
      <c r="E9" s="45" t="str">
        <f>F9&amp;G9&amp;H9&amp;I9&amp;J9&amp;K9&amp;L9&amp;M9&amp;N9&amp;O9&amp;P9&amp;Q9</f>
        <v>{"dossier":p.DossierName5,"expectedErrorContains":"","klientschaft":`${p.FamilyName5}, ${p.ManFirstName5}`,"Zahlungsverbindung":"Barzahlung","betrag":100}</v>
      </c>
      <c r="F9" s="252" t="s">
        <v>159</v>
      </c>
      <c r="G9" s="2" t="s">
        <v>333</v>
      </c>
      <c r="H9" s="2" t="s">
        <v>574</v>
      </c>
      <c r="I9" s="253"/>
      <c r="J9" s="2" t="s">
        <v>578</v>
      </c>
      <c r="K9" s="45" t="s">
        <v>386</v>
      </c>
      <c r="L9" s="2" t="s">
        <v>579</v>
      </c>
      <c r="M9" s="253" t="s">
        <v>580</v>
      </c>
      <c r="N9" s="2" t="s">
        <v>556</v>
      </c>
      <c r="O9" s="45">
        <v>100</v>
      </c>
      <c r="P9" s="2" t="s">
        <v>109</v>
      </c>
      <c r="Q9" s="2"/>
      <c r="R9" s="2"/>
      <c r="S9" s="2">
        <v>311</v>
      </c>
      <c r="T9" s="2">
        <v>0</v>
      </c>
      <c r="U9" s="156">
        <f t="shared" si="0"/>
        <v>0</v>
      </c>
      <c r="V9" s="2">
        <v>16203</v>
      </c>
      <c r="W9" s="156">
        <f t="shared" si="0"/>
        <v>52.09967845659164</v>
      </c>
      <c r="X9" s="2">
        <v>15848</v>
      </c>
      <c r="Y9" s="156">
        <f t="shared" si="0"/>
        <v>50.958199356913184</v>
      </c>
      <c r="Z9" s="2">
        <v>15846</v>
      </c>
      <c r="AA9" s="156">
        <f t="shared" si="0"/>
        <v>50.951768488745984</v>
      </c>
      <c r="AB9" s="2">
        <v>9166</v>
      </c>
      <c r="AC9" s="156">
        <f t="shared" si="0"/>
        <v>29.472668810289388</v>
      </c>
      <c r="AD9" s="2">
        <v>8180</v>
      </c>
      <c r="AE9" s="156">
        <f t="shared" si="0"/>
        <v>26.30225080385852</v>
      </c>
      <c r="AF9" s="2">
        <v>10329</v>
      </c>
      <c r="AG9" s="156">
        <f>AF9/($W9)</f>
        <v>198.25458248472506</v>
      </c>
      <c r="AH9" s="2">
        <v>10001</v>
      </c>
      <c r="AI9" s="2"/>
      <c r="AJ9" s="2">
        <v>11159</v>
      </c>
      <c r="AK9" s="2"/>
      <c r="AM9" s="10">
        <v>11669</v>
      </c>
      <c r="AO9" s="10">
        <v>12461</v>
      </c>
      <c r="AQ9" s="10">
        <v>11024</v>
      </c>
      <c r="AS9" s="10">
        <v>11910</v>
      </c>
      <c r="AU9" s="10">
        <v>10941</v>
      </c>
      <c r="AW9" s="10">
        <v>9090</v>
      </c>
      <c r="AY9" s="10">
        <v>8005</v>
      </c>
      <c r="BA9" s="10">
        <v>8228</v>
      </c>
      <c r="BC9" s="1963">
        <v>0</v>
      </c>
      <c r="BD9" s="1964" t="s">
        <v>1383</v>
      </c>
      <c r="BE9" s="10">
        <v>9377</v>
      </c>
      <c r="BG9" s="10">
        <v>9301</v>
      </c>
      <c r="BI9" s="10">
        <v>9156</v>
      </c>
      <c r="BK9" s="10">
        <v>14368</v>
      </c>
      <c r="BM9" s="10">
        <v>12682</v>
      </c>
      <c r="BO9" s="10">
        <v>11606</v>
      </c>
      <c r="BQ9" s="10">
        <v>12515</v>
      </c>
      <c r="BS9" s="10">
        <v>12433</v>
      </c>
      <c r="BU9" s="10">
        <v>208</v>
      </c>
      <c r="BW9" s="10">
        <v>17305</v>
      </c>
      <c r="BY9" s="10">
        <v>13088</v>
      </c>
      <c r="BZ9" s="10" t="s">
        <v>1718</v>
      </c>
    </row>
    <row r="10" spans="1:115" s="2722" customFormat="1" ht="16.5" customHeight="1" thickBot="1">
      <c r="A10" s="2721">
        <v>7</v>
      </c>
      <c r="B10" s="2722" t="s">
        <v>22</v>
      </c>
      <c r="C10" s="2723" t="s">
        <v>280</v>
      </c>
      <c r="D10" s="2724"/>
      <c r="E10" s="2725"/>
      <c r="F10" s="2726"/>
      <c r="G10" s="2727"/>
      <c r="H10" s="2727"/>
      <c r="I10" s="2727"/>
      <c r="J10" s="2727"/>
      <c r="K10" s="2727"/>
      <c r="L10" s="2727"/>
      <c r="M10" s="2727"/>
      <c r="N10" s="2727"/>
      <c r="O10" s="2727"/>
      <c r="P10" s="2727"/>
      <c r="Q10" s="2727"/>
      <c r="R10" s="2727"/>
      <c r="S10" s="2727"/>
      <c r="T10" s="2727"/>
      <c r="U10" s="2727"/>
      <c r="V10" s="2727"/>
      <c r="W10" s="2727"/>
      <c r="X10" s="2724"/>
      <c r="Y10" s="2724"/>
      <c r="Z10" s="2724"/>
      <c r="AA10" s="2724"/>
      <c r="AB10" s="2724"/>
      <c r="AC10" s="2724"/>
      <c r="AD10" s="2724"/>
      <c r="AE10" s="2724"/>
      <c r="AF10" s="2724"/>
      <c r="AG10" s="2724"/>
      <c r="AH10" s="2724"/>
      <c r="AI10" s="2724">
        <v>2011</v>
      </c>
      <c r="AJ10" s="2728"/>
      <c r="AK10" s="2729"/>
      <c r="AL10" s="2724">
        <v>2008</v>
      </c>
      <c r="AM10" s="2730">
        <f t="shared" ref="AM10" si="75">AL10/($AI10)</f>
        <v>0.99850820487319747</v>
      </c>
      <c r="AN10" s="2724">
        <v>2011</v>
      </c>
      <c r="AO10" s="2730">
        <f t="shared" ref="AO10" si="76">AN10/($AI10)</f>
        <v>1</v>
      </c>
      <c r="AP10" s="2724"/>
      <c r="AQ10" s="2730">
        <f t="shared" ref="AQ10" si="77">AP10/($AI10)</f>
        <v>0</v>
      </c>
      <c r="AR10" s="2724">
        <v>2013</v>
      </c>
      <c r="AS10" s="2730">
        <f t="shared" ref="AS10" si="78">AR10/($AI10)</f>
        <v>1.0009945300845351</v>
      </c>
      <c r="AT10" s="2724">
        <v>2020</v>
      </c>
      <c r="AU10" s="2730">
        <f t="shared" ref="AU10" si="79">AT10/($AI10)</f>
        <v>1.0044753853804078</v>
      </c>
      <c r="AV10" s="2724">
        <v>2017</v>
      </c>
      <c r="AW10" s="2730">
        <f t="shared" ref="AW10" si="80">AV10/($AI10)</f>
        <v>1.0029835902536051</v>
      </c>
      <c r="AX10" s="2724">
        <v>2019</v>
      </c>
      <c r="AY10" s="2730">
        <f t="shared" ref="AY10" si="81">AX10/($AI10)</f>
        <v>1.0039781203381402</v>
      </c>
      <c r="AZ10" s="2724">
        <v>2013</v>
      </c>
      <c r="BA10" s="2724"/>
      <c r="BB10" s="2724">
        <v>341</v>
      </c>
      <c r="BC10" s="2730">
        <f t="shared" ref="BC10" si="82">BB10/($AI10)</f>
        <v>0.16956737941322725</v>
      </c>
      <c r="BD10" s="2724">
        <v>2007</v>
      </c>
      <c r="BE10" s="2730">
        <f t="shared" ref="BE10" si="83">BD10/($AI10)</f>
        <v>0.99801093983092992</v>
      </c>
      <c r="BF10" s="2724">
        <v>2003</v>
      </c>
      <c r="BG10" s="2730">
        <f t="shared" ref="BG10" si="84">BF10/($AI10)</f>
        <v>0.99602187966185973</v>
      </c>
      <c r="BH10" s="2724">
        <v>2009</v>
      </c>
      <c r="BI10" s="2730">
        <f t="shared" ref="BI10" si="85">BH10/($AI10)</f>
        <v>0.99900546991546491</v>
      </c>
      <c r="BK10" s="2722">
        <v>2019</v>
      </c>
      <c r="BL10" s="2730">
        <f t="shared" ref="BL10" si="86">BK10/($AI10)</f>
        <v>1.0039781203381402</v>
      </c>
      <c r="BM10" s="2722">
        <v>2008</v>
      </c>
      <c r="BN10" s="2730">
        <f t="shared" ref="BN10" si="87">BM10/($AI10)</f>
        <v>0.99850820487319747</v>
      </c>
      <c r="BO10" s="2722">
        <v>2005</v>
      </c>
      <c r="BP10" s="2730">
        <f t="shared" ref="BP10" si="88">BO10/($AI10)</f>
        <v>0.99701640974639483</v>
      </c>
      <c r="BQ10" s="2722">
        <v>2012</v>
      </c>
      <c r="BR10" s="2730">
        <f t="shared" ref="BR10" si="89">BQ10/($AI10)</f>
        <v>1.0004972650422674</v>
      </c>
      <c r="BS10" s="2722">
        <v>2004</v>
      </c>
      <c r="BT10" s="2730">
        <f t="shared" ref="BT10" si="90">BS10/($AI10)</f>
        <v>0.99651914470412728</v>
      </c>
      <c r="BU10" s="2722">
        <v>2005</v>
      </c>
      <c r="BV10" s="2730">
        <f t="shared" ref="BV10" si="91">BU10/($AI10)</f>
        <v>0.99701640974639483</v>
      </c>
      <c r="BW10" s="2722">
        <v>6013</v>
      </c>
      <c r="BX10" s="2730"/>
      <c r="BY10" s="2722">
        <v>6015</v>
      </c>
      <c r="BZ10" s="2730" t="s">
        <v>1718</v>
      </c>
      <c r="CA10" s="2722">
        <v>2006</v>
      </c>
      <c r="CB10" s="2730">
        <f t="shared" ref="CB10" si="92">CA10/($AI10)</f>
        <v>0.99751367478866237</v>
      </c>
      <c r="CC10" s="2722">
        <v>2006</v>
      </c>
      <c r="CD10" s="2730">
        <f t="shared" ref="CD10" si="93">CC10/($AI10)</f>
        <v>0.99751367478866237</v>
      </c>
      <c r="CE10" s="2722">
        <v>2015</v>
      </c>
      <c r="CF10" s="2730">
        <f t="shared" ref="CF10" si="94">CE10/($AI10)</f>
        <v>1.0019890601690702</v>
      </c>
      <c r="CG10" s="2722">
        <v>2010</v>
      </c>
      <c r="CH10" s="2730">
        <f t="shared" ref="CH10" si="95">CG10/($AI10)</f>
        <v>0.99950273495773245</v>
      </c>
      <c r="CI10" s="2722">
        <v>2012</v>
      </c>
      <c r="CJ10" s="2730">
        <f t="shared" ref="CJ10" si="96">CI10/($AI10)</f>
        <v>1.0004972650422674</v>
      </c>
      <c r="CK10" s="2722">
        <v>2005</v>
      </c>
      <c r="CL10" s="2730">
        <f t="shared" ref="CL10" si="97">CK10/($AI10)</f>
        <v>0.99701640974639483</v>
      </c>
      <c r="CN10" s="2730">
        <f t="shared" ref="CN10" si="98">CM10/($AI10)</f>
        <v>0</v>
      </c>
      <c r="CO10" s="2722">
        <v>3307</v>
      </c>
      <c r="CP10" s="2730">
        <f t="shared" ref="CP10" si="99">CO10/($AI10)</f>
        <v>1.6444554947787171</v>
      </c>
      <c r="CQ10" s="2722">
        <v>9914</v>
      </c>
      <c r="CR10" s="2730">
        <f t="shared" ref="CR10" si="100">CQ10/($AI10)</f>
        <v>4.9298856290402782</v>
      </c>
      <c r="CS10" s="2722">
        <v>1695</v>
      </c>
      <c r="CU10" s="2722">
        <v>6019</v>
      </c>
      <c r="CW10" s="2722">
        <v>6046</v>
      </c>
      <c r="CY10" s="2722">
        <v>6007</v>
      </c>
      <c r="DA10" s="2722">
        <v>6007</v>
      </c>
    </row>
    <row r="11" spans="1:115" s="10" customFormat="1" ht="45" customHeight="1" thickBot="1">
      <c r="A11" s="393">
        <v>8</v>
      </c>
      <c r="B11" s="240" t="s">
        <v>573</v>
      </c>
      <c r="C11" s="187" t="str">
        <f>E11</f>
        <v>{"dossier":p.DossierName2,"expectedErrorContains":"","klientschaft":`${p.FamilyName2}, ${p.ManFirstName2}`,"Zahlungsverbindung":`${p.FamilyName2}, ${p.ManFirstName2} - ${p.IBAN2}`,"betrag":100}</v>
      </c>
      <c r="D11" s="38" t="s">
        <v>263</v>
      </c>
      <c r="E11" s="45" t="str">
        <f>F11&amp;G11&amp;H11&amp;I11&amp;J11&amp;K11&amp;L11&amp;M11&amp;N11&amp;O11&amp;P11&amp;Q11</f>
        <v>{"dossier":p.DossierName2,"expectedErrorContains":"","klientschaft":`${p.FamilyName2}, ${p.ManFirstName2}`,"Zahlungsverbindung":`${p.FamilyName2}, ${p.ManFirstName2} - ${p.IBAN2}`,"betrag":100}</v>
      </c>
      <c r="F11" s="252" t="s">
        <v>159</v>
      </c>
      <c r="G11" s="2" t="s">
        <v>513</v>
      </c>
      <c r="H11" s="2" t="s">
        <v>574</v>
      </c>
      <c r="I11" s="253"/>
      <c r="J11" s="2" t="s">
        <v>578</v>
      </c>
      <c r="K11" s="45" t="s">
        <v>518</v>
      </c>
      <c r="L11" s="2" t="s">
        <v>581</v>
      </c>
      <c r="M11" s="45" t="s">
        <v>582</v>
      </c>
      <c r="N11" s="2" t="s">
        <v>583</v>
      </c>
      <c r="O11" s="45">
        <v>100</v>
      </c>
      <c r="P11" s="2" t="s">
        <v>109</v>
      </c>
      <c r="Q11" s="2"/>
      <c r="R11" s="2"/>
      <c r="S11" s="2">
        <v>11</v>
      </c>
      <c r="T11" s="2">
        <v>376</v>
      </c>
      <c r="U11" s="156">
        <f t="shared" si="0"/>
        <v>34.18181818181818</v>
      </c>
      <c r="V11" s="2">
        <v>16219</v>
      </c>
      <c r="W11" s="156">
        <f t="shared" si="0"/>
        <v>1474.4545454545455</v>
      </c>
      <c r="X11" s="2">
        <v>15886</v>
      </c>
      <c r="Y11" s="156">
        <f t="shared" si="0"/>
        <v>1444.1818181818182</v>
      </c>
      <c r="Z11" s="2">
        <v>15736</v>
      </c>
      <c r="AA11" s="156">
        <f t="shared" si="0"/>
        <v>1430.5454545454545</v>
      </c>
      <c r="AB11" s="2">
        <v>9137</v>
      </c>
      <c r="AC11" s="156">
        <f t="shared" si="0"/>
        <v>830.63636363636363</v>
      </c>
      <c r="AD11" s="2">
        <v>7922</v>
      </c>
      <c r="AE11" s="156">
        <f t="shared" si="0"/>
        <v>720.18181818181813</v>
      </c>
      <c r="AF11" s="2">
        <v>9735</v>
      </c>
      <c r="AG11" s="156">
        <f>AF11/($W11)</f>
        <v>6.6024415808619521</v>
      </c>
      <c r="AH11" s="2">
        <v>9864</v>
      </c>
      <c r="AI11" s="2"/>
      <c r="AJ11" s="2">
        <v>10667</v>
      </c>
      <c r="AK11" s="2"/>
      <c r="AM11" s="10">
        <v>12126</v>
      </c>
      <c r="AO11" s="10">
        <v>12018</v>
      </c>
      <c r="AQ11" s="10">
        <v>11548</v>
      </c>
      <c r="AS11" s="10">
        <v>11849</v>
      </c>
      <c r="AU11" s="10">
        <v>10824</v>
      </c>
      <c r="AW11" s="10">
        <v>8631</v>
      </c>
      <c r="AY11" s="10">
        <v>7944</v>
      </c>
      <c r="BA11" s="10">
        <v>8471</v>
      </c>
      <c r="BC11" s="10">
        <v>290</v>
      </c>
      <c r="BE11" s="2065">
        <v>0</v>
      </c>
      <c r="BF11" s="2066" t="s">
        <v>1431</v>
      </c>
      <c r="BG11" s="2255">
        <v>0</v>
      </c>
      <c r="BH11" s="2256" t="s">
        <v>1431</v>
      </c>
      <c r="BI11" s="2420">
        <v>0</v>
      </c>
      <c r="BJ11" s="2421" t="s">
        <v>1431</v>
      </c>
      <c r="BK11" s="10">
        <v>12800</v>
      </c>
      <c r="BM11" s="10">
        <v>22235</v>
      </c>
      <c r="BO11" s="10">
        <v>21327</v>
      </c>
      <c r="BQ11" s="10">
        <v>24773</v>
      </c>
      <c r="BS11" s="10">
        <v>24940</v>
      </c>
      <c r="BW11" s="10">
        <v>14239</v>
      </c>
      <c r="BY11" s="10">
        <v>16971</v>
      </c>
      <c r="BZ11" s="10" t="s">
        <v>1718</v>
      </c>
    </row>
    <row r="12" spans="1:115">
      <c r="BK12" s="2">
        <f>SUM(BK2:BK11)</f>
        <v>47434.226097583902</v>
      </c>
    </row>
    <row r="13" spans="1:115" ht="14.25" customHeight="1">
      <c r="C13" s="2" t="s">
        <v>584</v>
      </c>
    </row>
    <row r="14" spans="1:115"/>
    <row r="15" spans="1:115"/>
    <row r="16" spans="1:115"/>
    <row r="17" spans="3:3" ht="14.25" customHeight="1">
      <c r="C17" t="s">
        <v>575</v>
      </c>
    </row>
    <row r="18" spans="3:3" ht="14.25" customHeight="1">
      <c r="C18" s="2" t="s">
        <v>575</v>
      </c>
    </row>
    <row r="19" spans="3:3"/>
    <row r="20" spans="3:3"/>
    <row r="21" spans="3:3" ht="14.25" customHeight="1">
      <c r="C21" s="2" t="s">
        <v>1559</v>
      </c>
    </row>
  </sheetData>
  <conditionalFormatting sqref="U2:U3 W2:W3 Y2:Y3 AA2:AA3 AC2:AC3 AE2:AE3 AG2:AG3 AG6 AE6 AC6 AA6 Y6 W6 U6 U9 W9 Y9 AA9 AC9 AE9 AG9 AG11:AG151 AE11:AE151 AC11:AC151 AA11:AA151 Y11:Y151 W11:W151 U11:U151">
    <cfRule type="colorScale" priority="13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4">
    <cfRule type="colorScale" priority="6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8">
    <cfRule type="colorScale" priority="3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4">
    <cfRule type="colorScale" priority="6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5 AO5 AQ5 AS5 AU5 AW5 AY5 BC5 BE5">
    <cfRule type="colorScale" priority="13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7 AO7 AQ7 AS7 AU7 AW7 AY7 BC7 BE7">
    <cfRule type="colorScale" priority="1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8">
    <cfRule type="colorScale" priority="3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10 AO10 AQ10 AS10 AU10 AW10 AY10 BC10 BE10">
    <cfRule type="colorScale" priority="9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O4">
    <cfRule type="colorScale" priority="6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O8">
    <cfRule type="colorScale" priority="3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Q4">
    <cfRule type="colorScale" priority="7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Q8">
    <cfRule type="colorScale" priority="3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S4">
    <cfRule type="colorScale" priority="6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S8">
    <cfRule type="colorScale" priority="3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U4">
    <cfRule type="colorScale" priority="6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U8">
    <cfRule type="colorScale" priority="3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W4">
    <cfRule type="colorScale" priority="6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W8">
    <cfRule type="colorScale" priority="2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Y4">
    <cfRule type="colorScale" priority="6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Y8">
    <cfRule type="colorScale" priority="2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4">
    <cfRule type="colorScale" priority="6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8">
    <cfRule type="colorScale" priority="2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4">
    <cfRule type="colorScale" priority="6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8">
    <cfRule type="colorScale" priority="2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4">
    <cfRule type="colorScale" priority="6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8">
    <cfRule type="colorScale" priority="2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4">
    <cfRule type="colorScale" priority="5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5">
    <cfRule type="colorScale" priority="12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7">
    <cfRule type="colorScale" priority="10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8">
    <cfRule type="colorScale" priority="2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10">
    <cfRule type="colorScale" priority="8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4">
    <cfRule type="colorScale" priority="5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5">
    <cfRule type="colorScale" priority="12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7">
    <cfRule type="colorScale" priority="10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8">
    <cfRule type="colorScale" priority="2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10">
    <cfRule type="colorScale" priority="8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K4">
    <cfRule type="colorScale" priority="5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K8">
    <cfRule type="colorScale" priority="2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5">
    <cfRule type="colorScale" priority="12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7">
    <cfRule type="colorScale" priority="10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10">
    <cfRule type="colorScale" priority="8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4">
    <cfRule type="colorScale" priority="5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5">
    <cfRule type="colorScale" priority="12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7">
    <cfRule type="colorScale" priority="10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8">
    <cfRule type="colorScale" priority="2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10">
    <cfRule type="colorScale" priority="8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4">
    <cfRule type="colorScale" priority="5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5">
    <cfRule type="colorScale" priority="12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7">
    <cfRule type="colorScale" priority="10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8">
    <cfRule type="colorScale" priority="2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10">
    <cfRule type="colorScale" priority="8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4">
    <cfRule type="colorScale" priority="5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5">
    <cfRule type="colorScale" priority="12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7">
    <cfRule type="colorScale" priority="10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8">
    <cfRule type="colorScale" priority="1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10">
    <cfRule type="colorScale" priority="8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4">
    <cfRule type="colorScale" priority="5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5">
    <cfRule type="colorScale" priority="12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7">
    <cfRule type="colorScale" priority="10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8">
    <cfRule type="colorScale" priority="1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10">
    <cfRule type="colorScale" priority="8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4">
    <cfRule type="colorScale" priority="5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5">
    <cfRule type="colorScale" priority="12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7">
    <cfRule type="colorScale" priority="10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8">
    <cfRule type="colorScale" priority="1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10">
    <cfRule type="colorScale" priority="8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4">
    <cfRule type="colorScale" priority="5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5">
    <cfRule type="colorScale" priority="12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7">
    <cfRule type="colorScale" priority="10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8">
    <cfRule type="colorScale" priority="1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10">
    <cfRule type="colorScale" priority="8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4">
    <cfRule type="colorScale" priority="5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5">
    <cfRule type="colorScale" priority="12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7">
    <cfRule type="colorScale" priority="10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8">
    <cfRule type="colorScale" priority="1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10">
    <cfRule type="colorScale" priority="8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4">
    <cfRule type="colorScale" priority="4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5">
    <cfRule type="colorScale" priority="11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7">
    <cfRule type="colorScale" priority="9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8">
    <cfRule type="colorScale" priority="1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10">
    <cfRule type="colorScale" priority="7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4">
    <cfRule type="colorScale" priority="4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5">
    <cfRule type="colorScale" priority="11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7">
    <cfRule type="colorScale" priority="9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8">
    <cfRule type="colorScale" priority="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10">
    <cfRule type="colorScale" priority="7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4">
    <cfRule type="colorScale" priority="4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5">
    <cfRule type="colorScale" priority="11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7">
    <cfRule type="colorScale" priority="9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8">
    <cfRule type="colorScale" priority="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10">
    <cfRule type="colorScale" priority="7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4">
    <cfRule type="colorScale" priority="4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5">
    <cfRule type="colorScale" priority="11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7">
    <cfRule type="colorScale" priority="9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8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10">
    <cfRule type="colorScale" priority="7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4">
    <cfRule type="colorScale" priority="4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5">
    <cfRule type="colorScale" priority="11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7">
    <cfRule type="colorScale" priority="9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8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10">
    <cfRule type="colorScale" priority="7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4">
    <cfRule type="colorScale" priority="4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5">
    <cfRule type="colorScale" priority="11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7">
    <cfRule type="colorScale" priority="9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8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10">
    <cfRule type="colorScale" priority="7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4">
    <cfRule type="colorScale" priority="4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5">
    <cfRule type="colorScale" priority="1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7">
    <cfRule type="colorScale" priority="9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8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10">
    <cfRule type="colorScale" priority="7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4">
    <cfRule type="colorScale" priority="4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5">
    <cfRule type="colorScale" priority="1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7">
    <cfRule type="colorScale" priority="9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8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10">
    <cfRule type="colorScale" priority="7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4">
    <cfRule type="colorScale" priority="4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5">
    <cfRule type="colorScale" priority="1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7">
    <cfRule type="colorScale" priority="9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8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10">
    <cfRule type="colorScale" priority="7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T4">
    <cfRule type="colorScale" priority="4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T8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V4">
    <cfRule type="colorScale" priority="3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V8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X4">
    <cfRule type="colorScale" priority="3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X8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Z4">
    <cfRule type="colorScale" priority="3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Z8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DB4">
    <cfRule type="colorScale" priority="3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DB8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84F2-3DF7-40E6-AA20-863CD0B5A417}">
  <sheetPr>
    <tabColor theme="0" tint="-0.34998626667073579"/>
  </sheetPr>
  <dimension ref="A1:BZ8"/>
  <sheetViews>
    <sheetView zoomScale="85" zoomScaleNormal="85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B4" sqref="B4"/>
    </sheetView>
  </sheetViews>
  <sheetFormatPr defaultColWidth="9.140625" defaultRowHeight="14.25" customHeight="1"/>
  <cols>
    <col min="1" max="1" width="4.85546875" style="1" customWidth="1"/>
    <col min="2" max="2" width="33.140625" style="2" customWidth="1"/>
    <col min="3" max="3" width="95.710937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9" width="36.7109375" style="2" customWidth="1"/>
    <col min="10" max="10" width="10.140625" style="2" customWidth="1"/>
    <col min="11" max="11" width="36.5703125" style="2" customWidth="1"/>
    <col min="12" max="12" width="9.140625" style="2" customWidth="1"/>
    <col min="13" max="13" width="20.7109375" style="2" customWidth="1"/>
    <col min="14" max="14" width="40.28515625" style="2" customWidth="1"/>
    <col min="15" max="15" width="48.28515625" style="2" customWidth="1"/>
    <col min="16" max="16" width="13.5703125" style="2" customWidth="1"/>
    <col min="17" max="17" width="24.5703125" style="2" customWidth="1"/>
    <col min="18" max="18" width="9.140625" style="2" customWidth="1"/>
    <col min="19" max="20" width="9.85546875" style="2" customWidth="1"/>
    <col min="21" max="21" width="9.85546875" style="12" customWidth="1"/>
    <col min="22" max="22" width="9.85546875" style="2" customWidth="1"/>
    <col min="23" max="23" width="9.85546875" style="12" customWidth="1"/>
    <col min="24" max="24" width="9.85546875" style="2" customWidth="1"/>
    <col min="25" max="25" width="9.85546875" style="12" customWidth="1"/>
    <col min="26" max="26" width="10.140625" style="2" customWidth="1"/>
    <col min="27" max="27" width="9.85546875" style="12" customWidth="1"/>
    <col min="28" max="28" width="12" style="2" customWidth="1"/>
    <col min="29" max="29" width="9.85546875" style="12" customWidth="1"/>
    <col min="30" max="30" width="11.5703125" style="2" customWidth="1"/>
    <col min="31" max="31" width="9.85546875" style="12" customWidth="1"/>
    <col min="32" max="32" width="30" style="2" customWidth="1"/>
    <col min="33" max="33" width="9.85546875" style="12" customWidth="1"/>
    <col min="34" max="34" width="30" style="2" customWidth="1"/>
    <col min="35" max="35" width="50" style="2" customWidth="1"/>
    <col min="36" max="36" width="30" style="2" customWidth="1"/>
    <col min="37" max="37" width="50" style="2" customWidth="1"/>
    <col min="38" max="38" width="9.140625" style="2" customWidth="1"/>
    <col min="39" max="39" width="20" style="2" customWidth="1"/>
    <col min="40" max="40" width="50" style="2" customWidth="1"/>
    <col min="41" max="41" width="20" style="2" customWidth="1"/>
    <col min="42" max="42" width="50" style="2" customWidth="1"/>
    <col min="43" max="43" width="20" style="2" customWidth="1"/>
    <col min="44" max="44" width="50" style="2" customWidth="1"/>
    <col min="45" max="45" width="20" style="2" customWidth="1"/>
    <col min="46" max="46" width="50" style="2" customWidth="1"/>
    <col min="47" max="47" width="20" style="2" customWidth="1"/>
    <col min="48" max="48" width="50" style="2" customWidth="1"/>
    <col min="49" max="49" width="20" style="2" customWidth="1"/>
    <col min="50" max="50" width="50" style="2" customWidth="1"/>
    <col min="51" max="51" width="20" style="2" customWidth="1"/>
    <col min="52" max="52" width="50" style="2" customWidth="1"/>
    <col min="53" max="53" width="20" style="2" customWidth="1"/>
    <col min="54" max="54" width="50" style="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16384" width="9.140625" style="2"/>
  </cols>
  <sheetData>
    <row r="1" spans="1:78" s="4" customFormat="1" ht="27" customHeight="1">
      <c r="A1" s="39" t="s">
        <v>0</v>
      </c>
      <c r="B1" s="39" t="s">
        <v>1</v>
      </c>
      <c r="C1" s="39" t="s">
        <v>2</v>
      </c>
      <c r="D1" s="39" t="s">
        <v>3</v>
      </c>
      <c r="E1" s="40"/>
      <c r="F1" s="4" t="s">
        <v>4</v>
      </c>
      <c r="G1" s="2558">
        <f>4*60*1000*SpeedFaktor</f>
        <v>240000</v>
      </c>
      <c r="H1" s="4">
        <v>10</v>
      </c>
      <c r="R1" s="12" t="s">
        <v>5</v>
      </c>
      <c r="S1" s="4" t="s">
        <v>324</v>
      </c>
      <c r="T1" s="4" t="s">
        <v>10</v>
      </c>
      <c r="U1" s="43" t="s">
        <v>8</v>
      </c>
      <c r="V1" s="4" t="s">
        <v>11</v>
      </c>
      <c r="W1" s="43" t="s">
        <v>8</v>
      </c>
      <c r="X1" s="4" t="s">
        <v>12</v>
      </c>
      <c r="Y1" s="43" t="s">
        <v>8</v>
      </c>
      <c r="Z1" s="4" t="s">
        <v>13</v>
      </c>
      <c r="AA1" s="43" t="s">
        <v>8</v>
      </c>
      <c r="AB1" s="4" t="s">
        <v>65</v>
      </c>
      <c r="AC1" s="43" t="s">
        <v>8</v>
      </c>
      <c r="AD1" s="4" t="s">
        <v>15</v>
      </c>
      <c r="AE1" s="43" t="s">
        <v>8</v>
      </c>
      <c r="AF1" s="4" t="s">
        <v>17</v>
      </c>
      <c r="AG1" s="43" t="s">
        <v>8</v>
      </c>
      <c r="AH1" s="4" t="s">
        <v>1285</v>
      </c>
      <c r="AI1" s="4" t="s">
        <v>19</v>
      </c>
      <c r="AJ1" s="4" t="s">
        <v>1286</v>
      </c>
      <c r="AK1" s="4" t="s">
        <v>20</v>
      </c>
      <c r="AM1" s="1403" t="s">
        <v>1311</v>
      </c>
      <c r="AN1" s="1404" t="s">
        <v>572</v>
      </c>
      <c r="AO1" s="1405" t="s">
        <v>1318</v>
      </c>
      <c r="AP1" s="1406" t="s">
        <v>572</v>
      </c>
      <c r="AQ1" s="1407" t="s">
        <v>1322</v>
      </c>
      <c r="AR1" s="1408" t="s">
        <v>572</v>
      </c>
      <c r="AS1" s="1409" t="s">
        <v>1324</v>
      </c>
      <c r="AT1" s="1410" t="s">
        <v>572</v>
      </c>
      <c r="AU1" s="1411" t="s">
        <v>1341</v>
      </c>
      <c r="AV1" s="1412" t="s">
        <v>572</v>
      </c>
      <c r="AW1" s="1516" t="s">
        <v>1363</v>
      </c>
      <c r="AX1" s="1517" t="s">
        <v>572</v>
      </c>
      <c r="AY1" s="1662" t="s">
        <v>1368</v>
      </c>
      <c r="AZ1" s="1663" t="s">
        <v>572</v>
      </c>
      <c r="BA1" s="1803" t="s">
        <v>1371</v>
      </c>
      <c r="BB1" s="1804" t="s">
        <v>572</v>
      </c>
      <c r="BC1" s="1961" t="s">
        <v>1375</v>
      </c>
      <c r="BD1" s="1962" t="s">
        <v>572</v>
      </c>
      <c r="BE1" s="2063" t="s">
        <v>1397</v>
      </c>
      <c r="BF1" s="2064" t="s">
        <v>572</v>
      </c>
      <c r="BG1" s="2253" t="s">
        <v>1421</v>
      </c>
      <c r="BH1" s="2254" t="s">
        <v>572</v>
      </c>
      <c r="BI1" s="2418" t="s">
        <v>1430</v>
      </c>
      <c r="BJ1" s="2419" t="s">
        <v>572</v>
      </c>
      <c r="BK1" s="2581" t="s">
        <v>1442</v>
      </c>
      <c r="BL1" s="2582" t="s">
        <v>572</v>
      </c>
      <c r="BM1" s="2768" t="s">
        <v>1460</v>
      </c>
      <c r="BN1" s="2769" t="s">
        <v>572</v>
      </c>
      <c r="BO1" s="2944" t="s">
        <v>1472</v>
      </c>
      <c r="BP1" s="2945" t="s">
        <v>572</v>
      </c>
      <c r="BQ1" s="3136" t="s">
        <v>1492</v>
      </c>
      <c r="BR1" s="3137" t="s">
        <v>572</v>
      </c>
      <c r="BS1" s="3314" t="s">
        <v>1503</v>
      </c>
      <c r="BT1" s="3315" t="s">
        <v>572</v>
      </c>
      <c r="BU1" s="3490" t="s">
        <v>1519</v>
      </c>
      <c r="BV1" s="3491" t="s">
        <v>572</v>
      </c>
      <c r="BW1" s="3778" t="s">
        <v>1666</v>
      </c>
      <c r="BX1" s="3779" t="s">
        <v>572</v>
      </c>
      <c r="BY1" s="4003" t="s">
        <v>1717</v>
      </c>
      <c r="BZ1" s="4004" t="s">
        <v>572</v>
      </c>
    </row>
    <row r="2" spans="1:78" s="10" customFormat="1" ht="14.25" customHeight="1">
      <c r="A2" s="678">
        <v>1</v>
      </c>
      <c r="B2" s="122" t="s">
        <v>21</v>
      </c>
      <c r="C2" s="120" t="s">
        <v>231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>
        <v>1482</v>
      </c>
      <c r="T2" s="2">
        <v>1983</v>
      </c>
      <c r="U2" s="156">
        <f>T2/($S2)</f>
        <v>1.3380566801619433</v>
      </c>
      <c r="V2" s="2">
        <v>1651</v>
      </c>
      <c r="W2" s="156">
        <f>V2/($S2)</f>
        <v>1.1140350877192982</v>
      </c>
      <c r="X2" s="2">
        <v>1313</v>
      </c>
      <c r="Y2" s="156">
        <f>X2/($S2)</f>
        <v>0.88596491228070173</v>
      </c>
      <c r="Z2" s="2">
        <v>1272</v>
      </c>
      <c r="AA2" s="156">
        <f>Z2/($S2)</f>
        <v>0.8582995951417004</v>
      </c>
      <c r="AB2" s="2">
        <v>2054</v>
      </c>
      <c r="AC2" s="156">
        <f>AB2/($S2)</f>
        <v>1.3859649122807018</v>
      </c>
      <c r="AD2" s="2">
        <v>1306</v>
      </c>
      <c r="AE2" s="156">
        <f>AD2/($S2)</f>
        <v>0.88124156545209176</v>
      </c>
      <c r="AF2" s="2">
        <v>1183</v>
      </c>
      <c r="AG2" s="156">
        <f>AF2/($S2)</f>
        <v>0.79824561403508776</v>
      </c>
      <c r="AH2" s="2">
        <v>1455</v>
      </c>
      <c r="AI2" s="2"/>
      <c r="AJ2" s="2">
        <v>591</v>
      </c>
      <c r="AK2" s="2"/>
      <c r="AM2" s="10">
        <v>1354</v>
      </c>
      <c r="AO2" s="10">
        <v>1416</v>
      </c>
      <c r="AQ2" s="10">
        <v>1260</v>
      </c>
      <c r="AS2" s="10">
        <v>1230</v>
      </c>
      <c r="AU2" s="10">
        <v>1177</v>
      </c>
      <c r="AW2" s="10">
        <v>1226</v>
      </c>
      <c r="AY2" s="10">
        <v>1203</v>
      </c>
      <c r="BA2" s="10">
        <v>1135</v>
      </c>
      <c r="BC2" s="10">
        <v>1736</v>
      </c>
      <c r="BE2" s="10">
        <v>1483</v>
      </c>
      <c r="BG2" s="10">
        <v>1670</v>
      </c>
      <c r="BI2" s="10">
        <v>1677</v>
      </c>
      <c r="BK2" s="10">
        <v>1175</v>
      </c>
      <c r="BM2" s="10">
        <v>1122</v>
      </c>
      <c r="BO2" s="10">
        <v>1493</v>
      </c>
      <c r="BQ2" s="10">
        <v>1169</v>
      </c>
      <c r="BS2" s="10">
        <v>1180</v>
      </c>
      <c r="BU2" s="10">
        <v>1231</v>
      </c>
      <c r="BW2" s="10">
        <v>900</v>
      </c>
      <c r="BY2" s="10">
        <v>1327</v>
      </c>
      <c r="BZ2" s="10" t="s">
        <v>1718</v>
      </c>
    </row>
    <row r="3" spans="1:78" s="10" customFormat="1" ht="15.75" customHeight="1" thickBot="1">
      <c r="A3" s="119">
        <v>2</v>
      </c>
      <c r="B3" s="122" t="s">
        <v>25</v>
      </c>
      <c r="C3" s="121" t="str">
        <f>E3</f>
        <v>{"username":"bern.sozialarbeiterin1a@diartis.ch","password":"SMze97-jkSJ59!F.","fullname":"Sozialarbeiterin 1A Bern","team":"Sozialarbeit Bern 1"}</v>
      </c>
      <c r="D3" s="13"/>
      <c r="E3" s="45" t="str">
        <f>F3&amp;G3&amp;H3&amp;I3&amp;J3&amp;K3&amp;L3&amp;M3&amp;N3&amp;O3&amp;P3&amp;Q3</f>
        <v>{"username":"bern.sozialarbeiterin1a@diartis.ch","password":"SMze97-jkSJ59!F.","fullname":"Sozialarbeiterin 1A Bern","team":"Sozialarbeit Bern 1"}</v>
      </c>
      <c r="F3" s="152" t="s">
        <v>29</v>
      </c>
      <c r="G3" s="13" t="s">
        <v>71</v>
      </c>
      <c r="H3" s="152" t="s">
        <v>31</v>
      </c>
      <c r="I3" s="13" t="s">
        <v>72</v>
      </c>
      <c r="J3" s="152" t="s">
        <v>73</v>
      </c>
      <c r="K3" s="13" t="s">
        <v>74</v>
      </c>
      <c r="L3" s="152" t="s">
        <v>75</v>
      </c>
      <c r="M3" s="13" t="s">
        <v>76</v>
      </c>
      <c r="N3" s="152" t="s">
        <v>37</v>
      </c>
      <c r="O3" s="13"/>
      <c r="P3" s="152"/>
      <c r="Q3" s="13"/>
      <c r="R3" s="13"/>
      <c r="S3" s="13">
        <v>9446</v>
      </c>
      <c r="T3" s="13">
        <v>11658</v>
      </c>
      <c r="U3" s="156">
        <f t="shared" ref="U3:AG4" si="0">T3/($S3)</f>
        <v>1.234173195003176</v>
      </c>
      <c r="V3" s="13">
        <v>9987</v>
      </c>
      <c r="W3" s="156">
        <f t="shared" si="0"/>
        <v>1.0572729197543933</v>
      </c>
      <c r="X3" s="13">
        <v>8577</v>
      </c>
      <c r="Y3" s="156">
        <f t="shared" si="0"/>
        <v>0.90800338767732369</v>
      </c>
      <c r="Z3" s="13">
        <v>9218</v>
      </c>
      <c r="AA3" s="156">
        <f t="shared" si="0"/>
        <v>0.97586279906838869</v>
      </c>
      <c r="AB3" s="13">
        <v>10824</v>
      </c>
      <c r="AC3" s="156">
        <f t="shared" si="0"/>
        <v>1.1458818547533347</v>
      </c>
      <c r="AD3" s="2">
        <v>8910</v>
      </c>
      <c r="AE3" s="156">
        <f t="shared" si="0"/>
        <v>0.94325640482744022</v>
      </c>
      <c r="AF3" s="2">
        <v>7474</v>
      </c>
      <c r="AG3" s="156">
        <f t="shared" si="0"/>
        <v>0.79123438492483589</v>
      </c>
      <c r="AH3" s="2">
        <v>8150</v>
      </c>
      <c r="AI3" s="2"/>
      <c r="AJ3" s="2">
        <v>5014</v>
      </c>
      <c r="AK3" s="2"/>
      <c r="AM3" s="10">
        <v>7676</v>
      </c>
      <c r="AO3" s="10">
        <v>7415</v>
      </c>
      <c r="AQ3" s="10">
        <v>7488</v>
      </c>
      <c r="AS3" s="10">
        <v>7284</v>
      </c>
      <c r="AU3" s="10">
        <v>6769</v>
      </c>
      <c r="AW3" s="10">
        <v>6967</v>
      </c>
      <c r="AY3" s="10">
        <v>7620</v>
      </c>
      <c r="BA3" s="10">
        <v>7294</v>
      </c>
      <c r="BC3" s="10">
        <v>7841</v>
      </c>
      <c r="BE3" s="10">
        <v>6501</v>
      </c>
      <c r="BG3" s="10">
        <v>8044</v>
      </c>
      <c r="BI3" s="10">
        <v>7043</v>
      </c>
      <c r="BK3" s="10">
        <v>6934</v>
      </c>
      <c r="BM3" s="10">
        <v>8694</v>
      </c>
      <c r="BO3" s="10">
        <v>8043</v>
      </c>
      <c r="BQ3" s="10">
        <v>9364</v>
      </c>
      <c r="BS3" s="10">
        <v>9304</v>
      </c>
      <c r="BU3" s="10">
        <v>8803</v>
      </c>
      <c r="BW3" s="10">
        <v>7294</v>
      </c>
      <c r="BY3" s="10">
        <v>8080</v>
      </c>
      <c r="BZ3" s="10" t="s">
        <v>1718</v>
      </c>
    </row>
    <row r="4" spans="1:78" s="10" customFormat="1" ht="31.5" customHeight="1" thickBot="1">
      <c r="A4" s="393">
        <v>4</v>
      </c>
      <c r="B4" s="3730" t="s">
        <v>1650</v>
      </c>
      <c r="C4" s="187" t="str">
        <f ca="1">E4</f>
        <v>{"dossier":p.DossierName2,"zahlungsArt":"Elektronisch","buchungsDatum":"04.11.2025","Zahlungsverbindung":""}</v>
      </c>
      <c r="D4" s="38" t="s">
        <v>263</v>
      </c>
      <c r="E4" s="45" t="str">
        <f ca="1">F4&amp;G4&amp;H4&amp;I4&amp;J4&amp;K4&amp;L4&amp;M4&amp;N4&amp;O4&amp;P4&amp;Q4</f>
        <v>{"dossier":p.DossierName2,"zahlungsArt":"Elektronisch","buchungsDatum":"04.11.2025","Zahlungsverbindung":""}</v>
      </c>
      <c r="F4" s="252" t="s">
        <v>159</v>
      </c>
      <c r="G4" s="2" t="s">
        <v>513</v>
      </c>
      <c r="H4" s="2" t="s">
        <v>1652</v>
      </c>
      <c r="I4" t="s">
        <v>1653</v>
      </c>
      <c r="J4" s="2" t="s">
        <v>1654</v>
      </c>
      <c r="K4" s="2" t="str">
        <f ca="1">TEXT(TEXT(TODAY(),"DD")&amp;"."&amp;TEXT(TODAY(),"MM")&amp;"."&amp;TEXT(TODAY(),"YYYY"),"DD.MM.YYYY")</f>
        <v>04.11.2025</v>
      </c>
      <c r="L4" s="2" t="s">
        <v>577</v>
      </c>
      <c r="M4" s="253"/>
      <c r="N4" s="2" t="s">
        <v>37</v>
      </c>
      <c r="O4" s="45"/>
      <c r="P4" s="2"/>
      <c r="Q4" s="2"/>
      <c r="R4" s="2"/>
      <c r="S4" s="2">
        <v>11111</v>
      </c>
      <c r="T4" s="2">
        <v>12653</v>
      </c>
      <c r="U4" s="156">
        <f t="shared" si="0"/>
        <v>1.1387813878138782</v>
      </c>
      <c r="V4" s="2">
        <v>11931</v>
      </c>
      <c r="W4" s="156">
        <f t="shared" si="0"/>
        <v>1.0738007380073802</v>
      </c>
      <c r="X4" s="2">
        <v>11747</v>
      </c>
      <c r="Y4" s="156">
        <f t="shared" si="0"/>
        <v>1.0572405724057241</v>
      </c>
      <c r="Z4" s="2">
        <v>11518</v>
      </c>
      <c r="AA4" s="156">
        <f t="shared" si="0"/>
        <v>1.0366303663036631</v>
      </c>
      <c r="AB4" s="2">
        <v>6737</v>
      </c>
      <c r="AC4" s="156">
        <f t="shared" si="0"/>
        <v>0.60633606336063361</v>
      </c>
      <c r="AD4" s="2">
        <v>6750</v>
      </c>
      <c r="AE4" s="156">
        <f t="shared" si="0"/>
        <v>0.60750607506075061</v>
      </c>
      <c r="AF4" s="2">
        <v>6375</v>
      </c>
      <c r="AG4" s="156">
        <f t="shared" si="0"/>
        <v>0.57375573755737552</v>
      </c>
      <c r="AH4" s="2">
        <v>6447</v>
      </c>
      <c r="AI4" s="2"/>
      <c r="AJ4" s="2">
        <v>6748</v>
      </c>
      <c r="AK4" s="2"/>
      <c r="AM4" s="10">
        <v>7050</v>
      </c>
      <c r="AO4" s="10">
        <v>6666</v>
      </c>
      <c r="AQ4" s="10">
        <v>6870</v>
      </c>
      <c r="AS4" s="10">
        <v>6838</v>
      </c>
      <c r="AU4" s="10">
        <v>6778</v>
      </c>
      <c r="AW4" s="10">
        <v>5021</v>
      </c>
      <c r="AY4" s="10">
        <v>4760</v>
      </c>
      <c r="BA4" s="10">
        <v>4038</v>
      </c>
      <c r="BC4" s="10">
        <v>5852</v>
      </c>
      <c r="BE4" s="10">
        <v>7182</v>
      </c>
      <c r="BG4" s="10">
        <v>6506</v>
      </c>
      <c r="BI4" s="10">
        <v>7716</v>
      </c>
      <c r="BK4" s="10">
        <v>6099</v>
      </c>
      <c r="BM4" s="10">
        <v>6500</v>
      </c>
      <c r="BO4" s="10">
        <v>7136</v>
      </c>
      <c r="BQ4" s="10">
        <v>6353</v>
      </c>
      <c r="BS4" s="10">
        <v>6925</v>
      </c>
      <c r="BU4" s="3492">
        <v>0</v>
      </c>
      <c r="BV4" s="3493" t="s">
        <v>1528</v>
      </c>
    </row>
    <row r="5" spans="1:78"/>
    <row r="6" spans="1:78"/>
    <row r="7" spans="1:78" ht="14.25" customHeight="1" thickBot="1"/>
    <row r="8" spans="1:78" ht="14.25" customHeight="1" thickBot="1">
      <c r="B8" s="3730" t="s">
        <v>1650</v>
      </c>
      <c r="C8" s="3731" t="s">
        <v>1651</v>
      </c>
    </row>
  </sheetData>
  <conditionalFormatting sqref="AG2:AG134 AE2:AE134 AC2:AC134 AA2:AA134 Y2:Y134 W2:W134 U2:U134">
    <cfRule type="colorScale" priority="13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1E7D-0DF2-4B9D-A7DD-FE7698E6239B}">
  <sheetPr>
    <tabColor rgb="FF92D050"/>
  </sheetPr>
  <dimension ref="A1:CP91"/>
  <sheetViews>
    <sheetView zoomScale="70" zoomScaleNormal="70" workbookViewId="0">
      <selection activeCell="C21" sqref="C21"/>
    </sheetView>
  </sheetViews>
  <sheetFormatPr defaultColWidth="9.140625" defaultRowHeight="14.25" customHeight="1"/>
  <cols>
    <col min="1" max="1" width="6.5703125" style="483" customWidth="1"/>
    <col min="2" max="2" width="53.140625" style="484" customWidth="1"/>
    <col min="3" max="3" width="171.85546875" style="486" customWidth="1"/>
    <col min="4" max="4" width="14.85546875" style="486" customWidth="1"/>
    <col min="5" max="5" width="9.7109375" style="486" customWidth="1"/>
    <col min="6" max="6" width="10" style="485" customWidth="1"/>
    <col min="7" max="7" width="31.5703125" style="486" customWidth="1"/>
    <col min="8" max="8" width="32.140625" style="485" customWidth="1"/>
    <col min="9" max="9" width="39.28515625" style="486" customWidth="1"/>
    <col min="10" max="10" width="28.140625" style="485" customWidth="1"/>
    <col min="11" max="11" width="18.7109375" style="486" customWidth="1"/>
    <col min="12" max="12" width="10" style="485" customWidth="1"/>
    <col min="13" max="13" width="10" style="486" customWidth="1"/>
    <col min="14" max="14" width="8.140625" style="485" customWidth="1"/>
    <col min="15" max="15" width="20" style="486" customWidth="1"/>
    <col min="16" max="16" width="8.7109375" style="485" customWidth="1"/>
    <col min="17" max="17" width="8.7109375" style="486" customWidth="1"/>
    <col min="18" max="18" width="8.7109375" style="485" customWidth="1"/>
    <col min="19" max="19" width="8.7109375" style="486" customWidth="1"/>
    <col min="20" max="20" width="8.7109375" style="485" customWidth="1"/>
    <col min="21" max="21" width="8.7109375" style="486" customWidth="1"/>
    <col min="22" max="22" width="9.140625" style="485" customWidth="1"/>
    <col min="23" max="24" width="9.140625" style="486" customWidth="1"/>
    <col min="25" max="25" width="19.28515625" style="486" customWidth="1"/>
    <col min="26" max="31" width="12" style="486" customWidth="1"/>
    <col min="32" max="32" width="13.85546875" style="486" customWidth="1"/>
    <col min="33" max="33" width="20" style="486" customWidth="1"/>
    <col min="34" max="34" width="9.85546875" style="12" customWidth="1"/>
    <col min="35" max="35" width="20" style="486" customWidth="1"/>
    <col min="36" max="36" width="9.85546875" style="12" customWidth="1"/>
    <col min="37" max="37" width="20" style="486" customWidth="1"/>
    <col min="38" max="38" width="9.85546875" style="12" customWidth="1"/>
    <col min="39" max="39" width="20" style="486" customWidth="1"/>
    <col min="40" max="40" width="9.85546875" style="12" customWidth="1"/>
    <col min="41" max="41" width="20" style="486" customWidth="1"/>
    <col min="42" max="42" width="9.85546875" style="12" customWidth="1"/>
    <col min="43" max="43" width="20" style="486" customWidth="1"/>
    <col min="44" max="44" width="9.85546875" style="12" customWidth="1"/>
    <col min="45" max="45" width="20" style="486" customWidth="1"/>
    <col min="46" max="46" width="8.85546875" style="12" customWidth="1"/>
    <col min="47" max="47" width="8.85546875" style="1226" customWidth="1"/>
    <col min="48" max="48" width="8.85546875" style="12" customWidth="1"/>
    <col min="49" max="49" width="8.85546875" style="1226" customWidth="1"/>
    <col min="50" max="50" width="8.85546875" style="12" customWidth="1"/>
    <col min="51" max="51" width="8.85546875" style="1226" customWidth="1"/>
    <col min="52" max="52" width="8.85546875" style="12" customWidth="1"/>
    <col min="53" max="53" width="8.85546875" style="1226" customWidth="1"/>
    <col min="54" max="54" width="8.85546875" style="12" customWidth="1"/>
    <col min="55" max="55" width="8.85546875" style="1226" customWidth="1"/>
    <col min="56" max="56" width="8.85546875" style="12" customWidth="1"/>
    <col min="57" max="57" width="20" style="486" customWidth="1"/>
    <col min="58" max="58" width="50" style="486" customWidth="1"/>
    <col min="59" max="59" width="20" style="486" customWidth="1"/>
    <col min="60" max="60" width="50" style="486" customWidth="1"/>
    <col min="61" max="61" width="20" style="486" customWidth="1"/>
    <col min="62" max="62" width="50" style="486" customWidth="1"/>
    <col min="63" max="63" width="20" style="486" customWidth="1"/>
    <col min="64" max="64" width="50" style="486" customWidth="1"/>
    <col min="65" max="65" width="20" style="486" customWidth="1"/>
    <col min="66" max="66" width="50" style="486" customWidth="1"/>
    <col min="67" max="67" width="20" style="486" customWidth="1"/>
    <col min="68" max="68" width="50" style="486" customWidth="1"/>
    <col min="69" max="69" width="20" style="486" customWidth="1"/>
    <col min="70" max="70" width="50" style="486" customWidth="1"/>
    <col min="71" max="71" width="20" style="486" customWidth="1"/>
    <col min="72" max="72" width="50" style="486" customWidth="1"/>
    <col min="73" max="73" width="20" style="486" customWidth="1"/>
    <col min="74" max="74" width="50" style="486" customWidth="1"/>
    <col min="75" max="75" width="20" style="486" customWidth="1"/>
    <col min="76" max="76" width="50" style="486" customWidth="1"/>
    <col min="77" max="77" width="20" style="486" customWidth="1"/>
    <col min="78" max="78" width="50" style="486" customWidth="1"/>
    <col min="79" max="79" width="20" style="486" customWidth="1"/>
    <col min="80" max="80" width="50" style="486" customWidth="1"/>
    <col min="81" max="81" width="20" style="486" customWidth="1"/>
    <col min="82" max="82" width="50" style="486" customWidth="1"/>
    <col min="83" max="83" width="20" style="486" customWidth="1"/>
    <col min="84" max="84" width="50" style="486" customWidth="1"/>
    <col min="85" max="85" width="20" style="486" customWidth="1"/>
    <col min="86" max="86" width="50" style="486" customWidth="1"/>
    <col min="87" max="87" width="20" style="486" customWidth="1"/>
    <col min="88" max="88" width="50" style="486" customWidth="1"/>
    <col min="89" max="16384" width="9.140625" style="486"/>
  </cols>
  <sheetData>
    <row r="1" spans="1:88" s="456" customFormat="1" ht="14.25" customHeight="1">
      <c r="A1" s="680" t="s">
        <v>59</v>
      </c>
      <c r="B1" s="681" t="s">
        <v>60</v>
      </c>
      <c r="C1" s="682" t="s">
        <v>61</v>
      </c>
      <c r="D1" s="453" t="s">
        <v>3</v>
      </c>
      <c r="E1" s="454"/>
      <c r="F1" s="455" t="s">
        <v>328</v>
      </c>
      <c r="G1" s="2558">
        <f>10*60*1000*SpeedFaktor</f>
        <v>600000</v>
      </c>
      <c r="H1" s="457">
        <v>10</v>
      </c>
      <c r="J1" s="457"/>
      <c r="L1" s="457"/>
      <c r="N1" s="457"/>
      <c r="P1" s="457"/>
      <c r="R1" s="457"/>
      <c r="T1" s="457"/>
      <c r="V1" s="457"/>
      <c r="AB1" s="458"/>
      <c r="AC1" s="458"/>
      <c r="AF1" s="459" t="s">
        <v>5</v>
      </c>
      <c r="AG1" s="509" t="s">
        <v>1303</v>
      </c>
      <c r="AH1" s="24" t="s">
        <v>8</v>
      </c>
      <c r="AI1" s="587" t="s">
        <v>1309</v>
      </c>
      <c r="AJ1" s="24" t="s">
        <v>8</v>
      </c>
      <c r="AK1" s="805" t="s">
        <v>1311</v>
      </c>
      <c r="AL1" s="24" t="s">
        <v>8</v>
      </c>
      <c r="AM1" s="931" t="s">
        <v>1318</v>
      </c>
      <c r="AN1" s="24" t="s">
        <v>8</v>
      </c>
      <c r="AO1" s="1056" t="s">
        <v>1322</v>
      </c>
      <c r="AP1" s="24" t="s">
        <v>8</v>
      </c>
      <c r="AQ1" s="1078" t="s">
        <v>1324</v>
      </c>
      <c r="AR1" s="24" t="s">
        <v>8</v>
      </c>
      <c r="AS1" s="1217" t="s">
        <v>1329</v>
      </c>
      <c r="AT1" s="24" t="s">
        <v>8</v>
      </c>
      <c r="AU1" s="1230" t="s">
        <v>1330</v>
      </c>
      <c r="AV1" s="24" t="s">
        <v>8</v>
      </c>
      <c r="AW1" s="1228" t="s">
        <v>1331</v>
      </c>
      <c r="AX1" s="24" t="s">
        <v>8</v>
      </c>
      <c r="AY1" s="1233" t="s">
        <v>1332</v>
      </c>
      <c r="AZ1" s="24" t="s">
        <v>8</v>
      </c>
      <c r="BA1" s="1232" t="s">
        <v>1333</v>
      </c>
      <c r="BB1" s="24" t="s">
        <v>8</v>
      </c>
      <c r="BC1" s="1218" t="s">
        <v>1334</v>
      </c>
      <c r="BD1" s="24" t="s">
        <v>8</v>
      </c>
      <c r="BE1" s="1278" t="s">
        <v>1341</v>
      </c>
      <c r="BF1" s="1279" t="s">
        <v>572</v>
      </c>
      <c r="BG1" s="1520" t="s">
        <v>1363</v>
      </c>
      <c r="BH1" s="1521" t="s">
        <v>572</v>
      </c>
      <c r="BI1" s="1666" t="s">
        <v>1368</v>
      </c>
      <c r="BJ1" s="1667" t="s">
        <v>572</v>
      </c>
      <c r="BK1" s="1807" t="s">
        <v>1371</v>
      </c>
      <c r="BL1" s="1808" t="s">
        <v>572</v>
      </c>
      <c r="BM1" s="1969" t="s">
        <v>1375</v>
      </c>
      <c r="BN1" s="1970" t="s">
        <v>572</v>
      </c>
      <c r="BO1" s="2071" t="s">
        <v>1397</v>
      </c>
      <c r="BP1" s="2072" t="s">
        <v>572</v>
      </c>
      <c r="BQ1" s="2261" t="s">
        <v>1421</v>
      </c>
      <c r="BR1" s="2262" t="s">
        <v>572</v>
      </c>
      <c r="BS1" s="2424" t="s">
        <v>1430</v>
      </c>
      <c r="BT1" s="2425" t="s">
        <v>572</v>
      </c>
      <c r="BU1" s="2587" t="s">
        <v>1442</v>
      </c>
      <c r="BV1" s="2588" t="s">
        <v>572</v>
      </c>
      <c r="BW1" s="2770" t="s">
        <v>1460</v>
      </c>
      <c r="BX1" s="2771" t="s">
        <v>572</v>
      </c>
      <c r="BY1" s="2946" t="s">
        <v>1472</v>
      </c>
      <c r="BZ1" s="2947" t="s">
        <v>572</v>
      </c>
      <c r="CA1" s="3138" t="s">
        <v>1492</v>
      </c>
      <c r="CB1" s="3139" t="s">
        <v>572</v>
      </c>
      <c r="CC1" s="3316" t="s">
        <v>1503</v>
      </c>
      <c r="CD1" s="3317" t="s">
        <v>572</v>
      </c>
      <c r="CE1" s="3494" t="s">
        <v>1519</v>
      </c>
      <c r="CF1" s="3495" t="s">
        <v>572</v>
      </c>
      <c r="CG1" s="3780" t="s">
        <v>1666</v>
      </c>
      <c r="CH1" s="3781" t="s">
        <v>572</v>
      </c>
      <c r="CI1" s="4005" t="s">
        <v>1717</v>
      </c>
      <c r="CJ1" s="4006" t="s">
        <v>572</v>
      </c>
    </row>
    <row r="2" spans="1:88" s="458" customFormat="1" ht="14.25" customHeight="1">
      <c r="A2" s="683">
        <v>1</v>
      </c>
      <c r="B2" s="681" t="s">
        <v>21</v>
      </c>
      <c r="C2" s="681" t="s">
        <v>1302</v>
      </c>
      <c r="D2" s="546"/>
      <c r="E2" s="456" t="str">
        <f>F2&amp;G2&amp;H2&amp;I2&amp;J2&amp;K2&amp;L2&amp;M2&amp;N2&amp;O2&amp;P2&amp;Q2&amp;R2&amp;S2&amp;T2&amp;U2&amp;V2&amp;W2&amp;X2</f>
        <v>{"url":"https://dev.aventis.swiss"}</v>
      </c>
      <c r="F2" s="547" t="s">
        <v>67</v>
      </c>
      <c r="G2" s="548" t="s">
        <v>68</v>
      </c>
      <c r="H2" s="547" t="s">
        <v>37</v>
      </c>
      <c r="J2" s="547"/>
      <c r="L2" s="547"/>
      <c r="N2" s="547"/>
      <c r="P2" s="547"/>
      <c r="R2" s="547"/>
      <c r="T2" s="547"/>
      <c r="V2" s="547"/>
      <c r="Z2" s="456"/>
      <c r="AA2" s="456"/>
      <c r="AB2" s="456"/>
      <c r="AC2" s="456"/>
      <c r="AG2" s="458">
        <v>361</v>
      </c>
      <c r="AH2" s="156">
        <f>AG2/($AG2)</f>
        <v>1</v>
      </c>
      <c r="AI2" s="458">
        <v>353</v>
      </c>
      <c r="AJ2" s="156">
        <f>AI2/($AG2)</f>
        <v>0.97783933518005539</v>
      </c>
      <c r="AK2" s="458">
        <v>325</v>
      </c>
      <c r="AL2" s="156">
        <f>AK2/($AG2)</f>
        <v>0.90027700831024926</v>
      </c>
      <c r="AM2" s="458">
        <v>303</v>
      </c>
      <c r="AN2" s="156">
        <f>AM2/($AG2)</f>
        <v>0.83933518005540164</v>
      </c>
      <c r="AO2" s="458">
        <v>382</v>
      </c>
      <c r="AP2" s="156">
        <f>AO2/($AG2)</f>
        <v>1.0581717451523547</v>
      </c>
      <c r="AQ2" s="458">
        <v>325</v>
      </c>
      <c r="AR2" s="156">
        <f>AQ2/($AG2)</f>
        <v>0.90027700831024926</v>
      </c>
      <c r="AS2" s="458">
        <v>286</v>
      </c>
      <c r="AT2" s="156">
        <f>AS2/($AG2)</f>
        <v>0.79224376731301938</v>
      </c>
      <c r="AU2" s="1219">
        <v>282</v>
      </c>
      <c r="AV2" s="156">
        <f>AU2/($AG2)</f>
        <v>0.78116343490304707</v>
      </c>
      <c r="AW2" s="1219">
        <v>274</v>
      </c>
      <c r="AX2" s="156">
        <f>AW2/($AG2)</f>
        <v>0.75900277008310246</v>
      </c>
      <c r="AY2" s="1219">
        <v>388</v>
      </c>
      <c r="AZ2" s="156">
        <f>AY2/($AG2)</f>
        <v>1.074792243767313</v>
      </c>
      <c r="BA2" s="1219">
        <v>340</v>
      </c>
      <c r="BB2" s="156">
        <f>BA2/($AG2)</f>
        <v>0.94182825484764543</v>
      </c>
      <c r="BC2" s="1219">
        <v>237</v>
      </c>
      <c r="BD2" s="156">
        <f>BC2/($AG2)</f>
        <v>0.65650969529085867</v>
      </c>
      <c r="BE2" s="458">
        <v>281</v>
      </c>
      <c r="BG2" s="458">
        <v>426</v>
      </c>
      <c r="BI2" s="458">
        <v>483</v>
      </c>
      <c r="BK2" s="458">
        <v>324</v>
      </c>
      <c r="BM2" s="458">
        <v>1190</v>
      </c>
      <c r="BO2" s="458">
        <v>290</v>
      </c>
      <c r="BQ2" s="458">
        <v>755</v>
      </c>
      <c r="BS2" s="458">
        <v>748</v>
      </c>
      <c r="BU2" s="458">
        <v>343</v>
      </c>
      <c r="BW2" s="458">
        <v>368</v>
      </c>
      <c r="BY2" s="458">
        <v>309</v>
      </c>
      <c r="CA2" s="458">
        <v>410</v>
      </c>
      <c r="CC2" s="458">
        <v>361</v>
      </c>
      <c r="CE2" s="458">
        <v>404</v>
      </c>
      <c r="CG2" s="458">
        <v>276</v>
      </c>
      <c r="CI2" s="458">
        <v>280</v>
      </c>
      <c r="CJ2" s="458" t="s">
        <v>1718</v>
      </c>
    </row>
    <row r="3" spans="1:88" s="458" customFormat="1" ht="14.25" customHeight="1">
      <c r="A3" s="683">
        <v>3</v>
      </c>
      <c r="B3" s="681" t="s">
        <v>25</v>
      </c>
      <c r="C3" s="682" t="str">
        <f t="shared" ref="C3:C7" si="0">E3</f>
        <v>{"username":"Bern.Sachbearbeiterin@diartis.ch","password":"XXxa22?pdTA66-S@","fullname":"Sachbearbeiterin Bern","team":"Sachbearbeitung Bern"}</v>
      </c>
      <c r="D3" s="546"/>
      <c r="E3" s="456" t="str">
        <f t="shared" ref="E3:E7" si="1">F3&amp;G3&amp;H3&amp;I3&amp;J3&amp;K3&amp;L3&amp;M3&amp;N3&amp;O3&amp;P3&amp;Q3&amp;R3&amp;S3&amp;T3&amp;U3&amp;V3&amp;W3&amp;X3</f>
        <v>{"username":"Bern.Sachbearbeiterin@diartis.ch","password":"XXxa22?pdTA66-S@","fullname":"Sachbearbeiterin Bern","team":"Sachbearbeitung Bern"}</v>
      </c>
      <c r="F3" s="547" t="s">
        <v>29</v>
      </c>
      <c r="G3" s="548" t="s">
        <v>30</v>
      </c>
      <c r="H3" s="547" t="s">
        <v>31</v>
      </c>
      <c r="I3" s="550" t="s">
        <v>32</v>
      </c>
      <c r="J3" s="547" t="s">
        <v>73</v>
      </c>
      <c r="K3" s="52" t="s">
        <v>1287</v>
      </c>
      <c r="L3" s="547" t="s">
        <v>75</v>
      </c>
      <c r="M3" s="551" t="s">
        <v>118</v>
      </c>
      <c r="N3" s="547" t="s">
        <v>37</v>
      </c>
      <c r="P3" s="547"/>
      <c r="R3" s="547"/>
      <c r="T3" s="547"/>
      <c r="V3" s="547"/>
      <c r="Z3" s="456"/>
      <c r="AA3" s="456"/>
      <c r="AB3" s="456"/>
      <c r="AC3" s="456"/>
      <c r="AG3" s="458">
        <v>406</v>
      </c>
      <c r="AH3" s="156">
        <f t="shared" ref="AH3" si="2">AG3/($AG3)</f>
        <v>1</v>
      </c>
      <c r="AI3" s="458">
        <v>408</v>
      </c>
      <c r="AJ3" s="156">
        <f t="shared" ref="AJ3:AL35" si="3">AI3/($AG3)</f>
        <v>1.0049261083743843</v>
      </c>
      <c r="AK3" s="458">
        <v>1218</v>
      </c>
      <c r="AL3" s="156">
        <f t="shared" si="3"/>
        <v>3</v>
      </c>
      <c r="AM3" s="458">
        <v>1280</v>
      </c>
      <c r="AN3" s="156">
        <f t="shared" ref="AN3" si="4">AM3/($AG3)</f>
        <v>3.1527093596059115</v>
      </c>
      <c r="AO3" s="458">
        <v>1286</v>
      </c>
      <c r="AP3" s="156">
        <f t="shared" ref="AP3" si="5">AO3/($AG3)</f>
        <v>3.1674876847290641</v>
      </c>
      <c r="AQ3" s="458">
        <v>1191</v>
      </c>
      <c r="AR3" s="156">
        <f t="shared" ref="AR3" si="6">AQ3/($AG3)</f>
        <v>2.9334975369458127</v>
      </c>
      <c r="AS3" s="458">
        <v>899</v>
      </c>
      <c r="AT3" s="156">
        <f t="shared" ref="AT3:AX3" si="7">AS3/($AG3)</f>
        <v>2.2142857142857144</v>
      </c>
      <c r="AU3" s="1219">
        <v>849</v>
      </c>
      <c r="AV3" s="156">
        <f t="shared" si="7"/>
        <v>2.0911330049261085</v>
      </c>
      <c r="AW3" s="1219">
        <v>831</v>
      </c>
      <c r="AX3" s="156">
        <f t="shared" si="7"/>
        <v>2.0467980295566504</v>
      </c>
      <c r="AY3" s="1219">
        <v>1251</v>
      </c>
      <c r="AZ3" s="156">
        <f t="shared" ref="AZ3:AZ35" si="8">AY3/($AG3)</f>
        <v>3.0812807881773399</v>
      </c>
      <c r="BA3" s="1219">
        <v>1250</v>
      </c>
      <c r="BB3" s="156">
        <f t="shared" ref="BB3:BB35" si="9">BA3/($AG3)</f>
        <v>3.0788177339901477</v>
      </c>
      <c r="BC3" s="1219">
        <v>789</v>
      </c>
      <c r="BD3" s="156">
        <f t="shared" ref="BD3:BD35" si="10">BC3/($AG3)</f>
        <v>1.9433497536945812</v>
      </c>
      <c r="BE3" s="458">
        <v>1148</v>
      </c>
      <c r="BG3" s="458">
        <v>1237</v>
      </c>
      <c r="BI3" s="458">
        <v>1493</v>
      </c>
      <c r="BK3" s="458">
        <v>1161</v>
      </c>
      <c r="BM3" s="458">
        <v>1967</v>
      </c>
      <c r="BO3" s="458">
        <v>820</v>
      </c>
      <c r="BQ3" s="458">
        <v>1503</v>
      </c>
      <c r="BS3" s="458">
        <v>1430</v>
      </c>
      <c r="BU3" s="458">
        <v>1173</v>
      </c>
      <c r="BW3" s="458">
        <v>1229</v>
      </c>
      <c r="BY3" s="458">
        <v>1068</v>
      </c>
      <c r="CA3" s="458">
        <v>1119</v>
      </c>
      <c r="CC3" s="458">
        <v>1276</v>
      </c>
      <c r="CE3" s="458">
        <v>1101</v>
      </c>
      <c r="CG3" s="458">
        <v>847</v>
      </c>
      <c r="CI3" s="458">
        <v>855</v>
      </c>
      <c r="CJ3" s="458" t="s">
        <v>1718</v>
      </c>
    </row>
    <row r="4" spans="1:88" s="458" customFormat="1" ht="14.25" customHeight="1">
      <c r="A4" s="683"/>
      <c r="B4" s="681" t="s">
        <v>77</v>
      </c>
      <c r="C4" s="682" t="str">
        <f t="shared" ca="1" si="0"/>
        <v>{"name":p.FamilyName18,"vorname":p.ManFirstName18,"ahvNumber":"","geburtsdatum":""}</v>
      </c>
      <c r="D4" s="546"/>
      <c r="E4" s="456" t="str">
        <f t="shared" ca="1" si="1"/>
        <v>{"name":p.FamilyName18,"vorname":p.ManFirstName18,"ahvNumber":"","geburtsdatum":""}</v>
      </c>
      <c r="F4" s="552" t="s">
        <v>78</v>
      </c>
      <c r="G4" s="553" t="str">
        <f ca="1">G$42</f>
        <v>p.FamilyName18</v>
      </c>
      <c r="H4" s="547" t="s">
        <v>79</v>
      </c>
      <c r="I4" s="553" t="str">
        <f ca="1">H$41</f>
        <v>p.ManFirstName18</v>
      </c>
      <c r="J4" s="547" t="s">
        <v>80</v>
      </c>
      <c r="L4" s="547" t="s">
        <v>81</v>
      </c>
      <c r="M4" s="554"/>
      <c r="N4" s="547" t="s">
        <v>37</v>
      </c>
      <c r="P4" s="547"/>
      <c r="R4" s="547"/>
      <c r="T4" s="547"/>
      <c r="V4" s="547"/>
      <c r="Z4" s="456"/>
      <c r="AA4" s="456"/>
      <c r="AB4" s="456"/>
      <c r="AC4" s="456"/>
      <c r="AG4" s="458">
        <v>7795</v>
      </c>
      <c r="AH4" s="156">
        <f t="shared" ref="AH4" si="11">AG4/($AG4)</f>
        <v>1</v>
      </c>
      <c r="AI4" s="588">
        <v>0</v>
      </c>
      <c r="AJ4" s="156">
        <f t="shared" si="3"/>
        <v>0</v>
      </c>
      <c r="AK4" s="458">
        <v>8545</v>
      </c>
      <c r="AL4" s="156">
        <f t="shared" si="3"/>
        <v>1.0962155227710071</v>
      </c>
      <c r="AM4" s="458">
        <v>7718</v>
      </c>
      <c r="AN4" s="156">
        <f t="shared" ref="AN4" si="12">AM4/($AG4)</f>
        <v>0.99012187299550991</v>
      </c>
      <c r="AO4" s="458">
        <v>7162</v>
      </c>
      <c r="AP4" s="156">
        <f t="shared" ref="AP4" si="13">AO4/($AG4)</f>
        <v>0.91879409878127005</v>
      </c>
      <c r="AQ4" s="458">
        <v>7871</v>
      </c>
      <c r="AR4" s="156">
        <f t="shared" ref="AR4" si="14">AQ4/($AG4)</f>
        <v>1.0097498396407953</v>
      </c>
      <c r="AS4" s="458">
        <v>6841</v>
      </c>
      <c r="AT4" s="156">
        <f t="shared" ref="AT4:AX4" si="15">AS4/($AG4)</f>
        <v>0.877613855035279</v>
      </c>
      <c r="AU4" s="1231">
        <v>0</v>
      </c>
      <c r="AV4" s="156">
        <f t="shared" si="15"/>
        <v>0</v>
      </c>
      <c r="AW4" s="1219">
        <v>7886</v>
      </c>
      <c r="AX4" s="156">
        <f t="shared" si="15"/>
        <v>1.0116741500962154</v>
      </c>
      <c r="AY4" s="1234">
        <v>0</v>
      </c>
      <c r="AZ4" s="156">
        <f t="shared" si="8"/>
        <v>0</v>
      </c>
      <c r="BA4" s="1219">
        <v>8265</v>
      </c>
      <c r="BB4" s="156">
        <f t="shared" si="9"/>
        <v>1.0602950609364978</v>
      </c>
      <c r="BC4" s="1219">
        <v>8012</v>
      </c>
      <c r="BD4" s="156">
        <f t="shared" si="10"/>
        <v>1.0278383579217447</v>
      </c>
      <c r="BE4" s="458">
        <v>6659</v>
      </c>
      <c r="BG4" s="458">
        <v>7043</v>
      </c>
      <c r="BI4" s="458">
        <v>7135</v>
      </c>
      <c r="BK4" s="458">
        <v>7197</v>
      </c>
      <c r="BM4" s="458">
        <v>6675</v>
      </c>
      <c r="BO4" s="458">
        <v>7095</v>
      </c>
      <c r="BQ4" s="458">
        <v>6896</v>
      </c>
      <c r="BS4" s="458">
        <v>6382</v>
      </c>
      <c r="BU4" s="458">
        <v>7185</v>
      </c>
      <c r="BW4" s="458">
        <v>9873</v>
      </c>
      <c r="BY4" s="458">
        <v>9410</v>
      </c>
      <c r="CA4" s="458">
        <v>12775</v>
      </c>
      <c r="CC4" s="458">
        <v>9345</v>
      </c>
      <c r="CE4" s="458">
        <v>8991</v>
      </c>
    </row>
    <row r="5" spans="1:88" s="458" customFormat="1" ht="14.25" customHeight="1">
      <c r="A5" s="683">
        <v>6</v>
      </c>
      <c r="B5" s="681" t="s">
        <v>82</v>
      </c>
      <c r="C5" s="682" t="str">
        <f t="shared" ca="1" si="0"/>
        <v>{"name":p.FamilyName18,"vorname":p.ManFirstName18,"ahvNumber":p.AHVNumber69,"language":"Deutsch","zivilstand":"ledig","geburtsdatum":p.BirthdayAdult18,"national":"Schweiz","gender":"männlich","aufenthalt":""}</v>
      </c>
      <c r="D5" s="546"/>
      <c r="E5" s="456" t="str">
        <f t="shared" ca="1" si="1"/>
        <v>{"name":p.FamilyName18,"vorname":p.ManFirstName18,"ahvNumber":p.AHVNumber69,"language":"Deutsch","zivilstand":"ledig","geburtsdatum":p.BirthdayAdult18,"national":"Schweiz","gender":"männlich","aufenthalt":""}</v>
      </c>
      <c r="F5" s="552" t="s">
        <v>78</v>
      </c>
      <c r="G5" s="553" t="str">
        <f ca="1">G$42</f>
        <v>p.FamilyName18</v>
      </c>
      <c r="H5" s="547" t="s">
        <v>79</v>
      </c>
      <c r="I5" s="458" t="str">
        <f ca="1">I4</f>
        <v>p.ManFirstName18</v>
      </c>
      <c r="J5" s="547" t="s">
        <v>83</v>
      </c>
      <c r="K5" s="458" t="str">
        <f ca="1">I$41</f>
        <v>p.AHVNumber69</v>
      </c>
      <c r="L5" s="547" t="s">
        <v>84</v>
      </c>
      <c r="M5" s="554" t="s">
        <v>85</v>
      </c>
      <c r="N5" s="547" t="s">
        <v>86</v>
      </c>
      <c r="O5" s="546" t="s">
        <v>87</v>
      </c>
      <c r="P5" s="547" t="s">
        <v>88</v>
      </c>
      <c r="Q5" s="555" t="str">
        <f ca="1">J41</f>
        <v>p.BirthdayAdult18</v>
      </c>
      <c r="R5" s="547" t="s">
        <v>89</v>
      </c>
      <c r="S5" s="546" t="s">
        <v>90</v>
      </c>
      <c r="T5" s="547" t="s">
        <v>91</v>
      </c>
      <c r="U5" s="546" t="s">
        <v>92</v>
      </c>
      <c r="V5" s="547" t="s">
        <v>93</v>
      </c>
      <c r="X5" s="546" t="s">
        <v>37</v>
      </c>
      <c r="Z5" s="456"/>
      <c r="AA5" s="456"/>
      <c r="AB5" s="456"/>
      <c r="AC5" s="456"/>
      <c r="AG5" s="458">
        <v>2273</v>
      </c>
      <c r="AH5" s="156">
        <f t="shared" ref="AH5" si="16">AG5/($AG5)</f>
        <v>1</v>
      </c>
      <c r="AI5" s="458">
        <v>336</v>
      </c>
      <c r="AJ5" s="156">
        <f t="shared" si="3"/>
        <v>0.14782226132864057</v>
      </c>
      <c r="AK5" s="458">
        <v>1919</v>
      </c>
      <c r="AL5" s="156">
        <f t="shared" si="3"/>
        <v>0.84425868895732514</v>
      </c>
      <c r="AM5" s="458">
        <v>2188</v>
      </c>
      <c r="AN5" s="156">
        <f t="shared" ref="AN5" si="17">AM5/($AG5)</f>
        <v>0.96260448746150462</v>
      </c>
      <c r="AO5" s="458">
        <v>2191</v>
      </c>
      <c r="AP5" s="156">
        <f t="shared" ref="AP5" si="18">AO5/($AG5)</f>
        <v>0.96392432908051029</v>
      </c>
      <c r="AQ5" s="458">
        <v>2093</v>
      </c>
      <c r="AR5" s="156">
        <f t="shared" ref="AR5" si="19">AQ5/($AG5)</f>
        <v>0.92080950285965679</v>
      </c>
      <c r="AS5" s="458">
        <v>2321</v>
      </c>
      <c r="AT5" s="156">
        <f t="shared" ref="AT5:AX5" si="20">AS5/($AG5)</f>
        <v>1.0211174659040916</v>
      </c>
      <c r="AU5" s="1219">
        <v>362</v>
      </c>
      <c r="AV5" s="156">
        <f t="shared" si="20"/>
        <v>0.15926088869335681</v>
      </c>
      <c r="AW5" s="1219">
        <v>2189</v>
      </c>
      <c r="AX5" s="156">
        <f t="shared" si="20"/>
        <v>0.96304443466783984</v>
      </c>
      <c r="AY5" s="1219">
        <v>430</v>
      </c>
      <c r="AZ5" s="156">
        <f t="shared" si="8"/>
        <v>0.18917729872415309</v>
      </c>
      <c r="BA5" s="1219">
        <v>1925</v>
      </c>
      <c r="BB5" s="156">
        <f t="shared" si="9"/>
        <v>0.84689837219533659</v>
      </c>
      <c r="BC5" s="1219">
        <v>2128</v>
      </c>
      <c r="BD5" s="156">
        <f t="shared" si="10"/>
        <v>0.93620765508139026</v>
      </c>
      <c r="BE5" s="458">
        <v>1479</v>
      </c>
      <c r="BG5" s="458">
        <v>1860</v>
      </c>
      <c r="BI5" s="458">
        <v>1670</v>
      </c>
      <c r="BK5" s="458">
        <v>1894</v>
      </c>
      <c r="BM5" s="458">
        <v>1301</v>
      </c>
      <c r="BO5" s="458">
        <v>1494</v>
      </c>
      <c r="BQ5" s="458">
        <v>947</v>
      </c>
      <c r="BS5" s="458">
        <v>1344</v>
      </c>
      <c r="BU5" s="458">
        <v>1733</v>
      </c>
      <c r="BW5" s="458">
        <v>1316</v>
      </c>
      <c r="BY5" s="458">
        <v>1031</v>
      </c>
      <c r="CA5" s="458">
        <v>1503</v>
      </c>
      <c r="CC5" s="458">
        <v>1574</v>
      </c>
      <c r="CE5" s="458">
        <v>1445</v>
      </c>
      <c r="CG5" s="458">
        <v>8531</v>
      </c>
      <c r="CI5" s="458">
        <v>9089</v>
      </c>
      <c r="CJ5" s="458" t="s">
        <v>1718</v>
      </c>
    </row>
    <row r="6" spans="1:88" s="458" customFormat="1" ht="14.25" customHeight="1">
      <c r="A6" s="683">
        <v>7</v>
      </c>
      <c r="B6" s="681" t="s">
        <v>94</v>
      </c>
      <c r="C6" s="682" t="str">
        <f t="shared" ca="1" si="0"/>
        <v>{"mobile":"079 5367597","privateNumber":"079 5362737","email":"1704abc@gmail.com"}</v>
      </c>
      <c r="D6" s="546"/>
      <c r="E6" s="456" t="str">
        <f t="shared" ca="1" si="1"/>
        <v>{"mobile":"079 5367597","privateNumber":"079 5362737","email":"1704abc@gmail.com"}</v>
      </c>
      <c r="F6" s="552" t="s">
        <v>95</v>
      </c>
      <c r="G6" s="546" t="str">
        <f ca="1">"079 "&amp;RANDBETWEEN(5234500,5699999)</f>
        <v>079 5367597</v>
      </c>
      <c r="H6" s="547" t="s">
        <v>96</v>
      </c>
      <c r="I6" s="546" t="str">
        <f ca="1">"079 "&amp;RANDBETWEEN(5234500,5699999)</f>
        <v>079 5362737</v>
      </c>
      <c r="J6" s="547" t="s">
        <v>97</v>
      </c>
      <c r="K6" s="548" t="s">
        <v>330</v>
      </c>
      <c r="L6" s="547" t="s">
        <v>37</v>
      </c>
      <c r="N6" s="547"/>
      <c r="P6" s="547"/>
      <c r="R6" s="547"/>
      <c r="T6" s="547"/>
      <c r="V6" s="547"/>
      <c r="Z6" s="456"/>
      <c r="AA6" s="456"/>
      <c r="AB6" s="456"/>
      <c r="AC6" s="456"/>
      <c r="AG6" s="458">
        <v>3620</v>
      </c>
      <c r="AH6" s="156">
        <f t="shared" ref="AH6" si="21">AG6/($AG6)</f>
        <v>1</v>
      </c>
      <c r="AJ6" s="156">
        <f t="shared" si="3"/>
        <v>0</v>
      </c>
      <c r="AK6" s="458">
        <v>3965</v>
      </c>
      <c r="AL6" s="156">
        <f t="shared" si="3"/>
        <v>1.0953038674033149</v>
      </c>
      <c r="AM6" s="458">
        <v>3559</v>
      </c>
      <c r="AN6" s="156">
        <f t="shared" ref="AN6" si="22">AM6/($AG6)</f>
        <v>0.98314917127071821</v>
      </c>
      <c r="AO6" s="458">
        <v>3289</v>
      </c>
      <c r="AP6" s="156">
        <f t="shared" ref="AP6" si="23">AO6/($AG6)</f>
        <v>0.90856353591160222</v>
      </c>
      <c r="AQ6" s="458">
        <v>3644</v>
      </c>
      <c r="AR6" s="156">
        <f t="shared" ref="AR6" si="24">AQ6/($AG6)</f>
        <v>1.0066298342541435</v>
      </c>
      <c r="AS6" s="458">
        <v>3307</v>
      </c>
      <c r="AT6" s="156">
        <f t="shared" ref="AT6:AX6" si="25">AS6/($AG6)</f>
        <v>0.91353591160220993</v>
      </c>
      <c r="AU6" s="1219"/>
      <c r="AV6" s="156">
        <f t="shared" si="25"/>
        <v>0</v>
      </c>
      <c r="AW6" s="1219">
        <v>3625</v>
      </c>
      <c r="AX6" s="156">
        <f t="shared" si="25"/>
        <v>1.0013812154696133</v>
      </c>
      <c r="AY6" s="1219"/>
      <c r="AZ6" s="156">
        <f t="shared" si="8"/>
        <v>0</v>
      </c>
      <c r="BA6" s="1219">
        <v>3480</v>
      </c>
      <c r="BB6" s="156">
        <f t="shared" si="9"/>
        <v>0.96132596685082872</v>
      </c>
      <c r="BC6" s="1219">
        <v>3244</v>
      </c>
      <c r="BD6" s="156">
        <f t="shared" si="10"/>
        <v>0.89613259668508283</v>
      </c>
      <c r="BE6" s="458">
        <v>3154</v>
      </c>
      <c r="BG6" s="458">
        <v>2858</v>
      </c>
      <c r="BI6" s="458">
        <v>2846</v>
      </c>
      <c r="BK6" s="458">
        <v>3066</v>
      </c>
      <c r="BM6" s="458">
        <v>2502</v>
      </c>
      <c r="BO6" s="458">
        <v>2809</v>
      </c>
      <c r="BQ6" s="458">
        <v>3000</v>
      </c>
      <c r="BS6" s="458">
        <v>2797</v>
      </c>
      <c r="BU6" s="458">
        <v>2761</v>
      </c>
      <c r="BW6" s="458">
        <v>3010</v>
      </c>
      <c r="BY6" s="458">
        <v>2753</v>
      </c>
      <c r="CA6" s="458">
        <v>2877</v>
      </c>
      <c r="CC6" s="458">
        <v>2710</v>
      </c>
      <c r="CE6" s="458">
        <v>2915</v>
      </c>
      <c r="CG6" s="458">
        <v>2675</v>
      </c>
      <c r="CI6" s="458">
        <v>3372</v>
      </c>
      <c r="CJ6" s="458" t="s">
        <v>1718</v>
      </c>
    </row>
    <row r="7" spans="1:88" s="458" customFormat="1" ht="14.25" customHeight="1">
      <c r="A7" s="683">
        <v>8</v>
      </c>
      <c r="B7" s="681" t="s">
        <v>99</v>
      </c>
      <c r="C7" s="682" t="str">
        <f t="shared" ca="1" si="0"/>
        <v>{"zusatz":"","strasse":"Strasse_922","houseNumber":"85","ort":"3302 Moosseedorf","validDate":"1.1.2021"}</v>
      </c>
      <c r="D7" s="546"/>
      <c r="E7" s="456" t="str">
        <f t="shared" ca="1" si="1"/>
        <v>{"zusatz":"","strasse":"Strasse_922","houseNumber":"85","ort":"3302 Moosseedorf","validDate":"1.1.2021"}</v>
      </c>
      <c r="F7" s="547" t="s">
        <v>100</v>
      </c>
      <c r="H7" s="547" t="s">
        <v>101</v>
      </c>
      <c r="I7" s="546" t="str">
        <f ca="1">"Strasse_"&amp;RANDBETWEEN(1,1000)</f>
        <v>Strasse_922</v>
      </c>
      <c r="J7" s="547" t="s">
        <v>102</v>
      </c>
      <c r="K7" s="546">
        <f ca="1">RANDBETWEEN(1,100)</f>
        <v>85</v>
      </c>
      <c r="L7" s="547" t="s">
        <v>103</v>
      </c>
      <c r="M7" s="546" t="s">
        <v>331</v>
      </c>
      <c r="N7" s="547" t="s">
        <v>105</v>
      </c>
      <c r="O7" s="555" t="str">
        <f ca="1">TEXT(RANDBETWEEN(1,28)&amp;"."&amp;RANDBETWEEN(1,12)&amp;"."&amp;TEXT(TODAY()-4*365,"YYYY"),"DD.MM.YYYY")</f>
        <v>1.1.2021</v>
      </c>
      <c r="P7" s="547" t="s">
        <v>37</v>
      </c>
      <c r="R7" s="547"/>
      <c r="T7" s="547"/>
      <c r="V7" s="547"/>
      <c r="Z7" s="456"/>
      <c r="AA7" s="456"/>
      <c r="AB7" s="456"/>
      <c r="AC7" s="456"/>
      <c r="AG7" s="458">
        <v>388</v>
      </c>
      <c r="AH7" s="156">
        <f t="shared" ref="AH7" si="26">AG7/($AG7)</f>
        <v>1</v>
      </c>
      <c r="AJ7" s="156">
        <f t="shared" si="3"/>
        <v>0</v>
      </c>
      <c r="AK7" s="458">
        <v>357</v>
      </c>
      <c r="AL7" s="156">
        <f t="shared" si="3"/>
        <v>0.92010309278350511</v>
      </c>
      <c r="AM7" s="458">
        <v>348</v>
      </c>
      <c r="AN7" s="156">
        <f t="shared" ref="AN7" si="27">AM7/($AG7)</f>
        <v>0.89690721649484539</v>
      </c>
      <c r="AO7" s="458">
        <v>388</v>
      </c>
      <c r="AP7" s="156">
        <f t="shared" ref="AP7" si="28">AO7/($AG7)</f>
        <v>1</v>
      </c>
      <c r="AQ7" s="458">
        <v>355</v>
      </c>
      <c r="AR7" s="156">
        <f t="shared" ref="AR7" si="29">AQ7/($AG7)</f>
        <v>0.91494845360824739</v>
      </c>
      <c r="AS7" s="458">
        <v>423</v>
      </c>
      <c r="AT7" s="156">
        <f t="shared" ref="AT7:AX7" si="30">AS7/($AG7)</f>
        <v>1.0902061855670102</v>
      </c>
      <c r="AU7" s="1219"/>
      <c r="AV7" s="156">
        <f t="shared" si="30"/>
        <v>0</v>
      </c>
      <c r="AW7" s="1219">
        <v>365</v>
      </c>
      <c r="AX7" s="156">
        <f t="shared" si="30"/>
        <v>0.94072164948453607</v>
      </c>
      <c r="AY7" s="1219"/>
      <c r="AZ7" s="156">
        <f t="shared" si="8"/>
        <v>0</v>
      </c>
      <c r="BA7" s="1219">
        <v>407</v>
      </c>
      <c r="BB7" s="156">
        <f t="shared" si="9"/>
        <v>1.0489690721649485</v>
      </c>
      <c r="BC7" s="1219">
        <v>429</v>
      </c>
      <c r="BD7" s="156">
        <f t="shared" si="10"/>
        <v>1.1056701030927836</v>
      </c>
      <c r="BE7" s="458">
        <v>411</v>
      </c>
      <c r="BG7" s="458">
        <v>374</v>
      </c>
      <c r="BI7" s="458">
        <v>352</v>
      </c>
      <c r="BK7" s="458">
        <v>324</v>
      </c>
      <c r="BM7" s="458">
        <v>300</v>
      </c>
      <c r="BO7" s="458">
        <v>241</v>
      </c>
      <c r="BQ7" s="458">
        <v>235</v>
      </c>
      <c r="BS7" s="458">
        <v>225</v>
      </c>
      <c r="BU7" s="458">
        <v>367</v>
      </c>
      <c r="BW7" s="458">
        <v>470</v>
      </c>
      <c r="BY7" s="458">
        <v>263</v>
      </c>
      <c r="CA7" s="458">
        <v>428</v>
      </c>
      <c r="CC7" s="458">
        <v>349</v>
      </c>
      <c r="CE7" s="458">
        <v>281</v>
      </c>
      <c r="CG7" s="458">
        <v>198</v>
      </c>
      <c r="CI7" s="458">
        <v>307</v>
      </c>
      <c r="CJ7" s="458" t="s">
        <v>1718</v>
      </c>
    </row>
    <row r="8" spans="1:88" s="458" customFormat="1" ht="14.25" customHeight="1">
      <c r="A8" s="683">
        <v>9</v>
      </c>
      <c r="B8" s="681" t="s">
        <v>106</v>
      </c>
      <c r="C8" s="682" t="s">
        <v>326</v>
      </c>
      <c r="D8" s="546"/>
      <c r="E8" s="456"/>
      <c r="F8" s="547"/>
      <c r="H8" s="547"/>
      <c r="J8" s="547"/>
      <c r="L8" s="547"/>
      <c r="N8" s="547"/>
      <c r="P8" s="547"/>
      <c r="R8" s="547"/>
      <c r="T8" s="547"/>
      <c r="V8" s="547"/>
      <c r="Z8" s="456"/>
      <c r="AA8" s="456"/>
      <c r="AB8" s="456"/>
      <c r="AC8" s="456"/>
      <c r="AG8" s="458">
        <v>4505</v>
      </c>
      <c r="AH8" s="156">
        <f t="shared" ref="AH8" si="31">AG8/($AG8)</f>
        <v>1</v>
      </c>
      <c r="AJ8" s="156">
        <f t="shared" si="3"/>
        <v>0</v>
      </c>
      <c r="AK8" s="458">
        <v>4415</v>
      </c>
      <c r="AL8" s="156">
        <f t="shared" si="3"/>
        <v>0.98002219755826858</v>
      </c>
      <c r="AM8" s="458">
        <v>4435</v>
      </c>
      <c r="AN8" s="156">
        <f t="shared" ref="AN8" si="32">AM8/($AG8)</f>
        <v>0.98446170921198672</v>
      </c>
      <c r="AO8" s="458">
        <v>4359</v>
      </c>
      <c r="AP8" s="156">
        <f t="shared" ref="AP8" si="33">AO8/($AG8)</f>
        <v>0.96759156492785792</v>
      </c>
      <c r="AQ8" s="458">
        <v>4381</v>
      </c>
      <c r="AR8" s="156">
        <f t="shared" ref="AR8" si="34">AQ8/($AG8)</f>
        <v>0.97247502774694783</v>
      </c>
      <c r="AS8" s="458">
        <v>4270</v>
      </c>
      <c r="AT8" s="156">
        <f t="shared" ref="AT8:AX8" si="35">AS8/($AG8)</f>
        <v>0.94783573806881238</v>
      </c>
      <c r="AU8" s="1219"/>
      <c r="AV8" s="156">
        <f t="shared" si="35"/>
        <v>0</v>
      </c>
      <c r="AW8" s="1219">
        <v>4327</v>
      </c>
      <c r="AX8" s="156">
        <f t="shared" si="35"/>
        <v>0.96048834628190904</v>
      </c>
      <c r="AY8" s="1219"/>
      <c r="AZ8" s="156">
        <f t="shared" si="8"/>
        <v>0</v>
      </c>
      <c r="BA8" s="1219">
        <v>4299</v>
      </c>
      <c r="BB8" s="156">
        <f t="shared" si="9"/>
        <v>0.95427302996670371</v>
      </c>
      <c r="BC8" s="1219">
        <v>4185</v>
      </c>
      <c r="BD8" s="156">
        <f t="shared" si="10"/>
        <v>0.9289678135405105</v>
      </c>
      <c r="BE8" s="458">
        <v>4468</v>
      </c>
      <c r="BG8" s="458">
        <v>4353</v>
      </c>
      <c r="BI8" s="458">
        <v>4315</v>
      </c>
      <c r="BK8" s="458">
        <v>4245</v>
      </c>
      <c r="BM8" s="458">
        <v>4141</v>
      </c>
      <c r="BO8" s="458">
        <v>4085</v>
      </c>
      <c r="BQ8" s="458">
        <v>4097</v>
      </c>
      <c r="BS8" s="458">
        <v>4057</v>
      </c>
      <c r="BU8" s="458">
        <v>1925</v>
      </c>
      <c r="BW8" s="458">
        <v>2033</v>
      </c>
      <c r="BY8" s="458">
        <v>1228</v>
      </c>
      <c r="CA8" s="458">
        <v>2737</v>
      </c>
      <c r="CC8" s="458">
        <v>1439</v>
      </c>
      <c r="CE8" s="458">
        <v>1432</v>
      </c>
      <c r="CG8" s="458">
        <v>1670</v>
      </c>
      <c r="CI8" s="458">
        <v>2347</v>
      </c>
      <c r="CJ8" s="458" t="s">
        <v>1718</v>
      </c>
    </row>
    <row r="9" spans="1:88" s="458" customFormat="1" ht="14.25" customHeight="1">
      <c r="A9" s="683">
        <v>10</v>
      </c>
      <c r="B9" s="681" t="s">
        <v>110</v>
      </c>
      <c r="C9" s="682"/>
      <c r="D9" s="546"/>
      <c r="E9" s="456"/>
      <c r="F9" s="547"/>
      <c r="H9" s="547"/>
      <c r="J9" s="547"/>
      <c r="L9" s="547"/>
      <c r="N9" s="547"/>
      <c r="P9" s="547"/>
      <c r="R9" s="547"/>
      <c r="T9" s="547"/>
      <c r="V9" s="547"/>
      <c r="Z9" s="456"/>
      <c r="AA9" s="456"/>
      <c r="AB9" s="456"/>
      <c r="AC9" s="456"/>
      <c r="AG9" s="458">
        <v>80</v>
      </c>
      <c r="AH9" s="156">
        <f t="shared" ref="AH9" si="36">AG9/($AG9)</f>
        <v>1</v>
      </c>
      <c r="AJ9" s="156">
        <f t="shared" si="3"/>
        <v>0</v>
      </c>
      <c r="AK9" s="458">
        <v>74</v>
      </c>
      <c r="AL9" s="156">
        <f t="shared" si="3"/>
        <v>0.92500000000000004</v>
      </c>
      <c r="AM9" s="458">
        <v>82</v>
      </c>
      <c r="AN9" s="156">
        <f t="shared" ref="AN9" si="37">AM9/($AG9)</f>
        <v>1.0249999999999999</v>
      </c>
      <c r="AO9" s="458">
        <v>105</v>
      </c>
      <c r="AP9" s="156">
        <f t="shared" ref="AP9" si="38">AO9/($AG9)</f>
        <v>1.3125</v>
      </c>
      <c r="AQ9" s="458">
        <v>102</v>
      </c>
      <c r="AR9" s="156">
        <f t="shared" ref="AR9" si="39">AQ9/($AG9)</f>
        <v>1.2749999999999999</v>
      </c>
      <c r="AS9" s="458">
        <v>121</v>
      </c>
      <c r="AT9" s="156">
        <f t="shared" ref="AT9:AX9" si="40">AS9/($AG9)</f>
        <v>1.5125</v>
      </c>
      <c r="AU9" s="1219"/>
      <c r="AV9" s="156">
        <f t="shared" si="40"/>
        <v>0</v>
      </c>
      <c r="AW9" s="1219">
        <v>102</v>
      </c>
      <c r="AX9" s="156">
        <f t="shared" si="40"/>
        <v>1.2749999999999999</v>
      </c>
      <c r="AY9" s="1219"/>
      <c r="AZ9" s="156">
        <f t="shared" si="8"/>
        <v>0</v>
      </c>
      <c r="BA9" s="1219">
        <v>113</v>
      </c>
      <c r="BB9" s="156">
        <f t="shared" si="9"/>
        <v>1.4125000000000001</v>
      </c>
      <c r="BC9" s="1219">
        <v>83</v>
      </c>
      <c r="BD9" s="156">
        <f t="shared" si="10"/>
        <v>1.0375000000000001</v>
      </c>
      <c r="BE9" s="458">
        <v>128</v>
      </c>
      <c r="BG9" s="458">
        <v>69</v>
      </c>
      <c r="BI9" s="458">
        <v>98</v>
      </c>
      <c r="BK9" s="458">
        <v>81</v>
      </c>
      <c r="BM9" s="458">
        <v>60</v>
      </c>
      <c r="BO9" s="458">
        <v>62</v>
      </c>
      <c r="BQ9" s="458">
        <v>65</v>
      </c>
      <c r="BS9" s="458">
        <v>57</v>
      </c>
      <c r="BU9" s="458">
        <v>121</v>
      </c>
      <c r="BW9" s="458">
        <v>119</v>
      </c>
      <c r="BY9" s="458">
        <v>117</v>
      </c>
      <c r="CA9" s="458">
        <v>190</v>
      </c>
      <c r="CC9" s="458">
        <v>155</v>
      </c>
      <c r="CE9" s="458">
        <v>145</v>
      </c>
      <c r="CG9" s="458">
        <v>106</v>
      </c>
      <c r="CI9" s="458">
        <v>182</v>
      </c>
      <c r="CJ9" s="458" t="s">
        <v>1718</v>
      </c>
    </row>
    <row r="10" spans="1:88" s="458" customFormat="1" ht="12.75" customHeight="1">
      <c r="A10" s="683">
        <v>11</v>
      </c>
      <c r="B10" s="681" t="s">
        <v>111</v>
      </c>
      <c r="C10" s="682" t="str">
        <f t="shared" ref="C10:C23" si="41">E10</f>
        <v>{"zust_Gemeinde":"Moosseedorf","zust_SozTeam":"Sozialarbeit Bern 1","zust_SozMitarbeiter":"Bern Sozialarbeiterin 1A","zust_SachbTeam":"Sachbearbeitung Bern","zust_SachbMitarbeiter":"Bern Sachbearbeiterin"}</v>
      </c>
      <c r="D10" s="546"/>
      <c r="E10" s="546" t="str">
        <f t="shared" ref="E10:E17" si="42">F10&amp;G10&amp;H10&amp;I10&amp;J10&amp;K10&amp;L10&amp;M10&amp;N10&amp;O10&amp;P10&amp;Q10&amp;R10&amp;S10&amp;T10&amp;U10&amp;V10&amp;W10&amp;X10</f>
        <v>{"zust_Gemeinde":"Moosseedorf","zust_SozTeam":"Sozialarbeit Bern 1","zust_SozMitarbeiter":"Bern Sozialarbeiterin 1A","zust_SachbTeam":"Sachbearbeitung Bern","zust_SachbMitarbeiter":"Bern Sachbearbeiterin"}</v>
      </c>
      <c r="F10" s="547" t="s">
        <v>112</v>
      </c>
      <c r="G10" s="556" t="s">
        <v>332</v>
      </c>
      <c r="H10" s="547" t="s">
        <v>114</v>
      </c>
      <c r="I10" s="546" t="s">
        <v>76</v>
      </c>
      <c r="J10" s="547" t="s">
        <v>115</v>
      </c>
      <c r="K10" s="546" t="s">
        <v>116</v>
      </c>
      <c r="L10" s="547" t="s">
        <v>117</v>
      </c>
      <c r="M10" s="546" t="s">
        <v>118</v>
      </c>
      <c r="N10" s="547" t="s">
        <v>119</v>
      </c>
      <c r="O10" s="546" t="s">
        <v>120</v>
      </c>
      <c r="P10" s="547" t="s">
        <v>37</v>
      </c>
      <c r="R10" s="547"/>
      <c r="T10" s="547"/>
      <c r="V10" s="547"/>
      <c r="Z10" s="456"/>
      <c r="AA10" s="456"/>
      <c r="AB10" s="456"/>
      <c r="AC10" s="456"/>
      <c r="AG10" s="458">
        <v>1222</v>
      </c>
      <c r="AH10" s="156">
        <f t="shared" ref="AH10" si="43">AG10/($AG10)</f>
        <v>1</v>
      </c>
      <c r="AJ10" s="156">
        <f t="shared" si="3"/>
        <v>0</v>
      </c>
      <c r="AK10" s="458">
        <v>1213</v>
      </c>
      <c r="AL10" s="156">
        <f t="shared" si="3"/>
        <v>0.99263502454991814</v>
      </c>
      <c r="AM10" s="458">
        <v>1208</v>
      </c>
      <c r="AN10" s="156">
        <f t="shared" ref="AN10" si="44">AM10/($AG10)</f>
        <v>0.98854337152209493</v>
      </c>
      <c r="AO10" s="458">
        <v>1209</v>
      </c>
      <c r="AP10" s="156">
        <f t="shared" ref="AP10" si="45">AO10/($AG10)</f>
        <v>0.98936170212765961</v>
      </c>
      <c r="AQ10" s="458">
        <v>1225</v>
      </c>
      <c r="AR10" s="156">
        <f t="shared" ref="AR10" si="46">AQ10/($AG10)</f>
        <v>1.0024549918166938</v>
      </c>
      <c r="AS10" s="458">
        <v>1213</v>
      </c>
      <c r="AT10" s="156">
        <f t="shared" ref="AT10:AX10" si="47">AS10/($AG10)</f>
        <v>0.99263502454991814</v>
      </c>
      <c r="AU10" s="1219"/>
      <c r="AV10" s="156">
        <f t="shared" si="47"/>
        <v>0</v>
      </c>
      <c r="AW10" s="1219">
        <v>1191</v>
      </c>
      <c r="AX10" s="156">
        <f t="shared" si="47"/>
        <v>0.9746317512274959</v>
      </c>
      <c r="AY10" s="1219"/>
      <c r="AZ10" s="156">
        <f t="shared" si="8"/>
        <v>0</v>
      </c>
      <c r="BA10" s="1219">
        <v>1223</v>
      </c>
      <c r="BB10" s="156">
        <f t="shared" si="9"/>
        <v>1.0008183306055647</v>
      </c>
      <c r="BC10" s="1219">
        <v>1206</v>
      </c>
      <c r="BD10" s="156">
        <f t="shared" si="10"/>
        <v>0.98690671031096566</v>
      </c>
      <c r="BE10" s="458">
        <v>1309</v>
      </c>
      <c r="BG10" s="458">
        <v>1522</v>
      </c>
      <c r="BI10" s="458">
        <v>1186</v>
      </c>
      <c r="BK10" s="458">
        <v>1172</v>
      </c>
      <c r="BM10" s="458">
        <v>1178</v>
      </c>
      <c r="BO10" s="458">
        <v>1161</v>
      </c>
      <c r="BQ10" s="458">
        <v>1162</v>
      </c>
      <c r="BS10" s="458">
        <v>1164</v>
      </c>
      <c r="BU10" s="458">
        <v>1193</v>
      </c>
      <c r="BW10" s="458">
        <v>1182</v>
      </c>
      <c r="BY10" s="458">
        <v>1156</v>
      </c>
      <c r="CA10" s="458">
        <v>1326</v>
      </c>
      <c r="CC10" s="458">
        <v>1219</v>
      </c>
      <c r="CE10" s="458">
        <v>1224</v>
      </c>
      <c r="CG10" s="458">
        <v>1215</v>
      </c>
      <c r="CI10" s="458">
        <v>2112</v>
      </c>
      <c r="CJ10" s="458" t="s">
        <v>1718</v>
      </c>
    </row>
    <row r="11" spans="1:88" s="458" customFormat="1" ht="14.25" customHeight="1">
      <c r="A11" s="683">
        <v>12</v>
      </c>
      <c r="B11" s="681" t="s">
        <v>122</v>
      </c>
      <c r="C11" s="682" t="str">
        <f t="shared" ca="1" si="41"/>
        <v>{"dossierBezeichnung":`SAR10_${p.AHVNumber5}_4-No17`,"eroeffnetAm":"04.11.2025","dossierSprache":"Deutsch"}</v>
      </c>
      <c r="D11" s="546"/>
      <c r="E11" s="456" t="str">
        <f t="shared" ca="1" si="42"/>
        <v>{"dossierBezeichnung":`SAR10_${p.AHVNumber5}_4-No17`,"eroeffnetAm":"04.11.2025","dossierSprache":"Deutsch"}</v>
      </c>
      <c r="F11" s="547" t="s">
        <v>1140</v>
      </c>
      <c r="G11" s="553" t="str">
        <f ca="1">"SAR10_${p.AHVNumber5}_"&amp;DAY(TODAY())&amp;"-No"&amp;IF(_xlfn.SHEET()-1&lt;10,"0"&amp;_xlfn.SHEET()-1,_xlfn.SHEET()-1)</f>
        <v>SAR10_${p.AHVNumber5}_4-No17</v>
      </c>
      <c r="H11" s="547" t="s">
        <v>1141</v>
      </c>
      <c r="I11" s="555" t="str">
        <f ca="1">TEXT(TEXT(TODAY(),"DD")&amp;"."&amp;TEXT(TODAY(),"MM")&amp;"."&amp;TEXT(TODAY(),"YYYY"),"DD.MM.YYYY")</f>
        <v>04.11.2025</v>
      </c>
      <c r="J11" s="547" t="s">
        <v>125</v>
      </c>
      <c r="K11" s="546" t="s">
        <v>85</v>
      </c>
      <c r="L11" s="547" t="s">
        <v>37</v>
      </c>
      <c r="N11" s="547"/>
      <c r="P11" s="547"/>
      <c r="R11" s="547"/>
      <c r="T11" s="547"/>
      <c r="V11" s="547"/>
      <c r="Z11" s="456"/>
      <c r="AA11" s="456"/>
      <c r="AB11" s="456"/>
      <c r="AC11" s="456"/>
      <c r="AG11" s="458">
        <v>3974</v>
      </c>
      <c r="AH11" s="156">
        <f t="shared" ref="AH11" si="48">AG11/($AG11)</f>
        <v>1</v>
      </c>
      <c r="AJ11" s="156">
        <f t="shared" si="3"/>
        <v>0</v>
      </c>
      <c r="AK11" s="458">
        <v>3810</v>
      </c>
      <c r="AL11" s="156">
        <f t="shared" si="3"/>
        <v>0.9587317564167086</v>
      </c>
      <c r="AM11" s="458">
        <v>4196</v>
      </c>
      <c r="AN11" s="156">
        <f t="shared" ref="AN11" si="49">AM11/($AG11)</f>
        <v>1.0558631102164067</v>
      </c>
      <c r="AO11" s="458">
        <v>4127</v>
      </c>
      <c r="AP11" s="156">
        <f t="shared" ref="AP11" si="50">AO11/($AG11)</f>
        <v>1.0385002516356316</v>
      </c>
      <c r="AQ11" s="458">
        <v>4286</v>
      </c>
      <c r="AR11" s="156">
        <f t="shared" ref="AR11" si="51">AQ11/($AG11)</f>
        <v>1.0785103170608958</v>
      </c>
      <c r="AS11" s="458">
        <v>3561</v>
      </c>
      <c r="AT11" s="156">
        <f t="shared" ref="AT11:AX11" si="52">AS11/($AG11)</f>
        <v>0.89607448414695523</v>
      </c>
      <c r="AU11" s="1219"/>
      <c r="AV11" s="156">
        <f t="shared" si="52"/>
        <v>0</v>
      </c>
      <c r="AW11" s="1219">
        <v>4005</v>
      </c>
      <c r="AX11" s="156">
        <f t="shared" si="52"/>
        <v>1.0078007045797686</v>
      </c>
      <c r="AY11" s="1219"/>
      <c r="AZ11" s="156">
        <f t="shared" si="8"/>
        <v>0</v>
      </c>
      <c r="BA11" s="1219">
        <v>3821</v>
      </c>
      <c r="BB11" s="156">
        <f t="shared" si="9"/>
        <v>0.96149974836436836</v>
      </c>
      <c r="BC11" s="1219">
        <v>4035</v>
      </c>
      <c r="BD11" s="156">
        <f t="shared" si="10"/>
        <v>1.0153497735279315</v>
      </c>
      <c r="BE11" s="458">
        <v>4224</v>
      </c>
      <c r="BG11" s="458">
        <v>4181</v>
      </c>
      <c r="BI11" s="458">
        <v>4136</v>
      </c>
      <c r="BK11" s="458">
        <v>4160</v>
      </c>
      <c r="BM11" s="458">
        <v>4181</v>
      </c>
      <c r="BO11" s="458">
        <v>4143</v>
      </c>
      <c r="BQ11" s="458">
        <v>4161</v>
      </c>
      <c r="BS11" s="458">
        <v>4164</v>
      </c>
      <c r="BU11" s="458">
        <v>4043</v>
      </c>
      <c r="BW11" s="458">
        <v>4075</v>
      </c>
      <c r="BY11" s="458">
        <v>4229</v>
      </c>
      <c r="CA11" s="458">
        <v>4424</v>
      </c>
      <c r="CC11" s="458">
        <v>4115</v>
      </c>
      <c r="CE11" s="458">
        <v>4064</v>
      </c>
      <c r="CG11" s="458">
        <v>3411</v>
      </c>
      <c r="CI11" s="458">
        <v>2911</v>
      </c>
      <c r="CJ11" s="458" t="s">
        <v>1718</v>
      </c>
    </row>
    <row r="12" spans="1:88" s="458" customFormat="1" ht="14.25" customHeight="1">
      <c r="A12" s="683">
        <v>14</v>
      </c>
      <c r="B12" s="681" t="s">
        <v>134</v>
      </c>
      <c r="C12" s="682" t="str">
        <f t="shared" si="41"/>
        <v>{"username":"bern.sozialarbeiterin1a@diartis.ch","password":"SMze97-jkSJ59!F."}</v>
      </c>
      <c r="D12" s="546"/>
      <c r="E12" s="456" t="str">
        <f t="shared" si="42"/>
        <v>{"username":"bern.sozialarbeiterin1a@diartis.ch","password":"SMze97-jkSJ59!F."}</v>
      </c>
      <c r="F12" s="547" t="s">
        <v>29</v>
      </c>
      <c r="G12" s="546" t="s">
        <v>71</v>
      </c>
      <c r="H12" s="547" t="s">
        <v>31</v>
      </c>
      <c r="I12" s="546" t="s">
        <v>72</v>
      </c>
      <c r="J12" s="547" t="s">
        <v>37</v>
      </c>
      <c r="K12" s="555"/>
      <c r="L12" s="547"/>
      <c r="N12" s="547"/>
      <c r="P12" s="547"/>
      <c r="R12" s="547"/>
      <c r="T12" s="547"/>
      <c r="V12" s="547"/>
      <c r="Z12" s="456"/>
      <c r="AA12" s="456"/>
      <c r="AB12" s="456"/>
      <c r="AC12" s="456"/>
      <c r="AG12" s="458">
        <v>4008</v>
      </c>
      <c r="AH12" s="156">
        <f t="shared" ref="AH12" si="53">AG12/($AG12)</f>
        <v>1</v>
      </c>
      <c r="AJ12" s="156">
        <f t="shared" si="3"/>
        <v>0</v>
      </c>
      <c r="AK12" s="458">
        <v>969</v>
      </c>
      <c r="AL12" s="156">
        <f t="shared" si="3"/>
        <v>0.24176646706586827</v>
      </c>
      <c r="AM12" s="458">
        <v>1429</v>
      </c>
      <c r="AN12" s="156">
        <f t="shared" ref="AN12" si="54">AM12/($AG12)</f>
        <v>0.3565369261477046</v>
      </c>
      <c r="AO12" s="458">
        <v>942</v>
      </c>
      <c r="AP12" s="156">
        <f t="shared" ref="AP12" si="55">AO12/($AG12)</f>
        <v>0.23502994011976047</v>
      </c>
      <c r="AQ12" s="458">
        <v>972</v>
      </c>
      <c r="AR12" s="156">
        <f t="shared" ref="AR12" si="56">AQ12/($AG12)</f>
        <v>0.24251497005988024</v>
      </c>
      <c r="AS12" s="458">
        <v>947</v>
      </c>
      <c r="AT12" s="156">
        <f t="shared" ref="AT12:AX12" si="57">AS12/($AG12)</f>
        <v>0.23627744510978044</v>
      </c>
      <c r="AU12" s="1219"/>
      <c r="AV12" s="156">
        <f t="shared" si="57"/>
        <v>0</v>
      </c>
      <c r="AW12" s="1219">
        <v>940</v>
      </c>
      <c r="AX12" s="156">
        <f t="shared" si="57"/>
        <v>0.2345309381237525</v>
      </c>
      <c r="AY12" s="1219"/>
      <c r="AZ12" s="156">
        <f t="shared" si="8"/>
        <v>0</v>
      </c>
      <c r="BA12" s="1219">
        <v>1077</v>
      </c>
      <c r="BB12" s="156">
        <f t="shared" si="9"/>
        <v>0.26871257485029942</v>
      </c>
      <c r="BC12" s="1219">
        <v>925</v>
      </c>
      <c r="BD12" s="156">
        <f t="shared" si="10"/>
        <v>0.23078842315369261</v>
      </c>
      <c r="BE12" s="458">
        <v>1114</v>
      </c>
      <c r="BG12" s="458">
        <v>1437</v>
      </c>
      <c r="BI12" s="458">
        <v>1030</v>
      </c>
      <c r="BK12" s="458">
        <v>982</v>
      </c>
      <c r="BM12" s="458">
        <v>1574</v>
      </c>
      <c r="BO12" s="458">
        <v>1570</v>
      </c>
      <c r="BQ12" s="458">
        <v>1576</v>
      </c>
      <c r="BS12" s="458">
        <v>1534</v>
      </c>
      <c r="BU12" s="458">
        <v>6389</v>
      </c>
      <c r="BW12" s="458">
        <v>11467</v>
      </c>
      <c r="BY12" s="458">
        <v>7909</v>
      </c>
      <c r="CA12" s="458">
        <v>8819</v>
      </c>
      <c r="CC12" s="458">
        <v>3294</v>
      </c>
      <c r="CE12" s="458">
        <v>6789</v>
      </c>
      <c r="CG12" s="458">
        <v>9170</v>
      </c>
      <c r="CI12" s="458">
        <v>8142</v>
      </c>
      <c r="CJ12" s="458" t="s">
        <v>1718</v>
      </c>
    </row>
    <row r="13" spans="1:88" s="458" customFormat="1" ht="14.25" customHeight="1">
      <c r="A13" s="683">
        <v>15</v>
      </c>
      <c r="B13" s="681" t="s">
        <v>139</v>
      </c>
      <c r="C13" s="684" t="str">
        <f t="shared" ca="1" si="41"/>
        <v>{"searchDossierOrKlient":`SAR10_${p.AHVNumber5}_4-No17`,"resultType":"Dossiers"}</v>
      </c>
      <c r="D13" s="546"/>
      <c r="E13" s="456" t="str">
        <f t="shared" ca="1" si="42"/>
        <v>{"searchDossierOrKlient":`SAR10_${p.AHVNumber5}_4-No17`,"resultType":"Dossiers"}</v>
      </c>
      <c r="F13" s="547" t="s">
        <v>407</v>
      </c>
      <c r="G13" s="458" t="str">
        <f ca="1">G11</f>
        <v>SAR10_${p.AHVNumber5}_4-No17</v>
      </c>
      <c r="H13" s="547" t="s">
        <v>408</v>
      </c>
      <c r="I13" s="458" t="s">
        <v>142</v>
      </c>
      <c r="J13" s="547" t="s">
        <v>37</v>
      </c>
      <c r="L13" s="547"/>
      <c r="N13" s="547"/>
      <c r="P13" s="547"/>
      <c r="R13" s="547"/>
      <c r="T13" s="547"/>
      <c r="V13" s="547"/>
      <c r="Z13" s="456"/>
      <c r="AA13" s="456"/>
      <c r="AB13" s="456"/>
      <c r="AC13" s="456"/>
      <c r="AG13" s="458">
        <v>8807</v>
      </c>
      <c r="AH13" s="156">
        <f t="shared" ref="AH13" si="58">AG13/($AG13)</f>
        <v>1</v>
      </c>
      <c r="AJ13" s="156">
        <f t="shared" si="3"/>
        <v>0</v>
      </c>
      <c r="AK13" s="458">
        <v>11926</v>
      </c>
      <c r="AL13" s="156">
        <f t="shared" si="3"/>
        <v>1.3541501078687408</v>
      </c>
      <c r="AM13" s="458">
        <v>12479</v>
      </c>
      <c r="AN13" s="156">
        <f t="shared" ref="AN13" si="59">AM13/($AG13)</f>
        <v>1.4169410696037243</v>
      </c>
      <c r="AO13" s="458">
        <v>13503</v>
      </c>
      <c r="AP13" s="156">
        <f t="shared" ref="AP13" si="60">AO13/($AG13)</f>
        <v>1.5332122175542182</v>
      </c>
      <c r="AQ13" s="458">
        <v>11021</v>
      </c>
      <c r="AR13" s="156">
        <f t="shared" ref="AR13" si="61">AQ13/($AG13)</f>
        <v>1.2513909390257749</v>
      </c>
      <c r="AS13" s="458">
        <v>11542</v>
      </c>
      <c r="AT13" s="156">
        <f t="shared" ref="AT13:AX13" si="62">AS13/($AG13)</f>
        <v>1.3105484273873056</v>
      </c>
      <c r="AU13" s="1219"/>
      <c r="AV13" s="156">
        <f t="shared" si="62"/>
        <v>0</v>
      </c>
      <c r="AW13" s="1219">
        <v>12326</v>
      </c>
      <c r="AX13" s="156">
        <f t="shared" si="62"/>
        <v>1.3995685250369025</v>
      </c>
      <c r="AY13" s="1219"/>
      <c r="AZ13" s="156">
        <f t="shared" si="8"/>
        <v>0</v>
      </c>
      <c r="BA13" s="1219">
        <v>11754</v>
      </c>
      <c r="BB13" s="156">
        <f t="shared" si="9"/>
        <v>1.3346201884864313</v>
      </c>
      <c r="BC13" s="1219">
        <v>11526</v>
      </c>
      <c r="BD13" s="156">
        <f t="shared" si="10"/>
        <v>1.308731690700579</v>
      </c>
      <c r="BE13" s="458">
        <v>11804</v>
      </c>
      <c r="BG13" s="458">
        <v>10372</v>
      </c>
      <c r="BI13" s="458">
        <v>11472</v>
      </c>
      <c r="BK13" s="458">
        <v>11577</v>
      </c>
      <c r="BM13" s="458">
        <v>19066</v>
      </c>
      <c r="BO13" s="458">
        <v>16649</v>
      </c>
      <c r="BQ13" s="458">
        <v>14056</v>
      </c>
      <c r="BS13" s="458">
        <v>15286</v>
      </c>
      <c r="BU13" s="458">
        <v>9750</v>
      </c>
      <c r="BW13" s="458">
        <v>12089</v>
      </c>
      <c r="BY13" s="458">
        <v>12610</v>
      </c>
      <c r="CA13" s="458">
        <v>13572</v>
      </c>
      <c r="CC13" s="458">
        <v>11835</v>
      </c>
      <c r="CE13" s="458">
        <v>11772</v>
      </c>
      <c r="CG13" s="458">
        <v>10546</v>
      </c>
      <c r="CI13" s="458">
        <v>9865</v>
      </c>
      <c r="CJ13" s="458" t="s">
        <v>1718</v>
      </c>
    </row>
    <row r="14" spans="1:88" s="458" customFormat="1" ht="15.75" customHeight="1">
      <c r="A14" s="683">
        <v>16</v>
      </c>
      <c r="B14" s="681" t="s">
        <v>127</v>
      </c>
      <c r="C14" s="682" t="str">
        <f t="shared" ca="1" si="41"/>
        <v>{"dossierInstitution":`SAR10_${p.AHVNumber5}_4-No17`,"klientschaft":`${p.FamilyName18}, ${p.ManFirstName18}`,"buttonBewilligung":"Anfragen","checkStatus":"In Bearbeitung"}</v>
      </c>
      <c r="D14" s="546"/>
      <c r="E14" s="456" t="str">
        <f t="shared" ca="1" si="42"/>
        <v>{"dossierInstitution":`SAR10_${p.AHVNumber5}_4-No17`,"klientschaft":`${p.FamilyName18}, ${p.ManFirstName18}`,"buttonBewilligung":"Anfragen","checkStatus":"In Bearbeitung"}</v>
      </c>
      <c r="F14" s="547" t="s">
        <v>335</v>
      </c>
      <c r="G14" s="458" t="str">
        <f ca="1">G11</f>
        <v>SAR10_${p.AHVNumber5}_4-No17</v>
      </c>
      <c r="H14" s="547" t="s">
        <v>336</v>
      </c>
      <c r="I14" s="458" t="str">
        <f ca="1">I16</f>
        <v>${p.FamilyName18}, ${p.ManFirstName18}</v>
      </c>
      <c r="J14" s="547" t="s">
        <v>130</v>
      </c>
      <c r="K14" s="555" t="s">
        <v>131</v>
      </c>
      <c r="L14" s="547" t="s">
        <v>132</v>
      </c>
      <c r="M14" s="547" t="s">
        <v>133</v>
      </c>
      <c r="N14" s="547" t="s">
        <v>37</v>
      </c>
      <c r="P14" s="547"/>
      <c r="R14" s="547"/>
      <c r="T14" s="547"/>
      <c r="V14" s="547"/>
      <c r="Z14" s="456"/>
      <c r="AA14" s="456"/>
      <c r="AB14" s="456"/>
      <c r="AC14" s="456"/>
      <c r="AG14" s="458">
        <v>6091</v>
      </c>
      <c r="AH14" s="156">
        <f t="shared" ref="AH14" si="63">AG14/($AG14)</f>
        <v>1</v>
      </c>
      <c r="AJ14" s="156">
        <f t="shared" si="3"/>
        <v>0</v>
      </c>
      <c r="AK14" s="458">
        <v>6188</v>
      </c>
      <c r="AL14" s="156">
        <f t="shared" si="3"/>
        <v>1.0159251354457397</v>
      </c>
      <c r="AM14" s="458">
        <v>6038</v>
      </c>
      <c r="AN14" s="156">
        <f t="shared" ref="AN14" si="64">AM14/($AG14)</f>
        <v>0.9912986373337711</v>
      </c>
      <c r="AO14" s="458">
        <v>5973</v>
      </c>
      <c r="AP14" s="156">
        <f t="shared" ref="AP14" si="65">AO14/($AG14)</f>
        <v>0.98062715481858476</v>
      </c>
      <c r="AQ14" s="458">
        <v>6091</v>
      </c>
      <c r="AR14" s="156">
        <f t="shared" ref="AR14" si="66">AQ14/($AG14)</f>
        <v>1</v>
      </c>
      <c r="AS14" s="458">
        <v>5924</v>
      </c>
      <c r="AT14" s="156">
        <f t="shared" ref="AT14:AX14" si="67">AS14/($AG14)</f>
        <v>0.97258249876867509</v>
      </c>
      <c r="AU14" s="1219"/>
      <c r="AV14" s="156">
        <f t="shared" si="67"/>
        <v>0</v>
      </c>
      <c r="AW14" s="1219">
        <v>5980</v>
      </c>
      <c r="AX14" s="156">
        <f t="shared" si="67"/>
        <v>0.98177639139714334</v>
      </c>
      <c r="AY14" s="1219"/>
      <c r="AZ14" s="156">
        <f t="shared" si="8"/>
        <v>0</v>
      </c>
      <c r="BA14" s="1219">
        <v>6028</v>
      </c>
      <c r="BB14" s="156">
        <f t="shared" si="9"/>
        <v>0.98965687079297326</v>
      </c>
      <c r="BC14" s="1219">
        <v>5684</v>
      </c>
      <c r="BD14" s="156">
        <f t="shared" si="10"/>
        <v>0.93318010178952548</v>
      </c>
      <c r="BE14" s="458">
        <v>5908</v>
      </c>
      <c r="BG14" s="458">
        <v>4283</v>
      </c>
      <c r="BI14" s="458">
        <v>2796</v>
      </c>
      <c r="BK14" s="458">
        <v>3377</v>
      </c>
      <c r="BM14" s="458">
        <v>7356</v>
      </c>
      <c r="BO14" s="458">
        <v>6265</v>
      </c>
      <c r="BQ14" s="458">
        <v>6336</v>
      </c>
      <c r="BS14" s="458">
        <v>6176</v>
      </c>
      <c r="BU14" s="458">
        <v>9134</v>
      </c>
      <c r="BW14" s="458">
        <v>4613</v>
      </c>
      <c r="BY14" s="458">
        <v>5758</v>
      </c>
      <c r="CA14" s="458">
        <v>5351</v>
      </c>
      <c r="CC14" s="458">
        <v>5047</v>
      </c>
      <c r="CE14" s="458">
        <v>4539</v>
      </c>
      <c r="CG14" s="458">
        <v>9395</v>
      </c>
      <c r="CI14" s="458">
        <v>8566</v>
      </c>
      <c r="CJ14" s="458" t="s">
        <v>1718</v>
      </c>
    </row>
    <row r="15" spans="1:88" s="458" customFormat="1" ht="14.25" customHeight="1">
      <c r="A15" s="683">
        <v>17</v>
      </c>
      <c r="B15" s="681" t="s">
        <v>134</v>
      </c>
      <c r="C15" s="682" t="str">
        <f t="shared" si="41"/>
        <v>{"username":"Bern.Sachbearbeiterin@diartis.ch","password":"XXxa22?pdTA66-S@"}</v>
      </c>
      <c r="D15" s="546"/>
      <c r="E15" s="456" t="str">
        <f t="shared" si="42"/>
        <v>{"username":"Bern.Sachbearbeiterin@diartis.ch","password":"XXxa22?pdTA66-S@"}</v>
      </c>
      <c r="F15" s="547" t="s">
        <v>29</v>
      </c>
      <c r="G15" s="548" t="s">
        <v>30</v>
      </c>
      <c r="H15" s="547" t="s">
        <v>31</v>
      </c>
      <c r="I15" s="550" t="s">
        <v>32</v>
      </c>
      <c r="J15" s="547" t="s">
        <v>37</v>
      </c>
      <c r="K15" s="555"/>
      <c r="L15" s="547"/>
      <c r="N15" s="547"/>
      <c r="P15" s="547"/>
      <c r="R15" s="547"/>
      <c r="T15" s="547"/>
      <c r="V15" s="547"/>
      <c r="Z15" s="456"/>
      <c r="AA15" s="456"/>
      <c r="AB15" s="456"/>
      <c r="AC15" s="456"/>
      <c r="AG15" s="458">
        <v>8851</v>
      </c>
      <c r="AH15" s="156">
        <f t="shared" ref="AH15" si="68">AG15/($AG15)</f>
        <v>1</v>
      </c>
      <c r="AJ15" s="156">
        <f t="shared" si="3"/>
        <v>0</v>
      </c>
      <c r="AK15" s="458">
        <v>9737</v>
      </c>
      <c r="AL15" s="156">
        <f t="shared" si="3"/>
        <v>1.1001016834256017</v>
      </c>
      <c r="AM15" s="458">
        <v>9656</v>
      </c>
      <c r="AN15" s="156">
        <f t="shared" ref="AN15" si="69">AM15/($AG15)</f>
        <v>1.0909501751214552</v>
      </c>
      <c r="AO15" s="458">
        <v>8829</v>
      </c>
      <c r="AP15" s="156">
        <f t="shared" ref="AP15" si="70">AO15/($AG15)</f>
        <v>0.99751440515196022</v>
      </c>
      <c r="AQ15" s="458">
        <v>8972</v>
      </c>
      <c r="AR15" s="156">
        <f t="shared" ref="AR15" si="71">AQ15/($AG15)</f>
        <v>1.0136707716642188</v>
      </c>
      <c r="AS15" s="458">
        <v>8246</v>
      </c>
      <c r="AT15" s="156">
        <f t="shared" ref="AT15:AX15" si="72">AS15/($AG15)</f>
        <v>0.93164614167890636</v>
      </c>
      <c r="AU15" s="1219"/>
      <c r="AV15" s="156">
        <f t="shared" si="72"/>
        <v>0</v>
      </c>
      <c r="AW15" s="1219">
        <v>9861</v>
      </c>
      <c r="AX15" s="156">
        <f t="shared" si="72"/>
        <v>1.1141113998418257</v>
      </c>
      <c r="AY15" s="1219"/>
      <c r="AZ15" s="156">
        <f t="shared" si="8"/>
        <v>0</v>
      </c>
      <c r="BA15" s="1219">
        <v>8287</v>
      </c>
      <c r="BB15" s="156">
        <f t="shared" si="9"/>
        <v>0.93627838662298046</v>
      </c>
      <c r="BC15" s="1219">
        <v>9957</v>
      </c>
      <c r="BD15" s="156">
        <f t="shared" si="10"/>
        <v>1.1249576319059993</v>
      </c>
      <c r="BE15" s="458">
        <v>9213</v>
      </c>
      <c r="BG15" s="458">
        <v>6986</v>
      </c>
      <c r="BI15" s="458">
        <v>6348</v>
      </c>
      <c r="BK15" s="458">
        <v>6274</v>
      </c>
      <c r="BM15" s="458">
        <v>9966</v>
      </c>
      <c r="BO15" s="458">
        <v>6080</v>
      </c>
      <c r="BQ15" s="458">
        <v>6079</v>
      </c>
      <c r="BS15" s="458">
        <v>7758</v>
      </c>
      <c r="BU15" s="458">
        <v>9664</v>
      </c>
      <c r="BW15" s="458">
        <v>23129</v>
      </c>
      <c r="BY15" s="458">
        <v>8725</v>
      </c>
      <c r="CA15" s="458">
        <v>8319</v>
      </c>
      <c r="CC15" s="458">
        <v>7176</v>
      </c>
      <c r="CE15" s="458">
        <v>9550</v>
      </c>
      <c r="CG15" s="458">
        <v>7127</v>
      </c>
      <c r="CI15" s="458">
        <v>7235</v>
      </c>
      <c r="CJ15" s="458" t="s">
        <v>1718</v>
      </c>
    </row>
    <row r="16" spans="1:88" s="458" customFormat="1" ht="14.25" customHeight="1">
      <c r="A16" s="683">
        <v>19</v>
      </c>
      <c r="B16" s="681" t="s">
        <v>127</v>
      </c>
      <c r="C16" s="682" t="str">
        <f t="shared" ca="1" si="41"/>
        <v>{"dossierInstitution":`SAR10_${p.AHVNumber5}_4-No17`,"klientschaft":`${p.FamilyName18}, ${p.ManFirstName18}`,"buttonBewilligung":"Bewilligen","checkStatus":"Bewilligt"}</v>
      </c>
      <c r="D16" s="546"/>
      <c r="E16" s="456" t="str">
        <f t="shared" ca="1" si="42"/>
        <v>{"dossierInstitution":`SAR10_${p.AHVNumber5}_4-No17`,"klientschaft":`${p.FamilyName18}, ${p.ManFirstName18}`,"buttonBewilligung":"Bewilligen","checkStatus":"Bewilligt"}</v>
      </c>
      <c r="F16" s="547" t="s">
        <v>335</v>
      </c>
      <c r="G16" s="458" t="str">
        <f ca="1">G14</f>
        <v>SAR10_${p.AHVNumber5}_4-No17</v>
      </c>
      <c r="H16" s="547" t="s">
        <v>336</v>
      </c>
      <c r="I16" s="458" t="str">
        <f ca="1">I19</f>
        <v>${p.FamilyName18}, ${p.ManFirstName18}</v>
      </c>
      <c r="J16" s="547" t="s">
        <v>130</v>
      </c>
      <c r="K16" s="555" t="s">
        <v>136</v>
      </c>
      <c r="L16" s="547" t="s">
        <v>132</v>
      </c>
      <c r="M16" s="547" t="s">
        <v>137</v>
      </c>
      <c r="N16" s="547" t="s">
        <v>37</v>
      </c>
      <c r="P16" s="547"/>
      <c r="R16" s="547"/>
      <c r="T16" s="547"/>
      <c r="V16" s="547"/>
      <c r="Z16" s="456"/>
      <c r="AA16" s="456"/>
      <c r="AB16" s="456"/>
      <c r="AC16" s="456"/>
      <c r="AG16" s="458">
        <v>9014</v>
      </c>
      <c r="AH16" s="156">
        <f t="shared" ref="AH16" si="73">AG16/($AG16)</f>
        <v>1</v>
      </c>
      <c r="AJ16" s="156">
        <f t="shared" si="3"/>
        <v>0</v>
      </c>
      <c r="AK16" s="458">
        <v>10116</v>
      </c>
      <c r="AL16" s="156">
        <f t="shared" si="3"/>
        <v>1.1222542711337919</v>
      </c>
      <c r="AM16" s="458">
        <v>10263</v>
      </c>
      <c r="AN16" s="156">
        <f t="shared" ref="AN16" si="74">AM16/($AG16)</f>
        <v>1.1385622365209673</v>
      </c>
      <c r="AO16" s="458">
        <v>10467</v>
      </c>
      <c r="AP16" s="156">
        <f t="shared" ref="AP16" si="75">AO16/($AG16)</f>
        <v>1.1611936986909253</v>
      </c>
      <c r="AQ16" s="458">
        <v>10072</v>
      </c>
      <c r="AR16" s="156">
        <f t="shared" ref="AR16" si="76">AQ16/($AG16)</f>
        <v>1.1173729753716442</v>
      </c>
      <c r="AS16" s="458">
        <v>10109</v>
      </c>
      <c r="AT16" s="156">
        <f t="shared" ref="AT16:AX16" si="77">AS16/($AG16)</f>
        <v>1.1214777013534503</v>
      </c>
      <c r="AU16" s="1219"/>
      <c r="AV16" s="156">
        <f t="shared" si="77"/>
        <v>0</v>
      </c>
      <c r="AW16" s="1219">
        <v>10587</v>
      </c>
      <c r="AX16" s="156">
        <f t="shared" si="77"/>
        <v>1.1745063234967827</v>
      </c>
      <c r="AY16" s="1219"/>
      <c r="AZ16" s="156">
        <f t="shared" si="8"/>
        <v>0</v>
      </c>
      <c r="BA16" s="1219">
        <v>9959</v>
      </c>
      <c r="BB16" s="156">
        <f t="shared" si="9"/>
        <v>1.1048369203461283</v>
      </c>
      <c r="BC16" s="1219">
        <v>10393</v>
      </c>
      <c r="BD16" s="156">
        <f t="shared" si="10"/>
        <v>1.152984246727313</v>
      </c>
      <c r="BE16" s="458">
        <v>10698</v>
      </c>
      <c r="BG16" s="458">
        <v>9995</v>
      </c>
      <c r="BI16" s="458">
        <v>9280</v>
      </c>
      <c r="BK16" s="458">
        <v>10025</v>
      </c>
      <c r="BM16" s="458">
        <v>8680</v>
      </c>
      <c r="BO16" s="458">
        <v>9850</v>
      </c>
      <c r="BQ16" s="458">
        <v>9788</v>
      </c>
      <c r="BS16" s="458">
        <v>9007</v>
      </c>
      <c r="BU16" s="458">
        <v>10025</v>
      </c>
      <c r="BW16" s="458">
        <v>11105</v>
      </c>
      <c r="BY16" s="458">
        <v>13012</v>
      </c>
      <c r="CA16" s="458">
        <v>11772</v>
      </c>
      <c r="CC16" s="458">
        <v>12437</v>
      </c>
      <c r="CE16" s="458">
        <v>11236</v>
      </c>
      <c r="CG16" s="458">
        <v>9163</v>
      </c>
      <c r="CI16" s="458">
        <v>8599</v>
      </c>
      <c r="CJ16" s="458" t="s">
        <v>1718</v>
      </c>
    </row>
    <row r="17" spans="1:88" s="458" customFormat="1" ht="14.25" customHeight="1">
      <c r="A17" s="685"/>
      <c r="B17" s="686" t="s">
        <v>139</v>
      </c>
      <c r="C17" s="682" t="str">
        <f t="shared" ca="1" si="41"/>
        <v>{"searchDossierOrKlient":`SAR10_${p.AHVNumber5}_4-No17`,"resultType":"Dossiers"}</v>
      </c>
      <c r="D17" s="546"/>
      <c r="E17" s="456" t="str">
        <f t="shared" ca="1" si="42"/>
        <v>{"searchDossierOrKlient":`SAR10_${p.AHVNumber5}_4-No17`,"resultType":"Dossiers"}</v>
      </c>
      <c r="F17" s="547" t="s">
        <v>407</v>
      </c>
      <c r="G17" s="557" t="str">
        <f ca="1">G$11</f>
        <v>SAR10_${p.AHVNumber5}_4-No17</v>
      </c>
      <c r="H17" s="547" t="s">
        <v>408</v>
      </c>
      <c r="I17" s="458" t="s">
        <v>142</v>
      </c>
      <c r="J17" s="547" t="s">
        <v>37</v>
      </c>
      <c r="L17" s="547"/>
      <c r="N17" s="547"/>
      <c r="P17" s="547"/>
      <c r="R17" s="547"/>
      <c r="T17" s="547"/>
      <c r="V17" s="547"/>
      <c r="Z17" s="456"/>
      <c r="AA17" s="456"/>
      <c r="AH17" s="156" t="e">
        <f t="shared" ref="AH17" si="78">AG17/($AG17)</f>
        <v>#DIV/0!</v>
      </c>
      <c r="AJ17" s="156" t="e">
        <f t="shared" si="3"/>
        <v>#DIV/0!</v>
      </c>
      <c r="AL17" s="156" t="e">
        <f t="shared" si="3"/>
        <v>#DIV/0!</v>
      </c>
      <c r="AN17" s="156" t="e">
        <f t="shared" ref="AN17" si="79">AM17/($AG17)</f>
        <v>#DIV/0!</v>
      </c>
      <c r="AP17" s="156" t="e">
        <f t="shared" ref="AP17" si="80">AO17/($AG17)</f>
        <v>#DIV/0!</v>
      </c>
      <c r="AR17" s="156" t="e">
        <f t="shared" ref="AR17" si="81">AQ17/($AG17)</f>
        <v>#DIV/0!</v>
      </c>
      <c r="AT17" s="156" t="e">
        <f t="shared" ref="AT17:AX17" si="82">AS17/($AG17)</f>
        <v>#DIV/0!</v>
      </c>
      <c r="AU17" s="1219"/>
      <c r="AV17" s="156" t="e">
        <f t="shared" si="82"/>
        <v>#DIV/0!</v>
      </c>
      <c r="AW17" s="1219"/>
      <c r="AX17" s="156" t="e">
        <f t="shared" si="82"/>
        <v>#DIV/0!</v>
      </c>
      <c r="AY17" s="1219"/>
      <c r="AZ17" s="156" t="e">
        <f t="shared" si="8"/>
        <v>#DIV/0!</v>
      </c>
      <c r="BA17" s="1219"/>
      <c r="BB17" s="156" t="e">
        <f t="shared" si="9"/>
        <v>#DIV/0!</v>
      </c>
      <c r="BC17" s="1219"/>
      <c r="BD17" s="156" t="e">
        <f t="shared" si="10"/>
        <v>#DIV/0!</v>
      </c>
    </row>
    <row r="18" spans="1:88" s="462" customFormat="1" ht="14.25" customHeight="1">
      <c r="A18" s="683"/>
      <c r="B18" s="686" t="s">
        <v>448</v>
      </c>
      <c r="C18" s="686" t="e">
        <f t="shared" si="41"/>
        <v>#REF!</v>
      </c>
      <c r="D18" s="546"/>
      <c r="E18" s="462" t="e">
        <f>F18&amp;G18&amp;H18&amp;I18&amp;J18&amp;K18&amp;L18&amp;M18&amp;N18&amp;O18&amp;P18&amp;Q18&amp;R18&amp;S18&amp;T18&amp;U18&amp;V18&amp;W18&amp;X18&amp;Y18&amp;Z18&amp;AA18&amp;AB18&amp;AC18</f>
        <v>#REF!</v>
      </c>
      <c r="F18" s="557" t="s">
        <v>348</v>
      </c>
      <c r="G18" s="557" t="e">
        <f>#REF!</f>
        <v>#REF!</v>
      </c>
      <c r="H18" s="558" t="s">
        <v>1288</v>
      </c>
      <c r="I18" s="558" t="s">
        <v>964</v>
      </c>
      <c r="J18" s="558" t="s">
        <v>452</v>
      </c>
      <c r="K18" s="462" t="s">
        <v>1289</v>
      </c>
      <c r="L18" s="558" t="s">
        <v>454</v>
      </c>
      <c r="M18" s="462" t="s">
        <v>1290</v>
      </c>
      <c r="N18" s="558" t="s">
        <v>456</v>
      </c>
      <c r="O18" s="559"/>
      <c r="P18" s="560" t="s">
        <v>101</v>
      </c>
      <c r="Q18" s="462" t="s">
        <v>1291</v>
      </c>
      <c r="R18" s="558" t="s">
        <v>458</v>
      </c>
      <c r="S18" s="462">
        <v>12</v>
      </c>
      <c r="T18" s="558" t="s">
        <v>459</v>
      </c>
      <c r="U18" s="462" t="s">
        <v>1292</v>
      </c>
      <c r="V18" s="559" t="s">
        <v>37</v>
      </c>
      <c r="AB18" s="549"/>
      <c r="AC18" s="549"/>
      <c r="AH18" s="156" t="e">
        <f t="shared" ref="AH18" si="83">AG18/($AG18)</f>
        <v>#DIV/0!</v>
      </c>
      <c r="AJ18" s="156" t="e">
        <f t="shared" si="3"/>
        <v>#DIV/0!</v>
      </c>
      <c r="AL18" s="156" t="e">
        <f t="shared" si="3"/>
        <v>#DIV/0!</v>
      </c>
      <c r="AN18" s="156" t="e">
        <f t="shared" ref="AN18" si="84">AM18/($AG18)</f>
        <v>#DIV/0!</v>
      </c>
      <c r="AP18" s="156" t="e">
        <f t="shared" ref="AP18" si="85">AO18/($AG18)</f>
        <v>#DIV/0!</v>
      </c>
      <c r="AR18" s="156" t="e">
        <f t="shared" ref="AR18" si="86">AQ18/($AG18)</f>
        <v>#DIV/0!</v>
      </c>
      <c r="AT18" s="156" t="e">
        <f t="shared" ref="AT18:AX18" si="87">AS18/($AG18)</f>
        <v>#DIV/0!</v>
      </c>
      <c r="AU18" s="1220"/>
      <c r="AV18" s="156" t="e">
        <f t="shared" si="87"/>
        <v>#DIV/0!</v>
      </c>
      <c r="AW18" s="1220"/>
      <c r="AX18" s="156" t="e">
        <f t="shared" si="87"/>
        <v>#DIV/0!</v>
      </c>
      <c r="AY18" s="1220"/>
      <c r="AZ18" s="156" t="e">
        <f t="shared" si="8"/>
        <v>#DIV/0!</v>
      </c>
      <c r="BA18" s="1220"/>
      <c r="BB18" s="156" t="e">
        <f t="shared" si="9"/>
        <v>#DIV/0!</v>
      </c>
      <c r="BC18" s="1220"/>
      <c r="BD18" s="156" t="e">
        <f t="shared" si="10"/>
        <v>#DIV/0!</v>
      </c>
    </row>
    <row r="19" spans="1:88" s="458" customFormat="1" ht="14.25" customHeight="1">
      <c r="A19" s="685">
        <v>20</v>
      </c>
      <c r="B19" s="686" t="s">
        <v>158</v>
      </c>
      <c r="C19" s="682" t="str">
        <f t="shared" ca="1" si="41"/>
        <v>{"dossier":`SAR10_${p.AHVNumber5}_4-No17`,"klientschaft":`${p.FamilyName18}, ${p.ManFirstName18}`}</v>
      </c>
      <c r="D19" s="546"/>
      <c r="E19" s="456" t="str">
        <f ca="1">F19&amp;G19&amp;H19&amp;I19&amp;J19&amp;K19&amp;L19&amp;M19&amp;N19&amp;O19&amp;P19&amp;Q19&amp;R19&amp;S19&amp;T19&amp;U19&amp;V19&amp;W19&amp;X19</f>
        <v>{"dossier":`SAR10_${p.AHVNumber5}_4-No17`,"klientschaft":`${p.FamilyName18}, ${p.ManFirstName18}`}</v>
      </c>
      <c r="F19" s="485" t="s">
        <v>348</v>
      </c>
      <c r="G19" s="557" t="str">
        <f ca="1">G$11</f>
        <v>SAR10_${p.AHVNumber5}_4-No17</v>
      </c>
      <c r="H19" s="547" t="s">
        <v>336</v>
      </c>
      <c r="I19" s="553" t="str">
        <f ca="1">"${"&amp;$G$4&amp;"}, ${"&amp;$I$4&amp;"}"</f>
        <v>${p.FamilyName18}, ${p.ManFirstName18}</v>
      </c>
      <c r="J19" s="547" t="s">
        <v>160</v>
      </c>
      <c r="L19" s="547"/>
      <c r="N19" s="547"/>
      <c r="P19" s="547"/>
      <c r="R19" s="547"/>
      <c r="T19" s="547"/>
      <c r="V19" s="547"/>
      <c r="Z19" s="456"/>
      <c r="AA19" s="456"/>
      <c r="AH19" s="156" t="e">
        <f t="shared" ref="AH19" si="88">AG19/($AG19)</f>
        <v>#DIV/0!</v>
      </c>
      <c r="AJ19" s="156" t="e">
        <f t="shared" si="3"/>
        <v>#DIV/0!</v>
      </c>
      <c r="AL19" s="156" t="e">
        <f t="shared" si="3"/>
        <v>#DIV/0!</v>
      </c>
      <c r="AN19" s="156" t="e">
        <f t="shared" ref="AN19" si="89">AM19/($AG19)</f>
        <v>#DIV/0!</v>
      </c>
      <c r="AP19" s="156" t="e">
        <f t="shared" ref="AP19" si="90">AO19/($AG19)</f>
        <v>#DIV/0!</v>
      </c>
      <c r="AR19" s="156" t="e">
        <f t="shared" ref="AR19" si="91">AQ19/($AG19)</f>
        <v>#DIV/0!</v>
      </c>
      <c r="AT19" s="156" t="e">
        <f t="shared" ref="AT19:AX19" si="92">AS19/($AG19)</f>
        <v>#DIV/0!</v>
      </c>
      <c r="AU19" s="1219"/>
      <c r="AV19" s="156" t="e">
        <f t="shared" si="92"/>
        <v>#DIV/0!</v>
      </c>
      <c r="AW19" s="1219"/>
      <c r="AX19" s="156" t="e">
        <f t="shared" si="92"/>
        <v>#DIV/0!</v>
      </c>
      <c r="AY19" s="1219"/>
      <c r="AZ19" s="156" t="e">
        <f t="shared" si="8"/>
        <v>#DIV/0!</v>
      </c>
      <c r="BA19" s="1219"/>
      <c r="BB19" s="156" t="e">
        <f t="shared" si="9"/>
        <v>#DIV/0!</v>
      </c>
      <c r="BC19" s="1219"/>
      <c r="BD19" s="156" t="e">
        <f t="shared" si="10"/>
        <v>#DIV/0!</v>
      </c>
      <c r="BO19" s="458">
        <v>13186</v>
      </c>
      <c r="BQ19" s="458">
        <v>25251</v>
      </c>
      <c r="BS19" s="458">
        <v>10393</v>
      </c>
      <c r="BU19" s="458">
        <v>11472</v>
      </c>
      <c r="BW19" s="458">
        <v>9498</v>
      </c>
      <c r="BY19" s="458">
        <v>9064</v>
      </c>
      <c r="CA19" s="458">
        <v>8262</v>
      </c>
      <c r="CC19" s="458">
        <v>8897</v>
      </c>
      <c r="CE19" s="458">
        <v>10256</v>
      </c>
      <c r="CG19" s="458">
        <v>12953</v>
      </c>
      <c r="CI19" s="458">
        <v>8753</v>
      </c>
      <c r="CJ19" s="458" t="s">
        <v>1718</v>
      </c>
    </row>
    <row r="20" spans="1:88" s="458" customFormat="1" ht="14.25" customHeight="1">
      <c r="A20" s="683"/>
      <c r="B20" s="686" t="s">
        <v>161</v>
      </c>
      <c r="C20" s="682" t="str">
        <f t="shared" ca="1" si="41"/>
        <v>{"zahlbarDurch":"BKW Energie AG","pensumm":"100","betrag":"1000","gueltigVon":"01.01.2025","gueltigBis":"31.12.2025","checkbox":"x"}</v>
      </c>
      <c r="D20" s="546"/>
      <c r="E20" s="456" t="str">
        <f ca="1">F20&amp;G20&amp;H20&amp;I20&amp;J20&amp;K20&amp;L20&amp;M20&amp;N20&amp;O20&amp;P20&amp;Q20&amp;R20&amp;S20&amp;T20&amp;U20&amp;V20&amp;W20&amp;X20</f>
        <v>{"zahlbarDurch":"BKW Energie AG","pensumm":"100","betrag":"1000","gueltigVon":"01.01.2025","gueltigBis":"31.12.2025","checkbox":"x"}</v>
      </c>
      <c r="F20" s="561" t="s">
        <v>162</v>
      </c>
      <c r="G20" s="546"/>
      <c r="H20" s="547" t="s">
        <v>163</v>
      </c>
      <c r="I20" s="546" t="s">
        <v>164</v>
      </c>
      <c r="J20" s="547" t="s">
        <v>165</v>
      </c>
      <c r="K20" s="546">
        <v>100</v>
      </c>
      <c r="L20" s="547" t="s">
        <v>166</v>
      </c>
      <c r="M20" s="546">
        <v>1000</v>
      </c>
      <c r="N20" s="547" t="s">
        <v>167</v>
      </c>
      <c r="O20" s="546" t="str">
        <f ca="1">"01.01."&amp;YEAR(TODAY())</f>
        <v>01.01.2025</v>
      </c>
      <c r="P20" s="546" t="s">
        <v>168</v>
      </c>
      <c r="Q20" s="546" t="str">
        <f ca="1">"31.12."&amp;YEAR(TODAY()+1)</f>
        <v>31.12.2025</v>
      </c>
      <c r="R20" s="547" t="s">
        <v>169</v>
      </c>
      <c r="S20" s="546" t="s">
        <v>170</v>
      </c>
      <c r="T20" s="547" t="s">
        <v>37</v>
      </c>
      <c r="V20" s="547"/>
      <c r="Z20" s="456"/>
      <c r="AA20" s="456"/>
      <c r="AH20" s="156" t="e">
        <f t="shared" ref="AH20" si="93">AG20/($AG20)</f>
        <v>#DIV/0!</v>
      </c>
      <c r="AJ20" s="156" t="e">
        <f t="shared" si="3"/>
        <v>#DIV/0!</v>
      </c>
      <c r="AL20" s="156" t="e">
        <f t="shared" si="3"/>
        <v>#DIV/0!</v>
      </c>
      <c r="AN20" s="156" t="e">
        <f t="shared" ref="AN20" si="94">AM20/($AG20)</f>
        <v>#DIV/0!</v>
      </c>
      <c r="AP20" s="156" t="e">
        <f t="shared" ref="AP20" si="95">AO20/($AG20)</f>
        <v>#DIV/0!</v>
      </c>
      <c r="AR20" s="156" t="e">
        <f t="shared" ref="AR20" si="96">AQ20/($AG20)</f>
        <v>#DIV/0!</v>
      </c>
      <c r="AT20" s="156" t="e">
        <f t="shared" ref="AT20:AX20" si="97">AS20/($AG20)</f>
        <v>#DIV/0!</v>
      </c>
      <c r="AU20" s="1219"/>
      <c r="AV20" s="156" t="e">
        <f t="shared" si="97"/>
        <v>#DIV/0!</v>
      </c>
      <c r="AW20" s="1219"/>
      <c r="AX20" s="156" t="e">
        <f t="shared" si="97"/>
        <v>#DIV/0!</v>
      </c>
      <c r="AY20" s="1219"/>
      <c r="AZ20" s="156" t="e">
        <f t="shared" si="8"/>
        <v>#DIV/0!</v>
      </c>
      <c r="BA20" s="1219"/>
      <c r="BB20" s="156" t="e">
        <f t="shared" si="9"/>
        <v>#DIV/0!</v>
      </c>
      <c r="BC20" s="1219"/>
      <c r="BD20" s="156" t="e">
        <f t="shared" si="10"/>
        <v>#DIV/0!</v>
      </c>
    </row>
    <row r="21" spans="1:88" s="458" customFormat="1" ht="14.25" customHeight="1">
      <c r="A21" s="685"/>
      <c r="B21" s="686" t="s">
        <v>139</v>
      </c>
      <c r="C21" s="682" t="str">
        <f t="shared" ca="1" si="41"/>
        <v>{"searchDossierOrKlient":`SAR10_${p.AHVNumber5}_4-No17`,"resultType":"Dossiers"}</v>
      </c>
      <c r="D21" s="546"/>
      <c r="E21" s="456" t="str">
        <f ca="1">F21&amp;G21&amp;H21&amp;I21&amp;J21&amp;K21&amp;L21&amp;M21&amp;N21&amp;O21&amp;P21&amp;Q21&amp;R21&amp;S21&amp;T21&amp;U21&amp;V21&amp;W21&amp;X21</f>
        <v>{"searchDossierOrKlient":`SAR10_${p.AHVNumber5}_4-No17`,"resultType":"Dossiers"}</v>
      </c>
      <c r="F21" s="547" t="s">
        <v>407</v>
      </c>
      <c r="G21" s="557" t="str">
        <f ca="1">G$11</f>
        <v>SAR10_${p.AHVNumber5}_4-No17</v>
      </c>
      <c r="H21" s="547" t="s">
        <v>408</v>
      </c>
      <c r="I21" s="458" t="s">
        <v>142</v>
      </c>
      <c r="J21" s="547" t="s">
        <v>37</v>
      </c>
      <c r="L21" s="547"/>
      <c r="N21" s="547"/>
      <c r="P21" s="547"/>
      <c r="R21" s="547"/>
      <c r="T21" s="547"/>
      <c r="V21" s="547"/>
      <c r="Z21" s="456"/>
      <c r="AA21" s="456"/>
      <c r="AH21" s="156" t="e">
        <f t="shared" ref="AH21" si="98">AG21/($AG21)</f>
        <v>#DIV/0!</v>
      </c>
      <c r="AJ21" s="156" t="e">
        <f t="shared" si="3"/>
        <v>#DIV/0!</v>
      </c>
      <c r="AL21" s="156" t="e">
        <f t="shared" si="3"/>
        <v>#DIV/0!</v>
      </c>
      <c r="AN21" s="156" t="e">
        <f t="shared" ref="AN21" si="99">AM21/($AG21)</f>
        <v>#DIV/0!</v>
      </c>
      <c r="AP21" s="156" t="e">
        <f t="shared" ref="AP21" si="100">AO21/($AG21)</f>
        <v>#DIV/0!</v>
      </c>
      <c r="AR21" s="156" t="e">
        <f t="shared" ref="AR21" si="101">AQ21/($AG21)</f>
        <v>#DIV/0!</v>
      </c>
      <c r="AT21" s="156" t="e">
        <f t="shared" ref="AT21:AX21" si="102">AS21/($AG21)</f>
        <v>#DIV/0!</v>
      </c>
      <c r="AU21" s="1219"/>
      <c r="AV21" s="156" t="e">
        <f t="shared" si="102"/>
        <v>#DIV/0!</v>
      </c>
      <c r="AW21" s="1219"/>
      <c r="AX21" s="156" t="e">
        <f t="shared" si="102"/>
        <v>#DIV/0!</v>
      </c>
      <c r="AY21" s="1219"/>
      <c r="AZ21" s="156" t="e">
        <f t="shared" si="8"/>
        <v>#DIV/0!</v>
      </c>
      <c r="BA21" s="1219"/>
      <c r="BB21" s="156" t="e">
        <f t="shared" si="9"/>
        <v>#DIV/0!</v>
      </c>
      <c r="BC21" s="1219"/>
      <c r="BD21" s="156" t="e">
        <f t="shared" si="10"/>
        <v>#DIV/0!</v>
      </c>
    </row>
    <row r="22" spans="1:88" s="458" customFormat="1" ht="14.25" customHeight="1">
      <c r="A22" s="685">
        <v>14</v>
      </c>
      <c r="B22" s="681" t="s">
        <v>180</v>
      </c>
      <c r="C22" s="682" t="str">
        <f t="shared" ca="1" si="41"/>
        <v>{"entscheidVom":"04.11.2025","begrundung":"Gar keine Begründung","unterstutzungab":"01.11.2025"}</v>
      </c>
      <c r="D22" s="546"/>
      <c r="E22" s="456" t="str">
        <f ca="1">F22&amp;G22&amp;H22&amp;I22&amp;J22&amp;K22&amp;L22&amp;M22&amp;N22&amp;O22&amp;P22&amp;Q22&amp;R22&amp;S22&amp;T22&amp;U22&amp;V22&amp;W22&amp;X22</f>
        <v>{"entscheidVom":"04.11.2025","begrundung":"Gar keine Begründung","unterstutzungab":"01.11.2025"}</v>
      </c>
      <c r="F22" s="547" t="s">
        <v>181</v>
      </c>
      <c r="G22" s="555" t="str">
        <f ca="1">TEXT(TEXT(TODAY(),"DD")&amp;"."&amp;TEXT(TODAY(),"MM")&amp;"."&amp;TEXT(TODAY(),"YYYY"),"DD.MM.YYYY")</f>
        <v>04.11.2025</v>
      </c>
      <c r="H22" s="547" t="s">
        <v>182</v>
      </c>
      <c r="I22" s="458" t="s">
        <v>183</v>
      </c>
      <c r="J22" s="547" t="s">
        <v>184</v>
      </c>
      <c r="K22" s="555" t="str">
        <f ca="1">TEXT(TEXT(1,"DD")&amp;"."&amp;TEXT(TODAY(),"MM")&amp;"."&amp;TEXT(TODAY(),"YYYY"),"DD.MM.YYYY")</f>
        <v>01.11.2025</v>
      </c>
      <c r="L22" s="547" t="s">
        <v>37</v>
      </c>
      <c r="N22" s="547"/>
      <c r="P22" s="547"/>
      <c r="R22" s="547"/>
      <c r="T22" s="547"/>
      <c r="V22" s="547"/>
      <c r="Z22" s="456"/>
      <c r="AA22" s="456"/>
      <c r="AG22" s="458">
        <v>4012</v>
      </c>
      <c r="AH22" s="156">
        <f t="shared" ref="AH22" si="103">AG22/($AG22)</f>
        <v>1</v>
      </c>
      <c r="AJ22" s="156">
        <f t="shared" si="3"/>
        <v>0</v>
      </c>
      <c r="AK22" s="458">
        <v>10937</v>
      </c>
      <c r="AL22" s="156">
        <f t="shared" si="3"/>
        <v>2.726071784646062</v>
      </c>
      <c r="AM22" s="458">
        <v>10659</v>
      </c>
      <c r="AN22" s="156">
        <f t="shared" ref="AN22" si="104">AM22/($AG22)</f>
        <v>2.656779661016949</v>
      </c>
      <c r="AO22" s="458">
        <v>10362</v>
      </c>
      <c r="AP22" s="156">
        <f t="shared" ref="AP22" si="105">AO22/($AG22)</f>
        <v>2.5827517447657029</v>
      </c>
      <c r="AQ22" s="458">
        <v>10480</v>
      </c>
      <c r="AR22" s="156">
        <f t="shared" ref="AR22" si="106">AQ22/($AG22)</f>
        <v>2.6121635094715852</v>
      </c>
      <c r="AS22" s="458">
        <v>10399</v>
      </c>
      <c r="AT22" s="156">
        <f t="shared" ref="AT22:AX22" si="107">AS22/($AG22)</f>
        <v>2.5919740777666997</v>
      </c>
      <c r="AU22" s="1219"/>
      <c r="AV22" s="156">
        <f t="shared" si="107"/>
        <v>0</v>
      </c>
      <c r="AW22" s="1219">
        <v>11082</v>
      </c>
      <c r="AX22" s="156">
        <f t="shared" si="107"/>
        <v>2.7622133599202394</v>
      </c>
      <c r="AY22" s="1219"/>
      <c r="AZ22" s="156">
        <f t="shared" si="8"/>
        <v>0</v>
      </c>
      <c r="BA22" s="1219">
        <v>10325</v>
      </c>
      <c r="BB22" s="156">
        <f t="shared" si="9"/>
        <v>2.5735294117647061</v>
      </c>
      <c r="BC22" s="1219">
        <v>10500</v>
      </c>
      <c r="BD22" s="156">
        <f t="shared" si="10"/>
        <v>2.617148554336989</v>
      </c>
      <c r="BE22" s="458">
        <v>9511</v>
      </c>
      <c r="BG22" s="458">
        <v>8022</v>
      </c>
      <c r="BI22" s="458">
        <v>7582</v>
      </c>
      <c r="BK22" s="458">
        <v>7802</v>
      </c>
      <c r="BM22" s="1971">
        <v>0</v>
      </c>
      <c r="BN22" s="1972" t="s">
        <v>1385</v>
      </c>
      <c r="BO22" s="2073">
        <v>0</v>
      </c>
      <c r="BP22" s="2074" t="s">
        <v>1402</v>
      </c>
      <c r="BQ22" s="2263">
        <v>0</v>
      </c>
      <c r="BR22" s="2264" t="s">
        <v>1432</v>
      </c>
      <c r="BS22" s="2426">
        <v>0</v>
      </c>
      <c r="BT22" s="2427" t="s">
        <v>1432</v>
      </c>
      <c r="BU22" s="458">
        <v>7737</v>
      </c>
      <c r="BW22" s="458">
        <v>15640</v>
      </c>
      <c r="BY22" s="458">
        <v>17117</v>
      </c>
      <c r="CA22" s="458">
        <v>16077</v>
      </c>
      <c r="CC22" s="458">
        <v>16148</v>
      </c>
      <c r="CE22" s="458">
        <v>15926</v>
      </c>
      <c r="CG22" s="458">
        <v>5319</v>
      </c>
      <c r="CI22" s="458">
        <v>5260</v>
      </c>
      <c r="CJ22" s="458" t="s">
        <v>1718</v>
      </c>
    </row>
    <row r="23" spans="1:88" s="458" customFormat="1" ht="14.25" customHeight="1">
      <c r="A23" s="685"/>
      <c r="B23" s="681" t="s">
        <v>185</v>
      </c>
      <c r="C23" s="682" t="str">
        <f t="shared" ca="1" si="41"/>
        <v>{"ubernahmeWohnkostenCFH":"100","uebernahmeWohnkostenVon":"01.11.2025","uebernahmeWohnkostenBis":"27.8.2026","uebernahemBegruendung":"Die Wohnungen sind teuer hier"}</v>
      </c>
      <c r="D23" s="546"/>
      <c r="E23" s="456" t="str">
        <f ca="1">F23&amp;G23&amp;H23&amp;I23&amp;J23&amp;K23&amp;L23&amp;M23&amp;N23&amp;O23&amp;P23&amp;Q23&amp;R23&amp;S23&amp;T23&amp;U23&amp;V23&amp;W23&amp;X23</f>
        <v>{"ubernahmeWohnkostenCFH":"100","uebernahmeWohnkostenVon":"01.11.2025","uebernahmeWohnkostenBis":"27.8.2026","uebernahemBegruendung":"Die Wohnungen sind teuer hier"}</v>
      </c>
      <c r="F23" s="562" t="s">
        <v>186</v>
      </c>
      <c r="G23" s="458">
        <v>100</v>
      </c>
      <c r="H23" s="458" t="s">
        <v>187</v>
      </c>
      <c r="I23" s="555" t="str">
        <f ca="1">"01."&amp;MONTH(TODAY())&amp;"."&amp;YEAR(TODAY())</f>
        <v>01.11.2025</v>
      </c>
      <c r="J23" s="458" t="s">
        <v>188</v>
      </c>
      <c r="K23" s="555" t="str">
        <f ca="1">"27."&amp;MONTH(TODAY()+300)&amp;"."&amp;YEAR(TODAY()+300)</f>
        <v>27.8.2026</v>
      </c>
      <c r="L23" s="547" t="s">
        <v>189</v>
      </c>
      <c r="M23" s="458" t="s">
        <v>190</v>
      </c>
      <c r="N23" s="547" t="s">
        <v>37</v>
      </c>
      <c r="Z23" s="456"/>
      <c r="AA23" s="456"/>
      <c r="AH23" s="156" t="e">
        <f t="shared" ref="AH23" si="108">AG23/($AG23)</f>
        <v>#DIV/0!</v>
      </c>
      <c r="AJ23" s="156" t="e">
        <f t="shared" si="3"/>
        <v>#DIV/0!</v>
      </c>
      <c r="AL23" s="156" t="e">
        <f t="shared" si="3"/>
        <v>#DIV/0!</v>
      </c>
      <c r="AN23" s="156" t="e">
        <f t="shared" ref="AN23" si="109">AM23/($AG23)</f>
        <v>#DIV/0!</v>
      </c>
      <c r="AP23" s="156" t="e">
        <f t="shared" ref="AP23" si="110">AO23/($AG23)</f>
        <v>#DIV/0!</v>
      </c>
      <c r="AR23" s="156" t="e">
        <f t="shared" ref="AR23" si="111">AQ23/($AG23)</f>
        <v>#DIV/0!</v>
      </c>
      <c r="AT23" s="156" t="e">
        <f t="shared" ref="AT23:AX23" si="112">AS23/($AG23)</f>
        <v>#DIV/0!</v>
      </c>
      <c r="AU23" s="1219"/>
      <c r="AV23" s="156" t="e">
        <f t="shared" si="112"/>
        <v>#DIV/0!</v>
      </c>
      <c r="AW23" s="1219"/>
      <c r="AX23" s="156" t="e">
        <f t="shared" si="112"/>
        <v>#DIV/0!</v>
      </c>
      <c r="AY23" s="1219"/>
      <c r="AZ23" s="156" t="e">
        <f t="shared" si="8"/>
        <v>#DIV/0!</v>
      </c>
      <c r="BA23" s="1219"/>
      <c r="BB23" s="156" t="e">
        <f t="shared" si="9"/>
        <v>#DIV/0!</v>
      </c>
      <c r="BC23" s="1219"/>
      <c r="BD23" s="156" t="e">
        <f t="shared" si="10"/>
        <v>#DIV/0!</v>
      </c>
    </row>
    <row r="24" spans="1:88" s="458" customFormat="1" ht="14.25" customHeight="1">
      <c r="A24" s="685">
        <v>15</v>
      </c>
      <c r="B24" s="3662" t="s">
        <v>191</v>
      </c>
      <c r="C24" s="682" t="str">
        <f t="shared" ref="C24:C28" ca="1" si="113">E24</f>
        <v>{"lEvonDate":"04.11.2025","lEbisDate":"04.11.2026","checkStatus":"In Bearbeitung"}</v>
      </c>
      <c r="D24" s="546"/>
      <c r="E24" s="456" t="str">
        <f t="shared" ref="E24:E28" ca="1" si="114">F24&amp;G24&amp;H24&amp;I24&amp;J24&amp;K24&amp;L24&amp;M24&amp;N24&amp;O24&amp;P24&amp;Q24&amp;R24&amp;S24&amp;T24&amp;U24&amp;V24&amp;W24&amp;X24</f>
        <v>{"lEvonDate":"04.11.2025","lEbisDate":"04.11.2026","checkStatus":"In Bearbeitung"}</v>
      </c>
      <c r="F24" s="547" t="s">
        <v>192</v>
      </c>
      <c r="G24" s="555" t="str">
        <f ca="1">TEXT(TEXT(TODAY(),"DD")&amp;"."&amp;TEXT(TODAY(),"MM")&amp;"."&amp;TEXT(TODAY(),"YYYY"),"DD.MM.YYYY")</f>
        <v>04.11.2025</v>
      </c>
      <c r="H24" s="547" t="s">
        <v>193</v>
      </c>
      <c r="I24" s="555" t="str">
        <f ca="1">TEXT(TEXT(TODAY(),"DD")&amp;"."&amp;TEXT(TODAY(),"MM")&amp;"."&amp;TEXT(TODAY()+365,"YYYY"),"DD.MM.YYYY")</f>
        <v>04.11.2026</v>
      </c>
      <c r="J24" s="547" t="s">
        <v>132</v>
      </c>
      <c r="K24" s="458" t="s">
        <v>133</v>
      </c>
      <c r="L24" s="547" t="s">
        <v>37</v>
      </c>
      <c r="N24" s="547"/>
      <c r="P24" s="547"/>
      <c r="R24" s="547"/>
      <c r="T24" s="547"/>
      <c r="V24" s="547"/>
      <c r="Z24" s="456"/>
      <c r="AA24" s="456"/>
      <c r="AG24" s="458">
        <v>12207</v>
      </c>
      <c r="AH24" s="156">
        <f t="shared" ref="AH24" si="115">AG24/($AG24)</f>
        <v>1</v>
      </c>
      <c r="AJ24" s="156">
        <f t="shared" si="3"/>
        <v>0</v>
      </c>
      <c r="AK24" s="458">
        <v>10837</v>
      </c>
      <c r="AL24" s="156">
        <f t="shared" si="3"/>
        <v>0.88776931268944048</v>
      </c>
      <c r="AM24" s="458">
        <v>13322</v>
      </c>
      <c r="AN24" s="156">
        <f t="shared" ref="AN24" si="116">AM24/($AG24)</f>
        <v>1.0913410338330467</v>
      </c>
      <c r="AO24" s="458">
        <v>11939</v>
      </c>
      <c r="AP24" s="156">
        <f t="shared" ref="AP24" si="117">AO24/($AG24)</f>
        <v>0.97804538379618255</v>
      </c>
      <c r="AQ24" s="458">
        <v>13352</v>
      </c>
      <c r="AR24" s="156">
        <f t="shared" ref="AR24" si="118">AQ24/($AG24)</f>
        <v>1.0937986401245188</v>
      </c>
      <c r="AS24" s="458">
        <v>11172</v>
      </c>
      <c r="AT24" s="156">
        <f t="shared" ref="AT24:AX24" si="119">AS24/($AG24)</f>
        <v>0.91521258294421237</v>
      </c>
      <c r="AU24" s="1219"/>
      <c r="AV24" s="156">
        <f t="shared" si="119"/>
        <v>0</v>
      </c>
      <c r="AW24" s="1229">
        <v>0</v>
      </c>
      <c r="AX24" s="156">
        <f t="shared" si="119"/>
        <v>0</v>
      </c>
      <c r="AY24" s="1219"/>
      <c r="AZ24" s="156">
        <f t="shared" si="8"/>
        <v>0</v>
      </c>
      <c r="BA24" s="1219">
        <v>11129</v>
      </c>
      <c r="BB24" s="156">
        <f t="shared" si="9"/>
        <v>0.91169001392643567</v>
      </c>
      <c r="BC24" s="1219">
        <v>10850</v>
      </c>
      <c r="BD24" s="156">
        <f t="shared" si="10"/>
        <v>0.88883427541574511</v>
      </c>
      <c r="BE24" s="458">
        <v>9039</v>
      </c>
      <c r="BG24" s="458">
        <v>11360</v>
      </c>
      <c r="BI24" s="458">
        <v>10470</v>
      </c>
      <c r="BK24" s="458">
        <v>10259</v>
      </c>
      <c r="BM24" s="458">
        <v>313</v>
      </c>
      <c r="BO24" s="458">
        <v>228</v>
      </c>
      <c r="BQ24" s="458">
        <v>191</v>
      </c>
      <c r="BS24" s="458">
        <v>186</v>
      </c>
      <c r="BU24" s="458">
        <v>14133</v>
      </c>
      <c r="BW24" s="458">
        <v>15653</v>
      </c>
      <c r="BY24" s="2948">
        <v>0</v>
      </c>
      <c r="BZ24" s="2949" t="s">
        <v>1478</v>
      </c>
      <c r="CA24" s="458">
        <v>15881</v>
      </c>
      <c r="CC24" s="458">
        <v>12967</v>
      </c>
      <c r="CE24" s="458">
        <v>11989</v>
      </c>
      <c r="CG24" s="458">
        <v>11828</v>
      </c>
      <c r="CI24" s="458">
        <v>12616</v>
      </c>
      <c r="CJ24" s="458" t="s">
        <v>1718</v>
      </c>
    </row>
    <row r="25" spans="1:88" s="458" customFormat="1" ht="14.25" customHeight="1">
      <c r="A25" s="685">
        <v>17</v>
      </c>
      <c r="B25" s="681" t="s">
        <v>134</v>
      </c>
      <c r="C25" s="682" t="str">
        <f>E25</f>
        <v>{"username":"bern.sozialarbeiterin1a@diartis.ch","password":"SMze97-jkSJ59!F."}</v>
      </c>
      <c r="D25" s="546"/>
      <c r="E25" s="456" t="str">
        <f>F25&amp;G25&amp;H25&amp;I25&amp;J25&amp;K25&amp;L25&amp;M25&amp;N25&amp;O25&amp;P25&amp;Q25&amp;R25&amp;S25&amp;T25&amp;U25&amp;V25&amp;W25&amp;X25</f>
        <v>{"username":"bern.sozialarbeiterin1a@diartis.ch","password":"SMze97-jkSJ59!F."}</v>
      </c>
      <c r="F25" s="547" t="s">
        <v>29</v>
      </c>
      <c r="G25" s="546" t="s">
        <v>71</v>
      </c>
      <c r="H25" s="547" t="s">
        <v>31</v>
      </c>
      <c r="I25" s="546" t="s">
        <v>72</v>
      </c>
      <c r="J25" s="547" t="s">
        <v>37</v>
      </c>
      <c r="K25" s="555"/>
      <c r="L25" s="547"/>
      <c r="N25" s="547"/>
      <c r="P25" s="547"/>
      <c r="R25" s="547"/>
      <c r="T25" s="547"/>
      <c r="V25" s="547"/>
      <c r="Z25" s="456"/>
      <c r="AA25" s="456"/>
      <c r="AB25" s="456"/>
      <c r="AC25" s="456"/>
      <c r="AG25" s="458">
        <v>4010</v>
      </c>
      <c r="AH25" s="156">
        <f t="shared" ref="AH25" si="120">AG25/($AG25)</f>
        <v>1</v>
      </c>
      <c r="AJ25" s="156">
        <f t="shared" si="3"/>
        <v>0</v>
      </c>
      <c r="AK25" s="458">
        <v>14086</v>
      </c>
      <c r="AL25" s="156">
        <f t="shared" si="3"/>
        <v>3.5127182044887779</v>
      </c>
      <c r="AM25" s="458">
        <v>12612</v>
      </c>
      <c r="AN25" s="156">
        <f t="shared" ref="AN25" si="121">AM25/($AG25)</f>
        <v>3.1451371571072317</v>
      </c>
      <c r="AO25" s="458">
        <v>12407</v>
      </c>
      <c r="AP25" s="156">
        <f t="shared" ref="AP25" si="122">AO25/($AG25)</f>
        <v>3.094014962593516</v>
      </c>
      <c r="AQ25" s="458">
        <v>12441</v>
      </c>
      <c r="AR25" s="156">
        <f t="shared" ref="AR25" si="123">AQ25/($AG25)</f>
        <v>3.102493765586035</v>
      </c>
      <c r="AS25" s="458">
        <v>11704</v>
      </c>
      <c r="AT25" s="156">
        <f t="shared" ref="AT25:AX25" si="124">AS25/($AG25)</f>
        <v>2.9187032418952619</v>
      </c>
      <c r="AU25" s="1219"/>
      <c r="AV25" s="156">
        <f t="shared" si="124"/>
        <v>0</v>
      </c>
      <c r="AW25" s="1219">
        <v>577</v>
      </c>
      <c r="AX25" s="156">
        <f t="shared" si="124"/>
        <v>0.14389027431421447</v>
      </c>
      <c r="AY25" s="1219"/>
      <c r="AZ25" s="156">
        <f t="shared" si="8"/>
        <v>0</v>
      </c>
      <c r="BA25" s="1219">
        <v>11861</v>
      </c>
      <c r="BB25" s="156">
        <f t="shared" si="9"/>
        <v>2.9578553615960099</v>
      </c>
      <c r="BC25" s="1219">
        <v>11506</v>
      </c>
      <c r="BD25" s="156">
        <f t="shared" si="10"/>
        <v>2.8693266832917708</v>
      </c>
      <c r="BE25" s="458">
        <v>13848</v>
      </c>
      <c r="BG25" s="458">
        <v>12628</v>
      </c>
      <c r="BI25" s="458">
        <v>11561</v>
      </c>
      <c r="BK25" s="458">
        <v>11471</v>
      </c>
      <c r="BU25" s="458">
        <v>14376</v>
      </c>
      <c r="BW25" s="458">
        <v>18109</v>
      </c>
      <c r="BY25" s="458">
        <v>258</v>
      </c>
      <c r="CA25" s="458">
        <v>25531</v>
      </c>
      <c r="CC25" s="458">
        <v>19354</v>
      </c>
      <c r="CE25" s="458">
        <v>17271</v>
      </c>
      <c r="CG25" s="458">
        <v>16156</v>
      </c>
      <c r="CI25" s="458">
        <v>15476</v>
      </c>
      <c r="CJ25" s="458" t="s">
        <v>1718</v>
      </c>
    </row>
    <row r="26" spans="1:88" s="458" customFormat="1" ht="14.25" customHeight="1">
      <c r="A26" s="685">
        <v>19</v>
      </c>
      <c r="B26" s="687" t="s">
        <v>197</v>
      </c>
      <c r="C26" s="682" t="str">
        <f ca="1">E26</f>
        <v>{"dossier":`SAR10_${p.AHVNumber5}_4-No17`,"buttonName":"Prüfung OK","checkStatus":"In Bearbeitung"}</v>
      </c>
      <c r="D26" s="546"/>
      <c r="E26" s="456" t="str">
        <f t="shared" ca="1" si="114"/>
        <v>{"dossier":`SAR10_${p.AHVNumber5}_4-No17`,"buttonName":"Prüfung OK","checkStatus":"In Bearbeitung"}</v>
      </c>
      <c r="F26" s="547" t="s">
        <v>348</v>
      </c>
      <c r="G26" s="557" t="str">
        <f ca="1">G21</f>
        <v>SAR10_${p.AHVNumber5}_4-No17</v>
      </c>
      <c r="H26" s="547" t="s">
        <v>476</v>
      </c>
      <c r="I26" s="458" t="s">
        <v>199</v>
      </c>
      <c r="J26" s="547" t="s">
        <v>132</v>
      </c>
      <c r="K26" s="458" t="s">
        <v>133</v>
      </c>
      <c r="L26" s="547" t="s">
        <v>37</v>
      </c>
      <c r="N26" s="547"/>
      <c r="P26" s="547"/>
      <c r="R26" s="547"/>
      <c r="T26" s="547"/>
      <c r="V26" s="547"/>
      <c r="Z26" s="456"/>
      <c r="AA26" s="456"/>
      <c r="AG26" s="458">
        <v>4009</v>
      </c>
      <c r="AH26" s="156">
        <f t="shared" ref="AH26" si="125">AG26/($AG26)</f>
        <v>1</v>
      </c>
      <c r="AJ26" s="156">
        <f t="shared" si="3"/>
        <v>0</v>
      </c>
      <c r="AK26" s="458">
        <v>8402</v>
      </c>
      <c r="AL26" s="156">
        <f t="shared" si="3"/>
        <v>2.0957844849089549</v>
      </c>
      <c r="AM26" s="458">
        <v>8223</v>
      </c>
      <c r="AN26" s="156">
        <f t="shared" ref="AN26" si="126">AM26/($AG26)</f>
        <v>2.0511349463706661</v>
      </c>
      <c r="AO26" s="458">
        <v>8325</v>
      </c>
      <c r="AP26" s="156">
        <f t="shared" ref="AP26" si="127">AO26/($AG26)</f>
        <v>2.0765777001746071</v>
      </c>
      <c r="AQ26" s="458">
        <v>8293</v>
      </c>
      <c r="AR26" s="156">
        <f t="shared" ref="AR26" si="128">AQ26/($AG26)</f>
        <v>2.0685956597655277</v>
      </c>
      <c r="AS26" s="458">
        <v>8321</v>
      </c>
      <c r="AT26" s="156">
        <f t="shared" ref="AT26:AX26" si="129">AS26/($AG26)</f>
        <v>2.0755799451234722</v>
      </c>
      <c r="AU26" s="1219"/>
      <c r="AV26" s="156">
        <f t="shared" si="129"/>
        <v>0</v>
      </c>
      <c r="AW26" s="1219"/>
      <c r="AX26" s="156">
        <f t="shared" si="129"/>
        <v>0</v>
      </c>
      <c r="AY26" s="1219"/>
      <c r="AZ26" s="156">
        <f t="shared" si="8"/>
        <v>0</v>
      </c>
      <c r="BA26" s="1219">
        <v>8588</v>
      </c>
      <c r="BB26" s="156">
        <f t="shared" si="9"/>
        <v>2.1421800947867298</v>
      </c>
      <c r="BC26" s="1219">
        <v>8261</v>
      </c>
      <c r="BD26" s="156">
        <f t="shared" si="10"/>
        <v>2.0606136193564479</v>
      </c>
      <c r="BE26" s="458">
        <v>37799</v>
      </c>
      <c r="BG26" s="458">
        <v>8273</v>
      </c>
      <c r="BI26" s="458">
        <v>8366</v>
      </c>
      <c r="BK26" s="458">
        <v>8415</v>
      </c>
      <c r="BU26" s="458">
        <v>8586</v>
      </c>
      <c r="BW26" s="458">
        <v>12023</v>
      </c>
      <c r="CA26" s="458">
        <v>10594</v>
      </c>
      <c r="CC26" s="458">
        <v>11580</v>
      </c>
      <c r="CE26" s="458">
        <v>10296</v>
      </c>
      <c r="CG26" s="458">
        <v>8506</v>
      </c>
      <c r="CI26" s="458">
        <v>8221</v>
      </c>
      <c r="CJ26" s="458" t="s">
        <v>1718</v>
      </c>
    </row>
    <row r="27" spans="1:88" s="458" customFormat="1" ht="14.25" customHeight="1">
      <c r="A27" s="683">
        <v>20</v>
      </c>
      <c r="B27" s="681" t="s">
        <v>134</v>
      </c>
      <c r="C27" s="682" t="str">
        <f t="shared" si="113"/>
        <v>{"username":"aventis-gemeinde-ma@diartis.ch","password":"#xFymiADPk7wJG/FWMz"}</v>
      </c>
      <c r="D27" s="546"/>
      <c r="E27" s="456" t="str">
        <f t="shared" si="114"/>
        <v>{"username":"aventis-gemeinde-ma@diartis.ch","password":"#xFymiADPk7wJG/FWMz"}</v>
      </c>
      <c r="F27" s="547" t="s">
        <v>29</v>
      </c>
      <c r="G27" s="548" t="s">
        <v>195</v>
      </c>
      <c r="H27" s="547" t="s">
        <v>31</v>
      </c>
      <c r="I27" s="550" t="s">
        <v>196</v>
      </c>
      <c r="J27" s="547" t="s">
        <v>37</v>
      </c>
      <c r="K27" s="555"/>
      <c r="L27" s="547"/>
      <c r="N27" s="547"/>
      <c r="P27" s="547"/>
      <c r="R27" s="547"/>
      <c r="T27" s="547"/>
      <c r="V27" s="547"/>
      <c r="Z27" s="456"/>
      <c r="AA27" s="456"/>
      <c r="AG27" s="458">
        <v>8209</v>
      </c>
      <c r="AH27" s="156">
        <f t="shared" ref="AH27" si="130">AG27/($AG27)</f>
        <v>1</v>
      </c>
      <c r="AJ27" s="156">
        <f t="shared" si="3"/>
        <v>0</v>
      </c>
      <c r="AK27" s="458">
        <v>9546</v>
      </c>
      <c r="AL27" s="156">
        <f t="shared" si="3"/>
        <v>1.1628700207089779</v>
      </c>
      <c r="AM27" s="458">
        <v>9476</v>
      </c>
      <c r="AN27" s="156">
        <f t="shared" ref="AN27" si="131">AM27/($AG27)</f>
        <v>1.1543427944938482</v>
      </c>
      <c r="AO27" s="458">
        <v>9175</v>
      </c>
      <c r="AP27" s="156">
        <f t="shared" ref="AP27" si="132">AO27/($AG27)</f>
        <v>1.1176757217687903</v>
      </c>
      <c r="AQ27" s="458">
        <v>9060</v>
      </c>
      <c r="AR27" s="156">
        <f t="shared" ref="AR27" si="133">AQ27/($AG27)</f>
        <v>1.1036667072725057</v>
      </c>
      <c r="AS27" s="458">
        <v>8796</v>
      </c>
      <c r="AT27" s="156">
        <f t="shared" ref="AT27:AX27" si="134">AS27/($AG27)</f>
        <v>1.0715068826897307</v>
      </c>
      <c r="AU27" s="1219"/>
      <c r="AV27" s="156">
        <f t="shared" si="134"/>
        <v>0</v>
      </c>
      <c r="AW27" s="1219"/>
      <c r="AX27" s="156">
        <f t="shared" si="134"/>
        <v>0</v>
      </c>
      <c r="AY27" s="1219"/>
      <c r="AZ27" s="156">
        <f t="shared" si="8"/>
        <v>0</v>
      </c>
      <c r="BA27" s="1219">
        <v>9129</v>
      </c>
      <c r="BB27" s="156">
        <f t="shared" si="9"/>
        <v>1.1120721159702764</v>
      </c>
      <c r="BC27" s="1219">
        <v>9305</v>
      </c>
      <c r="BD27" s="156">
        <f t="shared" si="10"/>
        <v>1.1335119990254598</v>
      </c>
      <c r="BE27" s="458">
        <v>8363</v>
      </c>
      <c r="BG27" s="458">
        <v>6765</v>
      </c>
      <c r="BI27" s="458">
        <v>6727</v>
      </c>
      <c r="BK27" s="458">
        <v>6439</v>
      </c>
      <c r="BU27" s="458">
        <v>11659</v>
      </c>
      <c r="BW27" s="458">
        <v>9573</v>
      </c>
      <c r="CA27" s="458">
        <v>7328</v>
      </c>
      <c r="CC27" s="458">
        <v>7475</v>
      </c>
      <c r="CE27" s="458">
        <v>7471</v>
      </c>
      <c r="CG27" s="458">
        <v>11391</v>
      </c>
      <c r="CI27" s="458">
        <v>10303</v>
      </c>
      <c r="CJ27" s="458" t="s">
        <v>1718</v>
      </c>
    </row>
    <row r="28" spans="1:88" s="458" customFormat="1" ht="14.25" customHeight="1">
      <c r="A28" s="683">
        <v>22</v>
      </c>
      <c r="B28" s="687" t="s">
        <v>197</v>
      </c>
      <c r="C28" s="682" t="str">
        <f t="shared" ca="1" si="113"/>
        <v>{"dossier":`SAR10_${p.AHVNumber5}_4-No17`,"buttonName":"Bewilligen","checkStatus":"Bewilligt"}</v>
      </c>
      <c r="D28" s="546"/>
      <c r="E28" s="456" t="str">
        <f t="shared" ca="1" si="114"/>
        <v>{"dossier":`SAR10_${p.AHVNumber5}_4-No17`,"buttonName":"Bewilligen","checkStatus":"Bewilligt"}</v>
      </c>
      <c r="F28" s="547" t="s">
        <v>348</v>
      </c>
      <c r="G28" s="557" t="str">
        <f ca="1">G26</f>
        <v>SAR10_${p.AHVNumber5}_4-No17</v>
      </c>
      <c r="H28" s="547" t="s">
        <v>476</v>
      </c>
      <c r="I28" s="458" t="s">
        <v>136</v>
      </c>
      <c r="J28" s="547" t="s">
        <v>132</v>
      </c>
      <c r="K28" s="547" t="s">
        <v>137</v>
      </c>
      <c r="L28" s="547" t="s">
        <v>37</v>
      </c>
      <c r="N28" s="547"/>
      <c r="P28" s="547"/>
      <c r="R28" s="547"/>
      <c r="T28" s="547"/>
      <c r="V28" s="547"/>
      <c r="Z28" s="456"/>
      <c r="AA28" s="456"/>
      <c r="AG28" s="458">
        <v>5007</v>
      </c>
      <c r="AH28" s="156">
        <f t="shared" ref="AH28" si="135">AG28/($AG28)</f>
        <v>1</v>
      </c>
      <c r="AJ28" s="156">
        <f t="shared" si="3"/>
        <v>0</v>
      </c>
      <c r="AK28" s="458">
        <v>10071</v>
      </c>
      <c r="AL28" s="156">
        <f t="shared" si="3"/>
        <v>2.0113840623127621</v>
      </c>
      <c r="AM28" s="458">
        <v>10768</v>
      </c>
      <c r="AN28" s="156">
        <f t="shared" ref="AN28" si="136">AM28/($AG28)</f>
        <v>2.1505891751547832</v>
      </c>
      <c r="AO28" s="458">
        <v>10698</v>
      </c>
      <c r="AP28" s="156">
        <f t="shared" ref="AP28" si="137">AO28/($AG28)</f>
        <v>2.1366087477531455</v>
      </c>
      <c r="AQ28" s="458">
        <v>10676</v>
      </c>
      <c r="AR28" s="156">
        <f t="shared" ref="AR28" si="138">AQ28/($AG28)</f>
        <v>2.1322148991412022</v>
      </c>
      <c r="AS28" s="458">
        <v>10884</v>
      </c>
      <c r="AT28" s="156">
        <f t="shared" ref="AT28:AX28" si="139">AS28/($AG28)</f>
        <v>2.1737567405632117</v>
      </c>
      <c r="AU28" s="1219"/>
      <c r="AV28" s="156">
        <f t="shared" si="139"/>
        <v>0</v>
      </c>
      <c r="AW28" s="1219"/>
      <c r="AX28" s="156">
        <f t="shared" si="139"/>
        <v>0</v>
      </c>
      <c r="AY28" s="1219"/>
      <c r="AZ28" s="156">
        <f t="shared" si="8"/>
        <v>0</v>
      </c>
      <c r="BA28" s="1219">
        <v>10787</v>
      </c>
      <c r="BB28" s="156">
        <f t="shared" si="9"/>
        <v>2.1543838625923706</v>
      </c>
      <c r="BC28" s="1219">
        <v>10668</v>
      </c>
      <c r="BD28" s="156">
        <f t="shared" si="10"/>
        <v>2.1306171360095867</v>
      </c>
      <c r="BE28" s="458">
        <v>9667</v>
      </c>
      <c r="BG28" s="458">
        <v>10651</v>
      </c>
      <c r="BI28" s="458">
        <v>9638</v>
      </c>
      <c r="BK28" s="458">
        <v>10413</v>
      </c>
      <c r="BU28" s="458">
        <v>10125</v>
      </c>
      <c r="BW28" s="458">
        <v>13131</v>
      </c>
      <c r="CA28" s="458">
        <v>12112</v>
      </c>
      <c r="CC28" s="458">
        <v>13028</v>
      </c>
      <c r="CE28" s="458">
        <v>13248</v>
      </c>
      <c r="CG28" s="458">
        <v>9443</v>
      </c>
      <c r="CI28" s="458">
        <v>8764</v>
      </c>
      <c r="CJ28" s="458" t="s">
        <v>1718</v>
      </c>
    </row>
    <row r="29" spans="1:88" s="458" customFormat="1" ht="14.25" customHeight="1">
      <c r="A29" s="685">
        <v>23</v>
      </c>
      <c r="B29" s="681" t="s">
        <v>134</v>
      </c>
      <c r="C29" s="682" t="str">
        <f>E29</f>
        <v>{"username":"bern.sozialarbeiterin1a@diartis.ch","password":"SMze97-jkSJ59!F."}</v>
      </c>
      <c r="D29" s="546"/>
      <c r="E29" s="456" t="str">
        <f t="shared" ref="E29:E34" si="140">F29&amp;G29&amp;H29&amp;I29&amp;J29&amp;K29&amp;L29&amp;M29&amp;N29&amp;O29&amp;P29&amp;Q29&amp;R29&amp;S29&amp;T29&amp;U29&amp;V29&amp;W29&amp;X29</f>
        <v>{"username":"bern.sozialarbeiterin1a@diartis.ch","password":"SMze97-jkSJ59!F."}</v>
      </c>
      <c r="F29" s="547" t="s">
        <v>29</v>
      </c>
      <c r="G29" s="546" t="s">
        <v>71</v>
      </c>
      <c r="H29" s="547" t="s">
        <v>31</v>
      </c>
      <c r="I29" s="546" t="s">
        <v>72</v>
      </c>
      <c r="J29" s="547" t="s">
        <v>37</v>
      </c>
      <c r="K29" s="555"/>
      <c r="L29" s="547"/>
      <c r="N29" s="547"/>
      <c r="P29" s="547"/>
      <c r="R29" s="547"/>
      <c r="T29" s="547"/>
      <c r="V29" s="547"/>
      <c r="Z29" s="456"/>
      <c r="AA29" s="456"/>
      <c r="AB29" s="456"/>
      <c r="AC29" s="456"/>
      <c r="AG29" s="458">
        <v>8422</v>
      </c>
      <c r="AH29" s="156">
        <f t="shared" ref="AH29" si="141">AG29/($AG29)</f>
        <v>1</v>
      </c>
      <c r="AJ29" s="156">
        <f t="shared" si="3"/>
        <v>0</v>
      </c>
      <c r="AK29" s="458">
        <v>9171</v>
      </c>
      <c r="AL29" s="156">
        <f t="shared" si="3"/>
        <v>1.0889337449536927</v>
      </c>
      <c r="AM29" s="458">
        <v>9494</v>
      </c>
      <c r="AN29" s="156">
        <f t="shared" ref="AN29" si="142">AM29/($AG29)</f>
        <v>1.1272856803609594</v>
      </c>
      <c r="AO29" s="458">
        <v>9669</v>
      </c>
      <c r="AP29" s="156">
        <f t="shared" ref="AP29" si="143">AO29/($AG29)</f>
        <v>1.1480645927333175</v>
      </c>
      <c r="AQ29" s="458">
        <v>9423</v>
      </c>
      <c r="AR29" s="156">
        <f t="shared" ref="AR29" si="144">AQ29/($AG29)</f>
        <v>1.1188553787698885</v>
      </c>
      <c r="AS29" s="458">
        <v>9573</v>
      </c>
      <c r="AT29" s="156">
        <f t="shared" ref="AT29:AX29" si="145">AS29/($AG29)</f>
        <v>1.1366658750890526</v>
      </c>
      <c r="AU29" s="1219"/>
      <c r="AV29" s="156">
        <f t="shared" si="145"/>
        <v>0</v>
      </c>
      <c r="AW29" s="1219"/>
      <c r="AX29" s="156">
        <f t="shared" si="145"/>
        <v>0</v>
      </c>
      <c r="AY29" s="1219"/>
      <c r="AZ29" s="156">
        <f t="shared" si="8"/>
        <v>0</v>
      </c>
      <c r="BA29" s="1219">
        <v>8964</v>
      </c>
      <c r="BB29" s="156">
        <f t="shared" si="9"/>
        <v>1.0643552600332462</v>
      </c>
      <c r="BC29" s="1219">
        <v>9008</v>
      </c>
      <c r="BD29" s="156">
        <f t="shared" si="10"/>
        <v>1.0695796722868678</v>
      </c>
      <c r="BE29" s="458">
        <v>8787</v>
      </c>
      <c r="BG29" s="458">
        <v>6270</v>
      </c>
      <c r="BI29" s="458">
        <v>6065</v>
      </c>
      <c r="BK29" s="458">
        <v>6310</v>
      </c>
      <c r="BU29" s="458">
        <v>11372</v>
      </c>
      <c r="BW29" s="458">
        <v>7236</v>
      </c>
      <c r="CA29" s="458">
        <v>7579</v>
      </c>
      <c r="CC29" s="458">
        <v>7192</v>
      </c>
      <c r="CE29" s="458">
        <v>7661</v>
      </c>
      <c r="CG29" s="458">
        <v>12180</v>
      </c>
      <c r="CI29" s="458">
        <v>10290</v>
      </c>
      <c r="CJ29" s="458" t="s">
        <v>1718</v>
      </c>
    </row>
    <row r="30" spans="1:88" s="458" customFormat="1" ht="14.25" customHeight="1">
      <c r="A30" s="683">
        <v>24</v>
      </c>
      <c r="B30" s="681" t="s">
        <v>139</v>
      </c>
      <c r="C30" s="684" t="str">
        <f t="shared" ref="C30" ca="1" si="146">E30</f>
        <v>{"searchDossierOrKlient":`SAR10_${p.AHVNumber5}_4-No17`,"resultType":"Dossiers"}</v>
      </c>
      <c r="D30" s="546"/>
      <c r="E30" s="456" t="str">
        <f t="shared" ca="1" si="140"/>
        <v>{"searchDossierOrKlient":`SAR10_${p.AHVNumber5}_4-No17`,"resultType":"Dossiers"}</v>
      </c>
      <c r="F30" s="547" t="s">
        <v>407</v>
      </c>
      <c r="G30" s="458" t="str">
        <f ca="1">G28</f>
        <v>SAR10_${p.AHVNumber5}_4-No17</v>
      </c>
      <c r="H30" s="547" t="s">
        <v>408</v>
      </c>
      <c r="I30" s="458" t="s">
        <v>142</v>
      </c>
      <c r="J30" s="547" t="s">
        <v>37</v>
      </c>
      <c r="L30" s="547"/>
      <c r="N30" s="547"/>
      <c r="P30" s="547"/>
      <c r="R30" s="547"/>
      <c r="T30" s="547"/>
      <c r="V30" s="547"/>
      <c r="Z30" s="456"/>
      <c r="AA30" s="456"/>
      <c r="AB30" s="456"/>
      <c r="AC30" s="456"/>
      <c r="AG30" s="458">
        <v>10993</v>
      </c>
      <c r="AH30" s="156">
        <f t="shared" ref="AH30" si="147">AG30/($AG30)</f>
        <v>1</v>
      </c>
      <c r="AJ30" s="156">
        <f t="shared" si="3"/>
        <v>0</v>
      </c>
      <c r="AK30" s="458">
        <v>10411</v>
      </c>
      <c r="AL30" s="156">
        <f t="shared" si="3"/>
        <v>0.94705721822978262</v>
      </c>
      <c r="AM30" s="458">
        <v>10367</v>
      </c>
      <c r="AN30" s="156">
        <f t="shared" ref="AN30" si="148">AM30/($AG30)</f>
        <v>0.94305467115437092</v>
      </c>
      <c r="AO30" s="458">
        <v>10852</v>
      </c>
      <c r="AP30" s="156">
        <f t="shared" ref="AP30" si="149">AO30/($AG30)</f>
        <v>0.98717365596288542</v>
      </c>
      <c r="AQ30" s="458">
        <v>10552</v>
      </c>
      <c r="AR30" s="156">
        <f t="shared" ref="AR30" si="150">AQ30/($AG30)</f>
        <v>0.95988356226689708</v>
      </c>
      <c r="AS30" s="458">
        <v>10594</v>
      </c>
      <c r="AT30" s="156">
        <f t="shared" ref="AT30:AX30" si="151">AS30/($AG30)</f>
        <v>0.9637041753843355</v>
      </c>
      <c r="AU30" s="1219"/>
      <c r="AV30" s="156">
        <f t="shared" si="151"/>
        <v>0</v>
      </c>
      <c r="AW30" s="1219"/>
      <c r="AX30" s="156">
        <f t="shared" si="151"/>
        <v>0</v>
      </c>
      <c r="AY30" s="1219"/>
      <c r="AZ30" s="156">
        <f t="shared" si="8"/>
        <v>0</v>
      </c>
      <c r="BA30" s="1219">
        <v>10983</v>
      </c>
      <c r="BB30" s="156">
        <f t="shared" si="9"/>
        <v>0.99909033021013371</v>
      </c>
      <c r="BC30" s="1219">
        <v>10797</v>
      </c>
      <c r="BD30" s="156">
        <f t="shared" si="10"/>
        <v>0.98217047211862096</v>
      </c>
      <c r="BE30" s="458">
        <v>10445</v>
      </c>
      <c r="BG30" s="458">
        <v>11168</v>
      </c>
      <c r="BI30" s="458">
        <v>9969</v>
      </c>
      <c r="BK30" s="458">
        <v>10828</v>
      </c>
      <c r="BU30" s="458">
        <v>10299</v>
      </c>
      <c r="BW30" s="458">
        <v>12917</v>
      </c>
      <c r="CA30" s="458">
        <v>11945</v>
      </c>
      <c r="CC30" s="458">
        <v>12304</v>
      </c>
      <c r="CE30" s="458">
        <v>12413</v>
      </c>
      <c r="CG30" s="458">
        <v>9898</v>
      </c>
      <c r="CI30" s="458">
        <v>10023</v>
      </c>
      <c r="CJ30" s="458" t="s">
        <v>1718</v>
      </c>
    </row>
    <row r="31" spans="1:88" s="458" customFormat="1" ht="14.25" customHeight="1">
      <c r="A31" s="688">
        <v>25</v>
      </c>
      <c r="B31" s="681" t="s">
        <v>200</v>
      </c>
      <c r="C31" s="679" t="str">
        <f ca="1">E31</f>
        <v xml:space="preserve">{"verwendungPeriode":"November 2025,Dezember 2025,Januar 2026,Februar 2026,März 2026,April 2026,Mai 2026","status":"Zu bezahlen"}																				
</v>
      </c>
      <c r="D31" s="546"/>
      <c r="E31" s="456" t="str">
        <f t="shared" ca="1" si="140"/>
        <v xml:space="preserve">{"verwendungPeriode":"November 2025,Dezember 2025,Januar 2026,Februar 2026,März 2026,April 2026,Mai 2026","status":"Zu bezahlen"}																				
</v>
      </c>
      <c r="F31" s="547" t="s">
        <v>201</v>
      </c>
      <c r="G31" s="458" t="str">
        <f ca="1">D56&amp;","&amp;D57&amp;","&amp;D58&amp;","&amp;D59&amp;","&amp;D60&amp;","&amp;D61&amp;","&amp;D62</f>
        <v>November 2025,Dezember 2025,Januar 2026,Februar 2026,März 2026,April 2026,Mai 2026</v>
      </c>
      <c r="H31" s="547"/>
      <c r="I31" s="554"/>
      <c r="J31" s="547" t="s">
        <v>202</v>
      </c>
      <c r="K31" s="555" t="s">
        <v>203</v>
      </c>
      <c r="L31" s="563" t="s">
        <v>204</v>
      </c>
      <c r="N31" s="547"/>
      <c r="O31" s="547"/>
      <c r="Z31" s="456"/>
      <c r="AA31" s="456"/>
      <c r="AG31" s="458">
        <v>6062</v>
      </c>
      <c r="AH31" s="156">
        <f t="shared" ref="AH31" si="152">AG31/($AG31)</f>
        <v>1</v>
      </c>
      <c r="AJ31" s="156">
        <f t="shared" si="3"/>
        <v>0</v>
      </c>
      <c r="AK31" s="458">
        <v>6156</v>
      </c>
      <c r="AL31" s="156">
        <f t="shared" si="3"/>
        <v>1.0155064335202904</v>
      </c>
      <c r="AM31" s="458">
        <v>6132</v>
      </c>
      <c r="AN31" s="156">
        <f t="shared" ref="AN31" si="153">AM31/($AG31)</f>
        <v>1.0115473441108545</v>
      </c>
      <c r="AO31" s="458">
        <v>6104</v>
      </c>
      <c r="AP31" s="156">
        <f t="shared" ref="AP31" si="154">AO31/($AG31)</f>
        <v>1.0069284064665127</v>
      </c>
      <c r="AQ31" s="458">
        <v>6226</v>
      </c>
      <c r="AR31" s="156">
        <f t="shared" ref="AR31" si="155">AQ31/($AG31)</f>
        <v>1.0270537776311448</v>
      </c>
      <c r="AS31" s="458">
        <v>6026</v>
      </c>
      <c r="AT31" s="156">
        <f t="shared" ref="AT31:AX31" si="156">AS31/($AG31)</f>
        <v>0.99406136588584626</v>
      </c>
      <c r="AU31" s="1219"/>
      <c r="AV31" s="156">
        <f t="shared" si="156"/>
        <v>0</v>
      </c>
      <c r="AW31" s="1219"/>
      <c r="AX31" s="156">
        <f t="shared" si="156"/>
        <v>0</v>
      </c>
      <c r="AY31" s="1219"/>
      <c r="AZ31" s="156">
        <f t="shared" si="8"/>
        <v>0</v>
      </c>
      <c r="BA31" s="1219">
        <v>6014</v>
      </c>
      <c r="BB31" s="156">
        <f t="shared" si="9"/>
        <v>0.99208182118112831</v>
      </c>
      <c r="BC31" s="1219">
        <v>5940</v>
      </c>
      <c r="BD31" s="156">
        <f t="shared" si="10"/>
        <v>0.97987462883536791</v>
      </c>
      <c r="BE31" s="458">
        <v>5841</v>
      </c>
      <c r="BG31" s="458">
        <v>2733</v>
      </c>
      <c r="BI31" s="458">
        <v>2879</v>
      </c>
      <c r="BK31" s="458">
        <v>3400</v>
      </c>
      <c r="BU31" s="458">
        <v>8826</v>
      </c>
      <c r="BW31" s="458">
        <v>5011</v>
      </c>
      <c r="CA31" s="458">
        <v>4592</v>
      </c>
      <c r="CC31" s="458">
        <v>4776</v>
      </c>
      <c r="CE31" s="458">
        <v>4414</v>
      </c>
      <c r="CG31" s="458">
        <v>10392</v>
      </c>
      <c r="CI31" s="458">
        <v>8641</v>
      </c>
      <c r="CJ31" s="458" t="s">
        <v>1718</v>
      </c>
    </row>
    <row r="32" spans="1:88" s="564" customFormat="1" ht="17.25" customHeight="1">
      <c r="A32" s="683">
        <v>26</v>
      </c>
      <c r="B32" s="689" t="s">
        <v>217</v>
      </c>
      <c r="C32" s="690" t="str">
        <f ca="1">E32</f>
        <v>{"dossierInstitution":`SAR10_${p.AHVNumber5}_4-No17`,"freigegebeneZahlungen":""}</v>
      </c>
      <c r="E32" s="456" t="str">
        <f t="shared" ca="1" si="140"/>
        <v>{"dossierInstitution":`SAR10_${p.AHVNumber5}_4-No17`,"freigegebeneZahlungen":""}</v>
      </c>
      <c r="F32" s="565" t="s">
        <v>335</v>
      </c>
      <c r="G32" s="566" t="str">
        <f ca="1">G30</f>
        <v>SAR10_${p.AHVNumber5}_4-No17</v>
      </c>
      <c r="H32" s="567" t="s">
        <v>479</v>
      </c>
      <c r="I32" s="568"/>
      <c r="J32" s="567" t="s">
        <v>37</v>
      </c>
      <c r="L32" s="567"/>
      <c r="N32" s="567"/>
      <c r="P32" s="567"/>
      <c r="R32" s="567"/>
      <c r="T32" s="567"/>
      <c r="V32" s="567"/>
      <c r="Z32" s="546"/>
      <c r="AA32" s="546"/>
      <c r="AG32" s="546">
        <v>6113</v>
      </c>
      <c r="AH32" s="156">
        <f t="shared" ref="AH32" si="157">AG32/($AG32)</f>
        <v>1</v>
      </c>
      <c r="AJ32" s="156">
        <f t="shared" si="3"/>
        <v>0</v>
      </c>
      <c r="AK32" s="564">
        <v>5970</v>
      </c>
      <c r="AL32" s="156">
        <f t="shared" si="3"/>
        <v>0.97660723049239329</v>
      </c>
      <c r="AM32" s="564">
        <v>6480</v>
      </c>
      <c r="AN32" s="156">
        <f t="shared" ref="AN32" si="158">AM32/($AG32)</f>
        <v>1.0600359888761655</v>
      </c>
      <c r="AO32" s="564">
        <v>6218</v>
      </c>
      <c r="AP32" s="156">
        <f t="shared" ref="AP32" si="159">AO32/($AG32)</f>
        <v>1.0171765090790119</v>
      </c>
      <c r="AQ32" s="564">
        <v>5629</v>
      </c>
      <c r="AR32" s="156">
        <f t="shared" ref="AR32" si="160">AQ32/($AG32)</f>
        <v>0.92082447243579257</v>
      </c>
      <c r="AS32" s="564">
        <v>5381</v>
      </c>
      <c r="AT32" s="156">
        <f t="shared" ref="AT32:AX32" si="161">AS32/($AG32)</f>
        <v>0.88025519384917394</v>
      </c>
      <c r="AU32" s="1221"/>
      <c r="AV32" s="156">
        <f t="shared" si="161"/>
        <v>0</v>
      </c>
      <c r="AW32" s="1221"/>
      <c r="AX32" s="156">
        <f t="shared" si="161"/>
        <v>0</v>
      </c>
      <c r="AY32" s="1221"/>
      <c r="AZ32" s="156">
        <f t="shared" si="8"/>
        <v>0</v>
      </c>
      <c r="BA32" s="1221">
        <v>5425</v>
      </c>
      <c r="BB32" s="156">
        <f t="shared" si="9"/>
        <v>0.88745296908228366</v>
      </c>
      <c r="BC32" s="1221">
        <v>5058</v>
      </c>
      <c r="BD32" s="156">
        <f t="shared" si="10"/>
        <v>0.82741698020611809</v>
      </c>
      <c r="BE32" s="564">
        <v>5417</v>
      </c>
      <c r="BG32" s="564">
        <v>6496</v>
      </c>
      <c r="BI32" s="564">
        <v>6024</v>
      </c>
      <c r="BK32" s="564">
        <v>5979</v>
      </c>
      <c r="BU32" s="564">
        <v>5551</v>
      </c>
      <c r="BW32" s="564">
        <v>5714</v>
      </c>
      <c r="CA32" s="564">
        <v>4955</v>
      </c>
      <c r="CC32" s="564">
        <v>7422</v>
      </c>
      <c r="CE32" s="564">
        <v>5515</v>
      </c>
      <c r="CG32" s="564">
        <v>4841</v>
      </c>
      <c r="CI32" s="564">
        <v>4283</v>
      </c>
      <c r="CJ32" s="564" t="s">
        <v>1718</v>
      </c>
    </row>
    <row r="33" spans="1:88" s="570" customFormat="1" ht="17.25" customHeight="1">
      <c r="A33" s="688">
        <v>27</v>
      </c>
      <c r="B33" s="691" t="s">
        <v>221</v>
      </c>
      <c r="C33" s="690" t="str">
        <f ca="1">E33</f>
        <v>{"bisValutaDatum":"31.12.2026","dossier":`SAR10_${p.AHVNumber5}_4`,"checkZahlungTotal":"","buchhaltung":`Regionaler Sozialdienst "Bern"`,"zustGemeinde":""}</v>
      </c>
      <c r="D33" s="564"/>
      <c r="E33" s="456" t="str">
        <f t="shared" ca="1" si="140"/>
        <v>{"bisValutaDatum":"31.12.2026","dossier":`SAR10_${p.AHVNumber5}_4`,"checkZahlungTotal":"","buchhaltung":`Regionaler Sozialdienst "Bern"`,"zustGemeinde":""}</v>
      </c>
      <c r="F33" s="567" t="s">
        <v>222</v>
      </c>
      <c r="G33" s="564" t="str">
        <f ca="1">"31.12."&amp;YEAR(TODAY())+1</f>
        <v>31.12.2026</v>
      </c>
      <c r="H33" s="567" t="s">
        <v>480</v>
      </c>
      <c r="I33" s="553" t="str">
        <f ca="1">"SAR10_${p.AHVNumber5}_"&amp;DAY(TODAY())</f>
        <v>SAR10_${p.AHVNumber5}_4</v>
      </c>
      <c r="J33" s="567" t="s">
        <v>481</v>
      </c>
      <c r="K33" s="569"/>
      <c r="L33" s="567" t="s">
        <v>226</v>
      </c>
      <c r="M33" s="564" t="s">
        <v>227</v>
      </c>
      <c r="N33" s="567" t="s">
        <v>228</v>
      </c>
      <c r="O33" s="564"/>
      <c r="P33" s="567" t="s">
        <v>37</v>
      </c>
      <c r="Q33" s="564"/>
      <c r="R33" s="567"/>
      <c r="S33" s="564"/>
      <c r="T33" s="567"/>
      <c r="U33" s="564"/>
      <c r="V33" s="567"/>
      <c r="W33" s="564"/>
      <c r="X33" s="564"/>
      <c r="AG33" s="570">
        <v>7943</v>
      </c>
      <c r="AH33" s="156">
        <f t="shared" ref="AH33:AH34" si="162">AG33/($AG33)</f>
        <v>1</v>
      </c>
      <c r="AJ33" s="156">
        <f t="shared" si="3"/>
        <v>0</v>
      </c>
      <c r="AK33" s="570">
        <v>8024</v>
      </c>
      <c r="AL33" s="156">
        <f t="shared" si="3"/>
        <v>1.0101976583154979</v>
      </c>
      <c r="AM33" s="570">
        <v>8008</v>
      </c>
      <c r="AN33" s="156">
        <f t="shared" ref="AN33:AN34" si="163">AM33/($AG33)</f>
        <v>1.0081833060556464</v>
      </c>
      <c r="AO33" s="570">
        <v>7941</v>
      </c>
      <c r="AP33" s="156">
        <f t="shared" ref="AP33:AP34" si="164">AO33/($AG33)</f>
        <v>0.99974820596751857</v>
      </c>
      <c r="AQ33" s="570">
        <v>7999</v>
      </c>
      <c r="AR33" s="156">
        <f t="shared" ref="AR33:AR34" si="165">AQ33/($AG33)</f>
        <v>1.0070502329094801</v>
      </c>
      <c r="AS33" s="570">
        <v>7624</v>
      </c>
      <c r="AT33" s="156">
        <f t="shared" ref="AT33:AX34" si="166">AS33/($AG33)</f>
        <v>0.95983885181921191</v>
      </c>
      <c r="AU33" s="1222"/>
      <c r="AV33" s="156">
        <f t="shared" si="166"/>
        <v>0</v>
      </c>
      <c r="AW33" s="1222"/>
      <c r="AX33" s="156">
        <f t="shared" si="166"/>
        <v>0</v>
      </c>
      <c r="AY33" s="1222"/>
      <c r="AZ33" s="156">
        <f t="shared" si="8"/>
        <v>0</v>
      </c>
      <c r="BA33" s="1222">
        <v>7889</v>
      </c>
      <c r="BB33" s="156">
        <f t="shared" si="9"/>
        <v>0.9932015611230014</v>
      </c>
      <c r="BC33" s="1222">
        <v>7704</v>
      </c>
      <c r="BD33" s="156">
        <f t="shared" si="10"/>
        <v>0.96991061311846904</v>
      </c>
      <c r="BE33" s="570">
        <v>7879</v>
      </c>
      <c r="BG33" s="570">
        <v>4932</v>
      </c>
      <c r="BI33" s="570">
        <v>4979</v>
      </c>
      <c r="BK33" s="570">
        <v>4982</v>
      </c>
      <c r="BU33" s="570">
        <v>7133</v>
      </c>
      <c r="BW33" s="570">
        <v>7660</v>
      </c>
      <c r="CA33" s="570">
        <v>6375</v>
      </c>
      <c r="CC33" s="570">
        <v>6641</v>
      </c>
      <c r="CE33" s="570">
        <v>6386</v>
      </c>
      <c r="CG33" s="570">
        <v>6365</v>
      </c>
      <c r="CI33" s="570">
        <v>5720</v>
      </c>
      <c r="CJ33" s="570" t="s">
        <v>1718</v>
      </c>
    </row>
    <row r="34" spans="1:88" s="458" customFormat="1" ht="14.25" customHeight="1" thickBot="1">
      <c r="A34" s="1235"/>
      <c r="B34" s="1236" t="s">
        <v>139</v>
      </c>
      <c r="C34" s="1237" t="str">
        <f t="shared" ref="C34" ca="1" si="167">E34</f>
        <v>{"searchDossierOrKlient":`SAR10_${p.AHVNumber5}_4-No17`,"resultType":"Dossiers"}</v>
      </c>
      <c r="D34" s="546"/>
      <c r="E34" s="456" t="str">
        <f t="shared" ca="1" si="140"/>
        <v>{"searchDossierOrKlient":`SAR10_${p.AHVNumber5}_4-No17`,"resultType":"Dossiers"}</v>
      </c>
      <c r="F34" s="547" t="s">
        <v>407</v>
      </c>
      <c r="G34" s="458" t="str">
        <f ca="1">G32</f>
        <v>SAR10_${p.AHVNumber5}_4-No17</v>
      </c>
      <c r="H34" s="547" t="s">
        <v>408</v>
      </c>
      <c r="I34" s="458" t="s">
        <v>142</v>
      </c>
      <c r="J34" s="547" t="s">
        <v>37</v>
      </c>
      <c r="L34" s="547"/>
      <c r="N34" s="547"/>
      <c r="P34" s="547"/>
      <c r="R34" s="547"/>
      <c r="T34" s="547"/>
      <c r="V34" s="547"/>
      <c r="Z34" s="456"/>
      <c r="AA34" s="456"/>
      <c r="AB34" s="456"/>
      <c r="AC34" s="456"/>
      <c r="AG34" s="458">
        <v>10993</v>
      </c>
      <c r="AH34" s="156">
        <f t="shared" si="162"/>
        <v>1</v>
      </c>
      <c r="AJ34" s="156">
        <f t="shared" ref="AJ34" si="168">AI34/($AG34)</f>
        <v>0</v>
      </c>
      <c r="AK34" s="458">
        <v>10411</v>
      </c>
      <c r="AL34" s="156">
        <f t="shared" ref="AL34" si="169">AK34/($AG34)</f>
        <v>0.94705721822978262</v>
      </c>
      <c r="AM34" s="458">
        <v>10367</v>
      </c>
      <c r="AN34" s="156">
        <f t="shared" si="163"/>
        <v>0.94305467115437092</v>
      </c>
      <c r="AO34" s="458">
        <v>10852</v>
      </c>
      <c r="AP34" s="156">
        <f t="shared" si="164"/>
        <v>0.98717365596288542</v>
      </c>
      <c r="AQ34" s="458">
        <v>10552</v>
      </c>
      <c r="AR34" s="156">
        <f t="shared" si="165"/>
        <v>0.95988356226689708</v>
      </c>
      <c r="AS34" s="458">
        <v>10594</v>
      </c>
      <c r="AT34" s="156">
        <f t="shared" si="166"/>
        <v>0.9637041753843355</v>
      </c>
      <c r="AU34" s="1219"/>
      <c r="AV34" s="156">
        <f t="shared" si="166"/>
        <v>0</v>
      </c>
      <c r="AW34" s="1219"/>
      <c r="AX34" s="156">
        <f t="shared" si="166"/>
        <v>0</v>
      </c>
      <c r="AY34" s="1219"/>
      <c r="AZ34" s="156">
        <f t="shared" si="8"/>
        <v>0</v>
      </c>
      <c r="BA34" s="1219">
        <v>10983</v>
      </c>
      <c r="BB34" s="156">
        <f t="shared" si="9"/>
        <v>0.99909033021013371</v>
      </c>
      <c r="BC34" s="1219">
        <v>6590</v>
      </c>
      <c r="BD34" s="156">
        <f t="shared" si="10"/>
        <v>0.59947239152187759</v>
      </c>
      <c r="BE34" s="458">
        <v>6069</v>
      </c>
      <c r="BG34" s="458">
        <v>7469</v>
      </c>
      <c r="BI34" s="458">
        <v>7616</v>
      </c>
      <c r="BK34" s="458">
        <v>7439</v>
      </c>
      <c r="BU34" s="458">
        <v>7518</v>
      </c>
    </row>
    <row r="35" spans="1:88" s="472" customFormat="1" ht="90" customHeight="1" thickBot="1">
      <c r="A35" s="464">
        <v>33</v>
      </c>
      <c r="B35" s="571" t="s">
        <v>1293</v>
      </c>
      <c r="C35" s="463" t="str">
        <f ca="1">E35</f>
        <v>{"dossier":`SAR10_${p.AHVNumber5}_4-No17`,"zeitRaumVon":"07.12.2024","zeitRaumBis":"04.11.2025","zeitRaum":"","Buchungsdatum":"","bezAnInstPerson":"Person","zahlEmpfaenger":`${p.FamilyName18}, ${p.ManFirstName18}`,"option":"Keine Details","totalAusgaben":997,"totalEinahmen":0,"kontoauszugHerunterladenX":"x","downLoadName":"Kontoauszug(1)"}</v>
      </c>
      <c r="D35" s="465"/>
      <c r="E35" s="456" t="str">
        <f ca="1">F35&amp;G35&amp;H35&amp;I35&amp;J35&amp;K35&amp;L35&amp;M35&amp;N35&amp;O35&amp;P35&amp;Q35&amp;R35&amp;S35&amp;T35&amp;U35&amp;V35&amp;W35&amp;X35&amp;Y35&amp;Z35&amp;AA35&amp;AB35</f>
        <v>{"dossier":`SAR10_${p.AHVNumber5}_4-No17`,"zeitRaumVon":"07.12.2024","zeitRaumBis":"04.11.2025","zeitRaum":"","Buchungsdatum":"","bezAnInstPerson":"Person","zahlEmpfaenger":`${p.FamilyName18}, ${p.ManFirstName18}`,"option":"Keine Details","totalAusgaben":997,"totalEinahmen":0,"kontoauszugHerunterladenX":"x","downLoadName":"Kontoauszug(1)"}</v>
      </c>
      <c r="F35" s="467" t="s">
        <v>348</v>
      </c>
      <c r="G35" s="466" t="str">
        <f ca="1">G16</f>
        <v>SAR10_${p.AHVNumber5}_4-No17</v>
      </c>
      <c r="H35" s="467" t="s">
        <v>1452</v>
      </c>
      <c r="I35" s="468" t="s">
        <v>1294</v>
      </c>
      <c r="J35" s="469" t="s">
        <v>589</v>
      </c>
      <c r="K35" s="470" t="str">
        <f ca="1">TEXT(TODAY(),"DD.MM.YYYY")</f>
        <v>04.11.2025</v>
      </c>
      <c r="L35" s="469" t="s">
        <v>590</v>
      </c>
      <c r="M35" s="471" t="s">
        <v>1295</v>
      </c>
      <c r="N35" s="469" t="s">
        <v>1296</v>
      </c>
      <c r="O35" s="472" t="s">
        <v>593</v>
      </c>
      <c r="P35" s="469" t="s">
        <v>1297</v>
      </c>
      <c r="Q35" s="472" t="str">
        <f ca="1">I14</f>
        <v>${p.FamilyName18}, ${p.ManFirstName18}</v>
      </c>
      <c r="R35" s="469" t="s">
        <v>1298</v>
      </c>
      <c r="S35" s="472" t="s">
        <v>596</v>
      </c>
      <c r="T35" s="469" t="s">
        <v>599</v>
      </c>
      <c r="U35" s="472">
        <v>997</v>
      </c>
      <c r="V35" s="469" t="s">
        <v>600</v>
      </c>
      <c r="W35" s="472">
        <v>0</v>
      </c>
      <c r="X35" s="469" t="s">
        <v>601</v>
      </c>
      <c r="Y35" s="472" t="s">
        <v>170</v>
      </c>
      <c r="Z35" s="472" t="s">
        <v>1299</v>
      </c>
      <c r="AA35" s="472" t="s">
        <v>1300</v>
      </c>
      <c r="AB35" s="466" t="s">
        <v>37</v>
      </c>
      <c r="AG35" s="472">
        <v>7199</v>
      </c>
      <c r="AH35" s="156">
        <f t="shared" ref="AH35" si="170">AG35/($AG35)</f>
        <v>1</v>
      </c>
      <c r="AJ35" s="156">
        <f t="shared" si="3"/>
        <v>0</v>
      </c>
      <c r="AK35" s="472">
        <v>7543</v>
      </c>
      <c r="AL35" s="156">
        <f t="shared" si="3"/>
        <v>1.0477844145020141</v>
      </c>
      <c r="AM35" s="472">
        <v>7108</v>
      </c>
      <c r="AN35" s="156">
        <f t="shared" ref="AN35" si="171">AM35/($AG35)</f>
        <v>0.98735935546603693</v>
      </c>
      <c r="AO35" s="472">
        <v>7693</v>
      </c>
      <c r="AP35" s="156">
        <f t="shared" ref="AP35" si="172">AO35/($AG35)</f>
        <v>1.0686206417557995</v>
      </c>
      <c r="AQ35" s="472">
        <v>7845</v>
      </c>
      <c r="AR35" s="156">
        <f t="shared" ref="AR35" si="173">AQ35/($AG35)</f>
        <v>1.0897346853729684</v>
      </c>
      <c r="AS35" s="472">
        <v>6463</v>
      </c>
      <c r="AT35" s="156">
        <f t="shared" ref="AT35:AX35" si="174">AS35/($AG35)</f>
        <v>0.89776357827476039</v>
      </c>
      <c r="AU35" s="1223"/>
      <c r="AV35" s="156">
        <f t="shared" si="174"/>
        <v>0</v>
      </c>
      <c r="AW35" s="1223"/>
      <c r="AX35" s="156">
        <f t="shared" si="174"/>
        <v>0</v>
      </c>
      <c r="AY35" s="1223"/>
      <c r="AZ35" s="156">
        <f t="shared" si="8"/>
        <v>0</v>
      </c>
      <c r="BA35" s="1223">
        <v>7456</v>
      </c>
      <c r="BB35" s="156">
        <f t="shared" si="9"/>
        <v>1.0356994026948187</v>
      </c>
      <c r="BC35" s="1223">
        <v>8583</v>
      </c>
      <c r="BD35" s="156">
        <f t="shared" si="10"/>
        <v>1.1922489234615918</v>
      </c>
      <c r="BE35" s="472">
        <f>SUM(BE2:BE34)</f>
        <v>194663</v>
      </c>
      <c r="BG35" s="472">
        <v>3537</v>
      </c>
      <c r="BI35" s="472">
        <v>3479</v>
      </c>
      <c r="BK35" s="472">
        <v>3837</v>
      </c>
      <c r="BU35" s="472">
        <v>8632</v>
      </c>
      <c r="CG35" s="472">
        <v>16193</v>
      </c>
      <c r="CI35" s="472">
        <v>12166</v>
      </c>
      <c r="CJ35" s="472" t="s">
        <v>1718</v>
      </c>
    </row>
    <row r="36" spans="1:88" s="477" customFormat="1" ht="14.25" customHeight="1">
      <c r="A36" s="473"/>
      <c r="B36" s="474" t="s">
        <v>235</v>
      </c>
      <c r="C36" s="461" t="s">
        <v>486</v>
      </c>
      <c r="D36" s="475">
        <v>60000</v>
      </c>
      <c r="E36" s="461"/>
      <c r="F36" s="476"/>
      <c r="H36" s="476"/>
      <c r="J36" s="476"/>
      <c r="L36" s="476"/>
      <c r="N36" s="476"/>
      <c r="P36" s="476"/>
      <c r="R36" s="476"/>
      <c r="T36" s="476"/>
      <c r="V36" s="476"/>
      <c r="AH36" s="12"/>
      <c r="AJ36" s="12"/>
      <c r="AL36" s="12"/>
      <c r="AN36" s="12"/>
      <c r="AP36" s="12"/>
      <c r="AR36" s="12"/>
      <c r="AT36" s="12"/>
      <c r="AU36" s="1224"/>
      <c r="AV36" s="12"/>
      <c r="AW36" s="1224"/>
      <c r="AX36" s="12"/>
      <c r="AY36" s="1224"/>
      <c r="AZ36" s="12"/>
      <c r="BA36" s="1224"/>
      <c r="BB36" s="12"/>
      <c r="BC36" s="1224"/>
      <c r="BD36" s="12"/>
      <c r="BU36" s="472">
        <f>SUM(BU2:BU35)</f>
        <v>203225</v>
      </c>
    </row>
    <row r="37" spans="1:88" s="477" customFormat="1" ht="14.25" customHeight="1">
      <c r="A37" s="473"/>
      <c r="B37" s="460" t="s">
        <v>487</v>
      </c>
      <c r="C37" s="461"/>
      <c r="D37" s="477">
        <v>60000</v>
      </c>
      <c r="E37" s="461"/>
      <c r="F37" s="476"/>
      <c r="H37" s="476"/>
      <c r="J37" s="476"/>
      <c r="L37" s="476"/>
      <c r="N37" s="476"/>
      <c r="P37" s="476"/>
      <c r="R37" s="476"/>
      <c r="T37" s="476"/>
      <c r="V37" s="476"/>
      <c r="AH37" s="12"/>
      <c r="AJ37" s="12"/>
      <c r="AL37" s="12"/>
      <c r="AN37" s="12"/>
      <c r="AP37" s="12"/>
      <c r="AR37" s="12"/>
      <c r="AT37" s="12"/>
      <c r="AU37" s="1224"/>
      <c r="AV37" s="12"/>
      <c r="AW37" s="1224"/>
      <c r="AX37" s="12"/>
      <c r="AY37" s="1224"/>
      <c r="AZ37" s="12"/>
      <c r="BA37" s="1224"/>
      <c r="BB37" s="12"/>
      <c r="BC37" s="1224"/>
      <c r="BD37" s="12"/>
    </row>
    <row r="38" spans="1:88" s="477" customFormat="1" ht="14.25" customHeight="1">
      <c r="A38" s="473"/>
      <c r="B38" s="474" t="e">
        <f>#REF!</f>
        <v>#REF!</v>
      </c>
      <c r="C38" s="461"/>
      <c r="E38" s="461"/>
      <c r="F38" s="476"/>
      <c r="H38" s="476"/>
      <c r="J38" s="476"/>
      <c r="L38" s="476"/>
      <c r="N38" s="476"/>
      <c r="P38" s="476"/>
      <c r="R38" s="476"/>
      <c r="T38" s="476"/>
      <c r="V38" s="476"/>
      <c r="AH38" s="12"/>
      <c r="AJ38" s="12"/>
      <c r="AL38" s="12"/>
      <c r="AN38" s="12"/>
      <c r="AP38" s="12"/>
      <c r="AR38" s="12"/>
      <c r="AT38" s="12"/>
      <c r="AU38" s="1224"/>
      <c r="AV38" s="12"/>
      <c r="AW38" s="1224"/>
      <c r="AX38" s="12"/>
      <c r="AY38" s="1224"/>
      <c r="AZ38" s="12"/>
      <c r="BA38" s="1224"/>
      <c r="BB38" s="12"/>
      <c r="BC38" s="1224"/>
      <c r="BD38" s="12"/>
    </row>
    <row r="39" spans="1:88" s="477" customFormat="1" ht="14.25" customHeight="1">
      <c r="A39" s="473"/>
      <c r="B39" s="460" t="s">
        <v>231</v>
      </c>
      <c r="C39" s="461"/>
      <c r="E39" s="461"/>
      <c r="F39" s="476"/>
      <c r="H39" s="476"/>
      <c r="J39" s="476"/>
      <c r="L39" s="476"/>
      <c r="N39" s="476"/>
      <c r="P39" s="476"/>
      <c r="R39" s="476"/>
      <c r="T39" s="476"/>
      <c r="V39" s="476"/>
      <c r="AH39" s="12"/>
      <c r="AJ39" s="12"/>
      <c r="AL39" s="12"/>
      <c r="AN39" s="12"/>
      <c r="AP39" s="12"/>
      <c r="AR39" s="12"/>
      <c r="AT39" s="12"/>
      <c r="AU39" s="1224"/>
      <c r="AV39" s="12"/>
      <c r="AW39" s="1224"/>
      <c r="AX39" s="12"/>
      <c r="AY39" s="1224"/>
      <c r="AZ39" s="12"/>
      <c r="BA39" s="1224"/>
      <c r="BB39" s="12"/>
      <c r="BC39" s="1224"/>
      <c r="BD39" s="12"/>
    </row>
    <row r="40" spans="1:88" s="477" customFormat="1" ht="14.25" customHeight="1">
      <c r="A40" s="473"/>
      <c r="B40" s="461" t="s">
        <v>1301</v>
      </c>
      <c r="C40" s="461"/>
      <c r="E40" s="461"/>
      <c r="F40" s="476"/>
      <c r="H40" s="476"/>
      <c r="J40" s="476"/>
      <c r="L40" s="476"/>
      <c r="N40" s="476"/>
      <c r="P40" s="476"/>
      <c r="R40" s="476"/>
      <c r="T40" s="476"/>
      <c r="V40" s="476"/>
      <c r="AH40" s="12"/>
      <c r="AJ40" s="12"/>
      <c r="AL40" s="12"/>
      <c r="AN40" s="12"/>
      <c r="AP40" s="12"/>
      <c r="AR40" s="12"/>
      <c r="AT40" s="12"/>
      <c r="AU40" s="1224"/>
      <c r="AV40" s="12"/>
      <c r="AW40" s="1224"/>
      <c r="AX40" s="12"/>
      <c r="AY40" s="1224"/>
      <c r="AZ40" s="12"/>
      <c r="BA40" s="1224"/>
      <c r="BB40" s="12"/>
      <c r="BC40" s="1224"/>
      <c r="BD40" s="12"/>
    </row>
    <row r="41" spans="1:88" s="477" customFormat="1" ht="14.25" customHeight="1">
      <c r="A41" s="473"/>
      <c r="B41" s="474" t="s">
        <v>233</v>
      </c>
      <c r="C41" s="461"/>
      <c r="E41" s="461"/>
      <c r="F41" s="476" t="s">
        <v>236</v>
      </c>
      <c r="G41" s="477" t="str">
        <f ca="1">"p.DossierName"&amp;G46</f>
        <v>p.DossierName18</v>
      </c>
      <c r="H41" s="477" t="str">
        <f ca="1">"p.ManFirstName"&amp;G46</f>
        <v>p.ManFirstName18</v>
      </c>
      <c r="I41" s="477" t="str">
        <f ca="1">"p.AHVNumber"&amp;G48</f>
        <v>p.AHVNumber69</v>
      </c>
      <c r="J41" s="478" t="str">
        <f ca="1">"p.BirthdayAdult"&amp;G46</f>
        <v>p.BirthdayAdult18</v>
      </c>
      <c r="L41" s="476"/>
      <c r="N41" s="476"/>
      <c r="P41" s="476"/>
      <c r="R41" s="476"/>
      <c r="T41" s="476"/>
      <c r="V41" s="476"/>
      <c r="AH41" s="12"/>
      <c r="AJ41" s="12"/>
      <c r="AL41" s="12"/>
      <c r="AN41" s="12"/>
      <c r="AP41" s="12"/>
      <c r="AR41" s="12"/>
      <c r="AT41" s="12"/>
      <c r="AU41" s="1224"/>
      <c r="AV41" s="12"/>
      <c r="AW41" s="1224"/>
      <c r="AX41" s="12"/>
      <c r="AY41" s="1224"/>
      <c r="AZ41" s="12"/>
      <c r="BA41" s="1224"/>
      <c r="BB41" s="12"/>
      <c r="BC41" s="1224"/>
      <c r="BD41" s="12"/>
    </row>
    <row r="42" spans="1:88" s="477" customFormat="1" ht="14.25" customHeight="1">
      <c r="A42" s="473"/>
      <c r="B42" s="460" t="s">
        <v>234</v>
      </c>
      <c r="C42" s="461"/>
      <c r="E42" s="461"/>
      <c r="F42" s="476" t="s">
        <v>237</v>
      </c>
      <c r="G42" s="477" t="str">
        <f ca="1">"p.FamilyName"&amp;G46</f>
        <v>p.FamilyName18</v>
      </c>
      <c r="H42" s="477" t="str">
        <f ca="1">"p.WomanFirstName"&amp;G46</f>
        <v>p.WomanFirstName18</v>
      </c>
      <c r="I42" s="477" t="str">
        <f ca="1">"p.AHVNumber"&amp;G48+1</f>
        <v>p.AHVNumber70</v>
      </c>
      <c r="J42" s="478" t="str">
        <f ca="1">"p.BirthdayAdult"&amp;G47</f>
        <v>p.BirthdayAdult19</v>
      </c>
      <c r="L42" s="476"/>
      <c r="N42" s="476"/>
      <c r="P42" s="476"/>
      <c r="R42" s="476"/>
      <c r="T42" s="476"/>
      <c r="V42" s="476"/>
      <c r="AH42" s="12"/>
      <c r="AJ42" s="12"/>
      <c r="AL42" s="12"/>
      <c r="AN42" s="12"/>
      <c r="AP42" s="12"/>
      <c r="AR42" s="12"/>
      <c r="AT42" s="12"/>
      <c r="AU42" s="1224"/>
      <c r="AV42" s="12"/>
      <c r="AW42" s="1224"/>
      <c r="AX42" s="12"/>
      <c r="AY42" s="1224"/>
      <c r="AZ42" s="12"/>
      <c r="BA42" s="1224"/>
      <c r="BB42" s="12"/>
      <c r="BC42" s="1224"/>
      <c r="BD42" s="12"/>
    </row>
    <row r="43" spans="1:88" s="477" customFormat="1" ht="14.25" customHeight="1">
      <c r="A43" s="473"/>
      <c r="B43" s="460" t="s">
        <v>231</v>
      </c>
      <c r="C43" s="461"/>
      <c r="E43" s="461"/>
      <c r="F43" s="476" t="s">
        <v>238</v>
      </c>
      <c r="G43" s="477" t="str">
        <f ca="1">G42</f>
        <v>p.FamilyName18</v>
      </c>
      <c r="H43" s="477" t="str">
        <f ca="1">"p.GirlFirstName"&amp;G46</f>
        <v>p.GirlFirstName18</v>
      </c>
      <c r="I43" s="477" t="str">
        <f ca="1">"p.AHVNumber"&amp;G48+2</f>
        <v>p.AHVNumber71</v>
      </c>
      <c r="J43" s="478" t="str">
        <f ca="1">"p.BirthdayKid"&amp;G46</f>
        <v>p.BirthdayKid18</v>
      </c>
      <c r="L43" s="476"/>
      <c r="N43" s="476"/>
      <c r="P43" s="476"/>
      <c r="R43" s="476"/>
      <c r="T43" s="476"/>
      <c r="V43" s="476"/>
      <c r="AH43" s="12"/>
      <c r="AJ43" s="12"/>
      <c r="AL43" s="12"/>
      <c r="AN43" s="12"/>
      <c r="AP43" s="12"/>
      <c r="AR43" s="12"/>
      <c r="AT43" s="12"/>
      <c r="AU43" s="1224"/>
      <c r="AV43" s="12"/>
      <c r="AW43" s="1224"/>
      <c r="AX43" s="12"/>
      <c r="AY43" s="1224"/>
      <c r="AZ43" s="12"/>
      <c r="BA43" s="1224"/>
      <c r="BB43" s="12"/>
      <c r="BC43" s="1224"/>
      <c r="BD43" s="12"/>
    </row>
    <row r="44" spans="1:88" s="477" customFormat="1" ht="14.25" customHeight="1">
      <c r="A44" s="473"/>
      <c r="B44" s="474" t="s">
        <v>233</v>
      </c>
      <c r="C44" s="479"/>
      <c r="E44" s="461"/>
      <c r="F44" s="476"/>
      <c r="H44" s="477" t="str">
        <f ca="1">"p.ManFirstName"&amp;G47</f>
        <v>p.ManFirstName19</v>
      </c>
      <c r="I44" s="477" t="str">
        <f ca="1">"p.AHVNumber"&amp;G48+3</f>
        <v>p.AHVNumber72</v>
      </c>
      <c r="J44" s="478" t="str">
        <f ca="1">"p.BirthdayKid"&amp;G47</f>
        <v>p.BirthdayKid19</v>
      </c>
      <c r="L44" s="476"/>
      <c r="N44" s="476"/>
      <c r="P44" s="476"/>
      <c r="R44" s="476"/>
      <c r="T44" s="476"/>
      <c r="V44" s="476"/>
      <c r="AH44" s="12"/>
      <c r="AJ44" s="12"/>
      <c r="AL44" s="12"/>
      <c r="AN44" s="12"/>
      <c r="AP44" s="12"/>
      <c r="AR44" s="12"/>
      <c r="AT44" s="12"/>
      <c r="AU44" s="1224"/>
      <c r="AV44" s="12"/>
      <c r="AW44" s="1224"/>
      <c r="AX44" s="12"/>
      <c r="AY44" s="1224"/>
      <c r="AZ44" s="12"/>
      <c r="BA44" s="1224"/>
      <c r="BB44" s="12"/>
      <c r="BC44" s="1224"/>
      <c r="BD44" s="12"/>
    </row>
    <row r="45" spans="1:88" s="477" customFormat="1" ht="14.25" customHeight="1">
      <c r="A45" s="473"/>
      <c r="B45" s="480"/>
      <c r="E45" s="461"/>
      <c r="F45" s="476"/>
      <c r="H45" s="476"/>
      <c r="J45" s="476"/>
      <c r="L45" s="476"/>
      <c r="N45" s="476"/>
      <c r="P45" s="476"/>
      <c r="R45" s="476"/>
      <c r="T45" s="476"/>
      <c r="V45" s="476"/>
      <c r="AH45" s="12"/>
      <c r="AJ45" s="12"/>
      <c r="AL45" s="12"/>
      <c r="AN45" s="12"/>
      <c r="AP45" s="12"/>
      <c r="AR45" s="12"/>
      <c r="AT45" s="12"/>
      <c r="AU45" s="1224"/>
      <c r="AV45" s="12"/>
      <c r="AW45" s="1224"/>
      <c r="AX45" s="12"/>
      <c r="AY45" s="1224"/>
      <c r="AZ45" s="12"/>
      <c r="BA45" s="1224"/>
      <c r="BB45" s="12"/>
      <c r="BC45" s="1224"/>
      <c r="BD45" s="12"/>
    </row>
    <row r="46" spans="1:88" s="477" customFormat="1" ht="14.25" customHeight="1">
      <c r="A46" s="473"/>
      <c r="B46" s="480"/>
      <c r="E46" s="461"/>
      <c r="F46" s="476"/>
      <c r="G46" s="481">
        <f ca="1">_xlfn.SHEET()</f>
        <v>18</v>
      </c>
      <c r="H46" s="476"/>
      <c r="J46" s="476"/>
      <c r="L46" s="476"/>
      <c r="N46" s="476"/>
      <c r="P46" s="476"/>
      <c r="R46" s="476"/>
      <c r="T46" s="476"/>
      <c r="V46" s="476"/>
      <c r="AH46" s="12"/>
      <c r="AJ46" s="12"/>
      <c r="AL46" s="12"/>
      <c r="AN46" s="12"/>
      <c r="AP46" s="12"/>
      <c r="AR46" s="12"/>
      <c r="AT46" s="12"/>
      <c r="AU46" s="1224"/>
      <c r="AV46" s="12"/>
      <c r="AW46" s="1224"/>
      <c r="AX46" s="12"/>
      <c r="AY46" s="1224"/>
      <c r="AZ46" s="12"/>
      <c r="BA46" s="1224"/>
      <c r="BB46" s="12"/>
      <c r="BC46" s="1224"/>
      <c r="BD46" s="12"/>
    </row>
    <row r="47" spans="1:88" s="477" customFormat="1" ht="14.25" customHeight="1">
      <c r="A47" s="473"/>
      <c r="B47" s="474" t="s">
        <v>1302</v>
      </c>
      <c r="E47" s="461"/>
      <c r="F47" s="476"/>
      <c r="G47" s="477">
        <f ca="1">G46+1</f>
        <v>19</v>
      </c>
      <c r="H47" s="476"/>
      <c r="J47" s="476"/>
      <c r="L47" s="476"/>
      <c r="N47" s="476"/>
      <c r="P47" s="476"/>
      <c r="R47" s="476"/>
      <c r="T47" s="476"/>
      <c r="V47" s="476"/>
      <c r="AH47" s="12"/>
      <c r="AJ47" s="12"/>
      <c r="AL47" s="12"/>
      <c r="AN47" s="12"/>
      <c r="AP47" s="12"/>
      <c r="AR47" s="12"/>
      <c r="AT47" s="12"/>
      <c r="AU47" s="1224"/>
      <c r="AV47" s="12"/>
      <c r="AW47" s="1224"/>
      <c r="AX47" s="12"/>
      <c r="AY47" s="1224"/>
      <c r="AZ47" s="12"/>
      <c r="BA47" s="1224"/>
      <c r="BB47" s="12"/>
      <c r="BC47" s="1224"/>
      <c r="BD47" s="12"/>
    </row>
    <row r="48" spans="1:88" s="477" customFormat="1" ht="14.25" customHeight="1" thickBot="1">
      <c r="A48" s="473"/>
      <c r="B48" s="480"/>
      <c r="C48" s="479"/>
      <c r="E48" s="461"/>
      <c r="F48" s="476"/>
      <c r="G48" s="477">
        <f ca="1">G46*4-4+1</f>
        <v>69</v>
      </c>
      <c r="H48" s="476"/>
      <c r="J48" s="476"/>
      <c r="L48" s="476"/>
      <c r="N48" s="476"/>
      <c r="P48" s="476"/>
      <c r="R48" s="476"/>
      <c r="T48" s="476"/>
      <c r="V48" s="476"/>
      <c r="AH48" s="12"/>
      <c r="AJ48" s="12"/>
      <c r="AL48" s="12"/>
      <c r="AN48" s="12"/>
      <c r="AP48" s="12"/>
      <c r="AR48" s="12"/>
      <c r="AT48" s="12"/>
      <c r="AU48" s="1224"/>
      <c r="AV48" s="12"/>
      <c r="AW48" s="1224"/>
      <c r="AX48" s="12"/>
      <c r="AY48" s="1224"/>
      <c r="AZ48" s="12"/>
      <c r="BA48" s="1224"/>
      <c r="BB48" s="12"/>
      <c r="BC48" s="1224"/>
      <c r="BD48" s="12"/>
    </row>
    <row r="49" spans="1:94" s="10" customFormat="1" ht="21.75" customHeight="1" thickBot="1">
      <c r="A49" s="1"/>
      <c r="B49" s="135" t="s">
        <v>221</v>
      </c>
      <c r="C49" s="89" t="str">
        <f ca="1">E49</f>
        <v>{"bisValutaDatum":"31.12.2026","dossier":18,"checkZahlungTotal":"CHF 18’392.00","buchhaltung":`Regionaler Sozialdienst "Bern"`,"zustGemeinde":""}</v>
      </c>
      <c r="D49" s="90"/>
      <c r="E49" s="91" t="str">
        <f ca="1">F49&amp;G49&amp;H49&amp;I49&amp;J49&amp;K49&amp;L49&amp;M49&amp;N49&amp;O49&amp;P49&amp;Q49&amp;R49&amp;S49&amp;T49&amp;U49&amp;V49&amp;W49&amp;AA49</f>
        <v>{"bisValutaDatum":"31.12.2026","dossier":18,"checkZahlungTotal":"CHF 18’392.00","buchhaltung":`Regionaler Sozialdienst "Bern"`,"zustGemeinde":""}</v>
      </c>
      <c r="F49" s="609" t="s">
        <v>222</v>
      </c>
      <c r="G49" s="657" t="str">
        <f ca="1">"31.12."&amp;YEAR(TODAY())+1</f>
        <v>31.12.2026</v>
      </c>
      <c r="H49" s="609" t="s">
        <v>224</v>
      </c>
      <c r="I49" s="614">
        <f ca="1">G46</f>
        <v>18</v>
      </c>
      <c r="J49" s="609" t="s">
        <v>279</v>
      </c>
      <c r="K49" s="2018" t="s">
        <v>1396</v>
      </c>
      <c r="L49" s="609" t="s">
        <v>1310</v>
      </c>
      <c r="M49" s="611" t="s">
        <v>227</v>
      </c>
      <c r="N49" s="609" t="s">
        <v>228</v>
      </c>
      <c r="O49" s="611"/>
      <c r="P49" s="609" t="s">
        <v>37</v>
      </c>
      <c r="Q49" s="611"/>
      <c r="R49" s="609"/>
      <c r="S49" s="611"/>
      <c r="T49" s="609"/>
      <c r="U49" s="611"/>
      <c r="V49" s="609"/>
      <c r="W49" s="611"/>
      <c r="X49" s="90"/>
      <c r="Y49" s="90"/>
      <c r="Z49" s="90"/>
      <c r="AA49" s="90"/>
      <c r="AB49" s="90"/>
      <c r="AC49" s="155">
        <v>0</v>
      </c>
      <c r="AD49" s="2"/>
      <c r="AE49" s="2"/>
      <c r="AF49" s="162">
        <v>0</v>
      </c>
      <c r="AG49" s="156" t="e">
        <f t="shared" ref="AG49:AI49" si="175">AF49/($AC49)</f>
        <v>#DIV/0!</v>
      </c>
      <c r="AH49" s="90"/>
      <c r="AI49" s="156" t="e">
        <f t="shared" si="175"/>
        <v>#DIV/0!</v>
      </c>
      <c r="AJ49" s="162">
        <v>0</v>
      </c>
      <c r="AK49" s="156" t="e">
        <f t="shared" ref="AK49:AQ49" si="176">AJ49/($AC49)</f>
        <v>#DIV/0!</v>
      </c>
      <c r="AL49" s="90">
        <v>0</v>
      </c>
      <c r="AM49" s="156" t="e">
        <f t="shared" si="176"/>
        <v>#DIV/0!</v>
      </c>
      <c r="AN49" s="90">
        <v>0</v>
      </c>
      <c r="AO49" s="156" t="e">
        <f t="shared" si="176"/>
        <v>#DIV/0!</v>
      </c>
      <c r="AP49" s="90">
        <v>0</v>
      </c>
      <c r="AQ49" s="156" t="e">
        <f t="shared" si="176"/>
        <v>#DIV/0!</v>
      </c>
      <c r="AR49" s="2">
        <v>7927</v>
      </c>
      <c r="AS49" s="156" t="e">
        <f t="shared" ref="AS49:AW49" si="177">AR49/($AC49)</f>
        <v>#DIV/0!</v>
      </c>
      <c r="AT49" s="2">
        <v>7564</v>
      </c>
      <c r="AU49" s="156" t="e">
        <f t="shared" si="177"/>
        <v>#DIV/0!</v>
      </c>
      <c r="AV49" s="2">
        <v>0</v>
      </c>
      <c r="AW49" s="156" t="e">
        <f t="shared" si="177"/>
        <v>#DIV/0!</v>
      </c>
      <c r="AY49" s="490">
        <v>0</v>
      </c>
      <c r="AZ49" s="156" t="e">
        <f t="shared" ref="AZ49:BB49" si="178">AY49/($AC49)</f>
        <v>#DIV/0!</v>
      </c>
      <c r="BA49" s="10">
        <v>9725</v>
      </c>
      <c r="BB49" s="156" t="e">
        <f t="shared" si="178"/>
        <v>#DIV/0!</v>
      </c>
      <c r="BC49" s="10">
        <v>8093</v>
      </c>
      <c r="BE49" s="10">
        <v>7719</v>
      </c>
      <c r="BG49" s="10">
        <v>7452</v>
      </c>
      <c r="BI49" s="10">
        <v>7525</v>
      </c>
      <c r="BK49" s="10">
        <v>7142</v>
      </c>
      <c r="BM49" s="10">
        <v>7093</v>
      </c>
      <c r="BO49" s="10">
        <v>8080</v>
      </c>
      <c r="BQ49" s="10">
        <v>7859</v>
      </c>
      <c r="BS49" s="10">
        <v>8039</v>
      </c>
      <c r="BU49" s="10">
        <v>7063</v>
      </c>
      <c r="BW49" s="10">
        <v>6935</v>
      </c>
      <c r="BY49" s="1930">
        <v>0</v>
      </c>
      <c r="BZ49" s="1931" t="s">
        <v>1376</v>
      </c>
      <c r="CC49" s="1992">
        <v>0</v>
      </c>
      <c r="CD49" s="1993" t="s">
        <v>1390</v>
      </c>
      <c r="CE49" s="2005">
        <v>0</v>
      </c>
      <c r="CF49" s="2006" t="s">
        <v>1393</v>
      </c>
      <c r="CG49" s="2014">
        <v>0</v>
      </c>
      <c r="CH49" s="2015" t="s">
        <v>1395</v>
      </c>
      <c r="CI49" s="2041">
        <v>0</v>
      </c>
      <c r="CJ49" s="2042" t="s">
        <v>1398</v>
      </c>
      <c r="CK49" s="2237">
        <v>0</v>
      </c>
      <c r="CL49" s="2238" t="s">
        <v>1422</v>
      </c>
      <c r="CM49" s="10">
        <v>11757</v>
      </c>
      <c r="CO49" s="2564">
        <v>0</v>
      </c>
      <c r="CP49" s="2565" t="s">
        <v>1443</v>
      </c>
    </row>
    <row r="50" spans="1:94" s="477" customFormat="1" ht="14.25" customHeight="1">
      <c r="A50" s="473"/>
      <c r="B50" s="480"/>
      <c r="C50" s="479"/>
      <c r="E50" s="461"/>
      <c r="F50" s="476"/>
      <c r="H50" s="476"/>
      <c r="J50" s="476"/>
      <c r="L50" s="476"/>
      <c r="N50" s="476"/>
      <c r="P50" s="476"/>
      <c r="R50" s="476"/>
      <c r="T50" s="476"/>
      <c r="V50" s="476"/>
      <c r="AH50" s="12"/>
      <c r="AJ50" s="12"/>
      <c r="AL50" s="12"/>
      <c r="AN50" s="12"/>
      <c r="AP50" s="12"/>
      <c r="AR50" s="12"/>
      <c r="AT50" s="12"/>
      <c r="AU50" s="1224"/>
      <c r="AV50" s="12"/>
      <c r="AW50" s="1224"/>
      <c r="AX50" s="12"/>
      <c r="AY50" s="1224"/>
      <c r="AZ50" s="12"/>
      <c r="BA50" s="1224"/>
      <c r="BB50" s="12"/>
      <c r="BC50" s="1224"/>
      <c r="BD50" s="12"/>
    </row>
    <row r="51" spans="1:94" s="477" customFormat="1" ht="14.25" customHeight="1">
      <c r="A51" s="473"/>
      <c r="B51" s="461"/>
      <c r="C51" s="461"/>
      <c r="E51" s="461"/>
      <c r="F51" s="476"/>
      <c r="H51" s="476"/>
      <c r="J51" s="476"/>
      <c r="L51" s="476"/>
      <c r="N51" s="476"/>
      <c r="P51" s="476"/>
      <c r="R51" s="476"/>
      <c r="T51" s="476"/>
      <c r="V51" s="476"/>
      <c r="AH51" s="12"/>
      <c r="AJ51" s="12"/>
      <c r="AL51" s="12"/>
      <c r="AN51" s="12"/>
      <c r="AP51" s="12"/>
      <c r="AR51" s="12"/>
      <c r="AT51" s="12"/>
      <c r="AU51" s="1224"/>
      <c r="AV51" s="12"/>
      <c r="AW51" s="1224"/>
      <c r="AX51" s="12"/>
      <c r="AY51" s="1224"/>
      <c r="AZ51" s="12"/>
      <c r="BA51" s="1224"/>
      <c r="BB51" s="12"/>
      <c r="BC51" s="1224"/>
      <c r="BD51" s="12"/>
    </row>
    <row r="52" spans="1:94" s="477" customFormat="1" ht="14.25" customHeight="1">
      <c r="A52" s="473"/>
      <c r="B52" s="461"/>
      <c r="C52" s="461"/>
      <c r="E52" s="461"/>
      <c r="F52" s="476"/>
      <c r="H52" s="476"/>
      <c r="J52" s="476"/>
      <c r="L52" s="476"/>
      <c r="N52" s="476"/>
      <c r="P52" s="476"/>
      <c r="R52" s="476"/>
      <c r="T52" s="476"/>
      <c r="V52" s="476"/>
      <c r="AH52" s="12"/>
      <c r="AJ52" s="12"/>
      <c r="AL52" s="12"/>
      <c r="AN52" s="12"/>
      <c r="AP52" s="12"/>
      <c r="AR52" s="12"/>
      <c r="AT52" s="12"/>
      <c r="AU52" s="1224"/>
      <c r="AV52" s="12"/>
      <c r="AW52" s="1224"/>
      <c r="AX52" s="12"/>
      <c r="AY52" s="1224"/>
      <c r="AZ52" s="12"/>
      <c r="BA52" s="1224"/>
      <c r="BB52" s="12"/>
      <c r="BC52" s="1224"/>
      <c r="BD52" s="12"/>
    </row>
    <row r="53" spans="1:94" s="477" customFormat="1" ht="14.25" customHeight="1">
      <c r="A53" s="473"/>
      <c r="B53" s="461"/>
      <c r="C53" s="461"/>
      <c r="E53" s="461"/>
      <c r="F53" s="476"/>
      <c r="H53" s="476"/>
      <c r="J53" s="476"/>
      <c r="L53" s="476"/>
      <c r="N53" s="476"/>
      <c r="P53" s="476"/>
      <c r="R53" s="476"/>
      <c r="T53" s="476"/>
      <c r="V53" s="476"/>
      <c r="AH53" s="12"/>
      <c r="AJ53" s="12"/>
      <c r="AL53" s="12"/>
      <c r="AN53" s="12"/>
      <c r="AP53" s="12"/>
      <c r="AR53" s="12"/>
      <c r="AT53" s="12"/>
      <c r="AU53" s="1224"/>
      <c r="AV53" s="12"/>
      <c r="AW53" s="1224"/>
      <c r="AX53" s="12"/>
      <c r="AY53" s="1224"/>
      <c r="AZ53" s="12"/>
      <c r="BA53" s="1224"/>
      <c r="BB53" s="12"/>
      <c r="BC53" s="1224"/>
      <c r="BD53" s="12"/>
    </row>
    <row r="54" spans="1:94" s="477" customFormat="1" ht="14.25" customHeight="1">
      <c r="A54" s="473"/>
      <c r="B54" s="461"/>
      <c r="C54" s="461"/>
      <c r="E54" s="461"/>
      <c r="F54" s="476"/>
      <c r="H54" s="476"/>
      <c r="J54" s="476"/>
      <c r="L54" s="476"/>
      <c r="N54" s="476"/>
      <c r="P54" s="476"/>
      <c r="R54" s="476"/>
      <c r="T54" s="476"/>
      <c r="V54" s="476"/>
      <c r="AH54" s="12"/>
      <c r="AJ54" s="12"/>
      <c r="AL54" s="12"/>
      <c r="AN54" s="12"/>
      <c r="AP54" s="12"/>
      <c r="AR54" s="12"/>
      <c r="AT54" s="12"/>
      <c r="AU54" s="1224"/>
      <c r="AV54" s="12"/>
      <c r="AW54" s="1224"/>
      <c r="AX54" s="12"/>
      <c r="AY54" s="1224"/>
      <c r="AZ54" s="12"/>
      <c r="BA54" s="1224"/>
      <c r="BB54" s="12"/>
      <c r="BC54" s="1224"/>
      <c r="BD54" s="12"/>
    </row>
    <row r="55" spans="1:94" s="456" customFormat="1" ht="14.25" customHeight="1">
      <c r="A55" s="473"/>
      <c r="B55" s="462"/>
      <c r="C55" s="102"/>
      <c r="D55" s="103" t="s">
        <v>240</v>
      </c>
      <c r="E55" s="104">
        <v>1</v>
      </c>
      <c r="F55" s="102" t="s">
        <v>249</v>
      </c>
      <c r="G55" s="104">
        <v>2025</v>
      </c>
      <c r="H55" s="457"/>
      <c r="J55" s="457"/>
      <c r="L55" s="457"/>
      <c r="N55" s="457"/>
      <c r="P55" s="457"/>
      <c r="R55" s="457"/>
      <c r="T55" s="457"/>
      <c r="V55" s="457"/>
      <c r="AH55" s="12"/>
      <c r="AJ55" s="12"/>
      <c r="AL55" s="12"/>
      <c r="AN55" s="12"/>
      <c r="AP55" s="12"/>
      <c r="AR55" s="12"/>
      <c r="AT55" s="12"/>
      <c r="AU55" s="1225"/>
      <c r="AV55" s="12"/>
      <c r="AW55" s="1225"/>
      <c r="AX55" s="12"/>
      <c r="AY55" s="1225"/>
      <c r="AZ55" s="12"/>
      <c r="BA55" s="1225"/>
      <c r="BB55" s="12"/>
      <c r="BC55" s="1225"/>
      <c r="BD55" s="12"/>
    </row>
    <row r="56" spans="1:94" s="456" customFormat="1" ht="14.25" customHeight="1">
      <c r="A56" s="473"/>
      <c r="B56" s="462"/>
      <c r="C56" s="102">
        <f ca="1">MONTH(TODAY())</f>
        <v>11</v>
      </c>
      <c r="D56" s="482" t="str" cm="1">
        <f t="array" aca="1" ref="D56" ca="1">_xlfn.CHOOSEROWS(F$55:F$91,C56)&amp;" "&amp;_xlfn.CHOOSEROWS($G$55:$G$91,C56)</f>
        <v>November 2025</v>
      </c>
      <c r="E56" s="104">
        <v>2</v>
      </c>
      <c r="F56" s="102" t="s">
        <v>250</v>
      </c>
      <c r="G56" s="104">
        <v>2025</v>
      </c>
      <c r="H56" s="457"/>
      <c r="J56" s="457"/>
      <c r="L56" s="457"/>
      <c r="N56" s="457"/>
      <c r="P56" s="457"/>
      <c r="R56" s="457"/>
      <c r="T56" s="457"/>
      <c r="V56" s="457"/>
      <c r="AH56" s="12"/>
      <c r="AJ56" s="12"/>
      <c r="AL56" s="12"/>
      <c r="AN56" s="12"/>
      <c r="AP56" s="12"/>
      <c r="AR56" s="12"/>
      <c r="AT56" s="12"/>
      <c r="AU56" s="1225"/>
      <c r="AV56" s="12"/>
      <c r="AW56" s="1225"/>
      <c r="AX56" s="12"/>
      <c r="AY56" s="1225"/>
      <c r="AZ56" s="12"/>
      <c r="BA56" s="1225"/>
      <c r="BB56" s="12"/>
      <c r="BC56" s="1225"/>
      <c r="BD56" s="12"/>
    </row>
    <row r="57" spans="1:94" s="456" customFormat="1" ht="14.25" customHeight="1">
      <c r="A57" s="473"/>
      <c r="B57" s="462"/>
      <c r="C57" s="102">
        <f ca="1">C56+1</f>
        <v>12</v>
      </c>
      <c r="D57" s="482" t="str" cm="1">
        <f t="array" aca="1" ref="D57" ca="1">_xlfn.CHOOSEROWS(F$55:F$91,C57)&amp;" "&amp;_xlfn.CHOOSEROWS($G$55:$G$91,C57)</f>
        <v>Dezember 2025</v>
      </c>
      <c r="E57" s="104">
        <v>3</v>
      </c>
      <c r="F57" s="102" t="s">
        <v>251</v>
      </c>
      <c r="G57" s="104">
        <v>2025</v>
      </c>
      <c r="H57" s="457"/>
      <c r="J57" s="457"/>
      <c r="L57" s="457"/>
      <c r="N57" s="457"/>
      <c r="P57" s="457"/>
      <c r="R57" s="457"/>
      <c r="T57" s="457"/>
      <c r="V57" s="457"/>
      <c r="AH57" s="12"/>
      <c r="AJ57" s="12"/>
      <c r="AL57" s="12"/>
      <c r="AN57" s="12"/>
      <c r="AP57" s="12"/>
      <c r="AR57" s="12"/>
      <c r="AT57" s="12"/>
      <c r="AU57" s="1225"/>
      <c r="AV57" s="12"/>
      <c r="AW57" s="1225"/>
      <c r="AX57" s="12"/>
      <c r="AY57" s="1225"/>
      <c r="AZ57" s="12"/>
      <c r="BA57" s="1225"/>
      <c r="BB57" s="12"/>
      <c r="BC57" s="1225"/>
      <c r="BD57" s="12"/>
    </row>
    <row r="58" spans="1:94" s="456" customFormat="1" ht="14.25" customHeight="1">
      <c r="A58" s="473"/>
      <c r="B58" s="462"/>
      <c r="C58" s="102">
        <f t="shared" ref="C58:C73" ca="1" si="179">C57+1</f>
        <v>13</v>
      </c>
      <c r="D58" s="482" t="str" cm="1">
        <f t="array" aca="1" ref="D58" ca="1">_xlfn.CHOOSEROWS(F$55:F$91,C58)&amp;" "&amp;_xlfn.CHOOSEROWS($G$55:$G$91,C58)</f>
        <v>Januar 2026</v>
      </c>
      <c r="E58" s="104">
        <v>4</v>
      </c>
      <c r="F58" s="102" t="s">
        <v>252</v>
      </c>
      <c r="G58" s="104">
        <v>2025</v>
      </c>
      <c r="H58" s="457"/>
      <c r="J58" s="457"/>
      <c r="L58" s="457"/>
      <c r="N58" s="457"/>
      <c r="P58" s="457"/>
      <c r="R58" s="457"/>
      <c r="T58" s="457"/>
      <c r="V58" s="457"/>
      <c r="AH58" s="12"/>
      <c r="AJ58" s="12"/>
      <c r="AL58" s="12"/>
      <c r="AN58" s="12"/>
      <c r="AP58" s="12"/>
      <c r="AR58" s="12"/>
      <c r="AT58" s="12"/>
      <c r="AU58" s="1225"/>
      <c r="AV58" s="12"/>
      <c r="AW58" s="1225"/>
      <c r="AX58" s="12"/>
      <c r="AY58" s="1225"/>
      <c r="AZ58" s="12"/>
      <c r="BA58" s="1225"/>
      <c r="BB58" s="12"/>
      <c r="BC58" s="1225"/>
      <c r="BD58" s="12"/>
    </row>
    <row r="59" spans="1:94" s="456" customFormat="1" ht="14.25" customHeight="1">
      <c r="A59" s="473"/>
      <c r="B59" s="462"/>
      <c r="C59" s="102">
        <f t="shared" ca="1" si="179"/>
        <v>14</v>
      </c>
      <c r="D59" s="482" t="str" cm="1">
        <f t="array" aca="1" ref="D59" ca="1">_xlfn.CHOOSEROWS(F$55:F$91,C59)&amp;" "&amp;_xlfn.CHOOSEROWS($G$55:$G$91,C59)</f>
        <v>Februar 2026</v>
      </c>
      <c r="E59" s="104">
        <v>5</v>
      </c>
      <c r="F59" s="102" t="s">
        <v>253</v>
      </c>
      <c r="G59" s="104">
        <v>2025</v>
      </c>
      <c r="H59" s="457"/>
      <c r="J59" s="457"/>
      <c r="L59" s="457"/>
      <c r="N59" s="457"/>
      <c r="P59" s="457"/>
      <c r="R59" s="457"/>
      <c r="T59" s="457"/>
      <c r="V59" s="457"/>
      <c r="AH59" s="12"/>
      <c r="AJ59" s="12"/>
      <c r="AL59" s="12"/>
      <c r="AN59" s="12"/>
      <c r="AP59" s="12"/>
      <c r="AR59" s="12"/>
      <c r="AT59" s="12"/>
      <c r="AU59" s="1225"/>
      <c r="AV59" s="12"/>
      <c r="AW59" s="1225"/>
      <c r="AX59" s="12"/>
      <c r="AY59" s="1225"/>
      <c r="AZ59" s="12"/>
      <c r="BA59" s="1225"/>
      <c r="BB59" s="12"/>
      <c r="BC59" s="1225"/>
      <c r="BD59" s="12"/>
    </row>
    <row r="60" spans="1:94" s="456" customFormat="1" ht="14.25" customHeight="1">
      <c r="A60" s="473"/>
      <c r="B60" s="462"/>
      <c r="C60" s="102">
        <f t="shared" ca="1" si="179"/>
        <v>15</v>
      </c>
      <c r="D60" s="482" t="str" cm="1">
        <f t="array" aca="1" ref="D60" ca="1">_xlfn.CHOOSEROWS(F$55:F$91,C60)&amp;" "&amp;_xlfn.CHOOSEROWS($G$55:$G$91,C60)</f>
        <v>März 2026</v>
      </c>
      <c r="E60" s="104">
        <v>6</v>
      </c>
      <c r="F60" s="102" t="s">
        <v>254</v>
      </c>
      <c r="G60" s="104">
        <v>2025</v>
      </c>
      <c r="H60" s="457"/>
      <c r="J60" s="457"/>
      <c r="L60" s="457"/>
      <c r="N60" s="457"/>
      <c r="P60" s="457"/>
      <c r="R60" s="457"/>
      <c r="T60" s="457"/>
      <c r="V60" s="457"/>
      <c r="AH60" s="12"/>
      <c r="AJ60" s="12"/>
      <c r="AL60" s="12"/>
      <c r="AN60" s="12"/>
      <c r="AP60" s="12"/>
      <c r="AR60" s="12"/>
      <c r="AT60" s="12"/>
      <c r="AU60" s="1225"/>
      <c r="AV60" s="12"/>
      <c r="AW60" s="1225"/>
      <c r="AX60" s="12"/>
      <c r="AY60" s="1225"/>
      <c r="AZ60" s="12"/>
      <c r="BA60" s="1225"/>
      <c r="BB60" s="12"/>
      <c r="BC60" s="1225"/>
      <c r="BD60" s="12"/>
    </row>
    <row r="61" spans="1:94" s="456" customFormat="1" ht="14.25" customHeight="1">
      <c r="A61" s="473"/>
      <c r="B61" s="462"/>
      <c r="C61" s="102">
        <f t="shared" ca="1" si="179"/>
        <v>16</v>
      </c>
      <c r="D61" s="482" t="str" cm="1">
        <f t="array" aca="1" ref="D61" ca="1">_xlfn.CHOOSEROWS(F$55:F$91,C61)&amp;" "&amp;_xlfn.CHOOSEROWS($G$55:$G$91,C61)</f>
        <v>April 2026</v>
      </c>
      <c r="E61" s="104">
        <v>7</v>
      </c>
      <c r="F61" s="102" t="s">
        <v>255</v>
      </c>
      <c r="G61" s="104">
        <v>2025</v>
      </c>
      <c r="H61" s="457"/>
      <c r="J61" s="457"/>
      <c r="L61" s="457"/>
      <c r="N61" s="457"/>
      <c r="P61" s="457"/>
      <c r="R61" s="457"/>
      <c r="T61" s="457"/>
      <c r="V61" s="457"/>
      <c r="AH61" s="12"/>
      <c r="AJ61" s="12"/>
      <c r="AL61" s="12"/>
      <c r="AN61" s="12"/>
      <c r="AP61" s="12"/>
      <c r="AR61" s="12"/>
      <c r="AT61" s="12"/>
      <c r="AU61" s="1225"/>
      <c r="AV61" s="12"/>
      <c r="AW61" s="1225"/>
      <c r="AX61" s="12"/>
      <c r="AY61" s="1225"/>
      <c r="AZ61" s="12"/>
      <c r="BA61" s="1225"/>
      <c r="BB61" s="12"/>
      <c r="BC61" s="1225"/>
      <c r="BD61" s="12"/>
    </row>
    <row r="62" spans="1:94" s="456" customFormat="1" ht="14.25" customHeight="1">
      <c r="A62" s="473"/>
      <c r="B62" s="462"/>
      <c r="C62" s="102">
        <f t="shared" ca="1" si="179"/>
        <v>17</v>
      </c>
      <c r="D62" s="482" t="str" cm="1">
        <f t="array" aca="1" ref="D62" ca="1">_xlfn.CHOOSEROWS(F$55:F$91,C62)&amp;" "&amp;_xlfn.CHOOSEROWS($G$55:$G$91,C62)</f>
        <v>Mai 2026</v>
      </c>
      <c r="E62" s="104">
        <v>8</v>
      </c>
      <c r="F62" s="102" t="s">
        <v>256</v>
      </c>
      <c r="G62" s="104">
        <v>2025</v>
      </c>
      <c r="H62" s="457"/>
      <c r="J62" s="457"/>
      <c r="L62" s="457"/>
      <c r="N62" s="457"/>
      <c r="P62" s="457"/>
      <c r="R62" s="457"/>
      <c r="T62" s="457"/>
      <c r="V62" s="457"/>
      <c r="AH62" s="12"/>
      <c r="AJ62" s="12"/>
      <c r="AL62" s="12"/>
      <c r="AN62" s="12"/>
      <c r="AP62" s="12"/>
      <c r="AR62" s="12"/>
      <c r="AT62" s="12"/>
      <c r="AU62" s="1225"/>
      <c r="AV62" s="12"/>
      <c r="AW62" s="1225"/>
      <c r="AX62" s="12"/>
      <c r="AY62" s="1225"/>
      <c r="AZ62" s="12"/>
      <c r="BA62" s="1225"/>
      <c r="BB62" s="12"/>
      <c r="BC62" s="1225"/>
      <c r="BD62" s="12"/>
    </row>
    <row r="63" spans="1:94" s="456" customFormat="1" ht="14.25" customHeight="1">
      <c r="A63" s="473"/>
      <c r="B63" s="462"/>
      <c r="C63" s="102">
        <f t="shared" ca="1" si="179"/>
        <v>18</v>
      </c>
      <c r="D63" s="482" t="str" cm="1">
        <f t="array" aca="1" ref="D63" ca="1">_xlfn.CHOOSEROWS(F$55:F$91,C63)&amp;" "&amp;_xlfn.CHOOSEROWS($G$55:$G$91,C63)</f>
        <v>Juni 2026</v>
      </c>
      <c r="E63" s="104">
        <v>9</v>
      </c>
      <c r="F63" s="102" t="s">
        <v>257</v>
      </c>
      <c r="G63" s="104">
        <v>2025</v>
      </c>
      <c r="H63" s="457"/>
      <c r="J63" s="457"/>
      <c r="L63" s="457"/>
      <c r="N63" s="457"/>
      <c r="P63" s="457"/>
      <c r="R63" s="457"/>
      <c r="T63" s="457"/>
      <c r="V63" s="457"/>
      <c r="AH63" s="12"/>
      <c r="AJ63" s="12"/>
      <c r="AL63" s="12"/>
      <c r="AN63" s="12"/>
      <c r="AP63" s="12"/>
      <c r="AR63" s="12"/>
      <c r="AT63" s="12"/>
      <c r="AU63" s="1225"/>
      <c r="AV63" s="12"/>
      <c r="AW63" s="1225"/>
      <c r="AX63" s="12"/>
      <c r="AY63" s="1225"/>
      <c r="AZ63" s="12"/>
      <c r="BA63" s="1225"/>
      <c r="BB63" s="12"/>
      <c r="BC63" s="1225"/>
      <c r="BD63" s="12"/>
    </row>
    <row r="64" spans="1:94" s="456" customFormat="1" ht="14.25" customHeight="1">
      <c r="A64" s="473"/>
      <c r="B64" s="462"/>
      <c r="C64" s="102">
        <f t="shared" ca="1" si="179"/>
        <v>19</v>
      </c>
      <c r="D64" s="482" t="str" cm="1">
        <f t="array" aca="1" ref="D64" ca="1">_xlfn.CHOOSEROWS(F$55:F$91,C64)&amp;" "&amp;_xlfn.CHOOSEROWS($G$55:$G$91,C64)</f>
        <v>Juli 2026</v>
      </c>
      <c r="E64" s="104">
        <v>10</v>
      </c>
      <c r="F64" s="102" t="s">
        <v>258</v>
      </c>
      <c r="G64" s="104">
        <v>2025</v>
      </c>
      <c r="H64" s="457"/>
      <c r="J64" s="457"/>
      <c r="L64" s="457"/>
      <c r="N64" s="457"/>
      <c r="P64" s="457"/>
      <c r="R64" s="457"/>
      <c r="T64" s="457"/>
      <c r="V64" s="457"/>
      <c r="AH64" s="12"/>
      <c r="AJ64" s="12"/>
      <c r="AL64" s="12"/>
      <c r="AN64" s="12"/>
      <c r="AP64" s="12"/>
      <c r="AR64" s="12"/>
      <c r="AT64" s="12"/>
      <c r="AU64" s="1225"/>
      <c r="AV64" s="12"/>
      <c r="AW64" s="1225"/>
      <c r="AX64" s="12"/>
      <c r="AY64" s="1225"/>
      <c r="AZ64" s="12"/>
      <c r="BA64" s="1225"/>
      <c r="BB64" s="12"/>
      <c r="BC64" s="1225"/>
      <c r="BD64" s="12"/>
    </row>
    <row r="65" spans="1:56" ht="14.25" customHeight="1">
      <c r="C65" s="102">
        <f t="shared" ca="1" si="179"/>
        <v>20</v>
      </c>
      <c r="D65" s="482" t="str" cm="1">
        <f t="array" aca="1" ref="D65" ca="1">_xlfn.CHOOSEROWS(F$55:F$91,C65)&amp;" "&amp;_xlfn.CHOOSEROWS($G$55:$G$91,C65)</f>
        <v>August 2026</v>
      </c>
      <c r="E65" s="104">
        <v>11</v>
      </c>
      <c r="F65" s="105" t="s">
        <v>259</v>
      </c>
      <c r="G65" s="104">
        <v>2025</v>
      </c>
    </row>
    <row r="66" spans="1:56" ht="14.25" customHeight="1">
      <c r="C66" s="102">
        <f t="shared" ca="1" si="179"/>
        <v>21</v>
      </c>
      <c r="D66" s="482" t="str" cm="1">
        <f t="array" aca="1" ref="D66" ca="1">_xlfn.CHOOSEROWS(F$55:F$91,C66)&amp;" "&amp;_xlfn.CHOOSEROWS($G$55:$G$91,C66)</f>
        <v>September 2026</v>
      </c>
      <c r="E66" s="104">
        <v>12</v>
      </c>
      <c r="F66" s="105" t="s">
        <v>260</v>
      </c>
      <c r="G66" s="104">
        <v>2025</v>
      </c>
    </row>
    <row r="67" spans="1:56" ht="14.25" customHeight="1">
      <c r="C67" s="102">
        <f t="shared" ca="1" si="179"/>
        <v>22</v>
      </c>
      <c r="D67" s="482" t="str" cm="1">
        <f t="array" aca="1" ref="D67" ca="1">_xlfn.CHOOSEROWS(F$55:F$91,C67)&amp;" "&amp;_xlfn.CHOOSEROWS($G$55:$G$91,C67)</f>
        <v>Oktober 2026</v>
      </c>
      <c r="E67" s="104">
        <v>13</v>
      </c>
      <c r="F67" s="102" t="s">
        <v>249</v>
      </c>
      <c r="G67" s="105">
        <v>2026</v>
      </c>
    </row>
    <row r="68" spans="1:56" ht="14.25" customHeight="1">
      <c r="C68" s="102">
        <f t="shared" ca="1" si="179"/>
        <v>23</v>
      </c>
      <c r="D68" s="482" t="str" cm="1">
        <f t="array" aca="1" ref="D68" ca="1">_xlfn.CHOOSEROWS(F$55:F$91,C68)&amp;" "&amp;_xlfn.CHOOSEROWS($G$55:$G$91,C68)</f>
        <v>November 2026</v>
      </c>
      <c r="E68" s="104">
        <v>14</v>
      </c>
      <c r="F68" s="102" t="s">
        <v>250</v>
      </c>
      <c r="G68" s="105">
        <v>2026</v>
      </c>
    </row>
    <row r="69" spans="1:56" ht="14.25" customHeight="1">
      <c r="C69" s="102">
        <f t="shared" ca="1" si="179"/>
        <v>24</v>
      </c>
      <c r="D69" s="482" t="str" cm="1">
        <f t="array" aca="1" ref="D69" ca="1">_xlfn.CHOOSEROWS(F$55:F$91,C69)&amp;" "&amp;_xlfn.CHOOSEROWS($G$55:$G$91,C69)</f>
        <v>Dezember 2026</v>
      </c>
      <c r="E69" s="104">
        <v>15</v>
      </c>
      <c r="F69" s="102" t="s">
        <v>251</v>
      </c>
      <c r="G69" s="105">
        <v>2026</v>
      </c>
    </row>
    <row r="70" spans="1:56" s="485" customFormat="1" ht="14.25" customHeight="1">
      <c r="A70" s="483"/>
      <c r="B70" s="484"/>
      <c r="C70" s="102">
        <f t="shared" ca="1" si="179"/>
        <v>25</v>
      </c>
      <c r="D70" s="482" t="str" cm="1">
        <f t="array" aca="1" ref="D70" ca="1">_xlfn.CHOOSEROWS(F$55:F$91,C70)&amp;" "&amp;_xlfn.CHOOSEROWS($G$55:$G$91,C70)</f>
        <v xml:space="preserve"> </v>
      </c>
      <c r="E70" s="104">
        <v>16</v>
      </c>
      <c r="F70" s="102" t="s">
        <v>252</v>
      </c>
      <c r="G70" s="105">
        <v>2026</v>
      </c>
      <c r="I70" s="486"/>
      <c r="K70" s="486"/>
      <c r="M70" s="486"/>
      <c r="O70" s="486"/>
      <c r="Q70" s="486"/>
      <c r="S70" s="486"/>
      <c r="U70" s="486"/>
      <c r="W70" s="486"/>
      <c r="X70" s="486"/>
      <c r="Y70" s="486"/>
      <c r="Z70" s="486"/>
      <c r="AA70" s="486"/>
      <c r="AB70" s="486"/>
      <c r="AC70" s="486"/>
      <c r="AD70" s="486"/>
      <c r="AE70" s="486"/>
      <c r="AF70" s="486"/>
      <c r="AH70" s="12"/>
      <c r="AJ70" s="12"/>
      <c r="AL70" s="12"/>
      <c r="AN70" s="12"/>
      <c r="AP70" s="12"/>
      <c r="AR70" s="12"/>
      <c r="AT70" s="12"/>
      <c r="AU70" s="1227"/>
      <c r="AV70" s="12"/>
      <c r="AW70" s="1227"/>
      <c r="AX70" s="12"/>
      <c r="AY70" s="1227"/>
      <c r="AZ70" s="12"/>
      <c r="BA70" s="1227"/>
      <c r="BB70" s="12"/>
      <c r="BC70" s="1227"/>
      <c r="BD70" s="12"/>
    </row>
    <row r="71" spans="1:56" s="485" customFormat="1" ht="14.25" customHeight="1">
      <c r="A71" s="483"/>
      <c r="B71" s="484"/>
      <c r="C71" s="102">
        <f t="shared" ca="1" si="179"/>
        <v>26</v>
      </c>
      <c r="D71" s="482" t="str" cm="1">
        <f t="array" aca="1" ref="D71" ca="1">_xlfn.CHOOSEROWS(F$55:F$91,C71)&amp;" "&amp;_xlfn.CHOOSEROWS($G$55:$G$91,C71)</f>
        <v xml:space="preserve"> </v>
      </c>
      <c r="E71" s="104">
        <v>17</v>
      </c>
      <c r="F71" s="102" t="s">
        <v>253</v>
      </c>
      <c r="G71" s="105">
        <v>2026</v>
      </c>
      <c r="I71" s="486"/>
      <c r="K71" s="486"/>
      <c r="M71" s="486"/>
      <c r="O71" s="486"/>
      <c r="Q71" s="486"/>
      <c r="S71" s="486"/>
      <c r="U71" s="486"/>
      <c r="W71" s="486"/>
      <c r="X71" s="486"/>
      <c r="Y71" s="486"/>
      <c r="Z71" s="486"/>
      <c r="AA71" s="486"/>
      <c r="AB71" s="486"/>
      <c r="AC71" s="486"/>
      <c r="AD71" s="486"/>
      <c r="AE71" s="486"/>
      <c r="AF71" s="486"/>
      <c r="AH71" s="12"/>
      <c r="AJ71" s="12"/>
      <c r="AL71" s="12"/>
      <c r="AN71" s="12"/>
      <c r="AP71" s="12"/>
      <c r="AR71" s="12"/>
      <c r="AT71" s="12"/>
      <c r="AU71" s="1227"/>
      <c r="AV71" s="12"/>
      <c r="AW71" s="1227"/>
      <c r="AX71" s="12"/>
      <c r="AY71" s="1227"/>
      <c r="AZ71" s="12"/>
      <c r="BA71" s="1227"/>
      <c r="BB71" s="12"/>
      <c r="BC71" s="1227"/>
      <c r="BD71" s="12"/>
    </row>
    <row r="72" spans="1:56" s="485" customFormat="1" ht="14.25" customHeight="1">
      <c r="A72" s="483"/>
      <c r="B72" s="484"/>
      <c r="C72" s="102">
        <f t="shared" ca="1" si="179"/>
        <v>27</v>
      </c>
      <c r="D72" s="482" t="str" cm="1">
        <f t="array" aca="1" ref="D72" ca="1">_xlfn.CHOOSEROWS(F$55:F$91,C72)&amp;" "&amp;_xlfn.CHOOSEROWS($G$55:$G$91,C72)</f>
        <v xml:space="preserve"> </v>
      </c>
      <c r="E72" s="104">
        <v>18</v>
      </c>
      <c r="F72" s="102" t="s">
        <v>254</v>
      </c>
      <c r="G72" s="105">
        <v>2026</v>
      </c>
      <c r="I72" s="486"/>
      <c r="K72" s="486"/>
      <c r="M72" s="486"/>
      <c r="O72" s="486"/>
      <c r="Q72" s="486"/>
      <c r="S72" s="486"/>
      <c r="U72" s="486"/>
      <c r="W72" s="486"/>
      <c r="X72" s="486"/>
      <c r="Y72" s="486"/>
      <c r="Z72" s="486"/>
      <c r="AA72" s="486"/>
      <c r="AB72" s="486"/>
      <c r="AC72" s="486"/>
      <c r="AD72" s="486"/>
      <c r="AE72" s="486"/>
      <c r="AF72" s="486"/>
      <c r="AH72" s="12"/>
      <c r="AJ72" s="12"/>
      <c r="AL72" s="12"/>
      <c r="AN72" s="12"/>
      <c r="AP72" s="12"/>
      <c r="AR72" s="12"/>
      <c r="AT72" s="12"/>
      <c r="AU72" s="1227"/>
      <c r="AV72" s="12"/>
      <c r="AW72" s="1227"/>
      <c r="AX72" s="12"/>
      <c r="AY72" s="1227"/>
      <c r="AZ72" s="12"/>
      <c r="BA72" s="1227"/>
      <c r="BB72" s="12"/>
      <c r="BC72" s="1227"/>
      <c r="BD72" s="12"/>
    </row>
    <row r="73" spans="1:56" s="485" customFormat="1" ht="14.25" customHeight="1">
      <c r="A73" s="483"/>
      <c r="B73" s="484"/>
      <c r="C73" s="102">
        <f t="shared" ca="1" si="179"/>
        <v>28</v>
      </c>
      <c r="D73" s="482" t="str" cm="1">
        <f t="array" aca="1" ref="D73" ca="1">_xlfn.CHOOSEROWS(F$55:F$91,C73)&amp;" "&amp;_xlfn.CHOOSEROWS($G$55:$G$91,C73)</f>
        <v xml:space="preserve"> </v>
      </c>
      <c r="E73" s="104">
        <v>19</v>
      </c>
      <c r="F73" s="102" t="s">
        <v>255</v>
      </c>
      <c r="G73" s="105">
        <v>2026</v>
      </c>
      <c r="I73" s="486"/>
      <c r="K73" s="486"/>
      <c r="M73" s="486"/>
      <c r="O73" s="486"/>
      <c r="Q73" s="486"/>
      <c r="S73" s="486"/>
      <c r="U73" s="486"/>
      <c r="W73" s="486"/>
      <c r="X73" s="486"/>
      <c r="Y73" s="486"/>
      <c r="Z73" s="486"/>
      <c r="AA73" s="486"/>
      <c r="AB73" s="486"/>
      <c r="AC73" s="486"/>
      <c r="AD73" s="486"/>
      <c r="AE73" s="486"/>
      <c r="AF73" s="486"/>
      <c r="AH73" s="12"/>
      <c r="AJ73" s="12"/>
      <c r="AL73" s="12"/>
      <c r="AN73" s="12"/>
      <c r="AP73" s="12"/>
      <c r="AR73" s="12"/>
      <c r="AT73" s="12"/>
      <c r="AU73" s="1227"/>
      <c r="AV73" s="12"/>
      <c r="AW73" s="1227"/>
      <c r="AX73" s="12"/>
      <c r="AY73" s="1227"/>
      <c r="AZ73" s="12"/>
      <c r="BA73" s="1227"/>
      <c r="BB73" s="12"/>
      <c r="BC73" s="1227"/>
      <c r="BD73" s="12"/>
    </row>
    <row r="74" spans="1:56" s="485" customFormat="1" ht="14.25" customHeight="1">
      <c r="A74" s="483"/>
      <c r="B74" s="484"/>
      <c r="C74" s="105"/>
      <c r="D74" s="487"/>
      <c r="E74" s="104">
        <v>20</v>
      </c>
      <c r="F74" s="102" t="s">
        <v>256</v>
      </c>
      <c r="G74" s="105">
        <v>2026</v>
      </c>
      <c r="I74" s="486"/>
      <c r="K74" s="486"/>
      <c r="M74" s="486"/>
      <c r="O74" s="486"/>
      <c r="Q74" s="486"/>
      <c r="S74" s="486"/>
      <c r="U74" s="486"/>
      <c r="W74" s="486"/>
      <c r="X74" s="486"/>
      <c r="Y74" s="486"/>
      <c r="Z74" s="486"/>
      <c r="AA74" s="486"/>
      <c r="AB74" s="486"/>
      <c r="AC74" s="486"/>
      <c r="AD74" s="486"/>
      <c r="AE74" s="486"/>
      <c r="AF74" s="486"/>
      <c r="AH74" s="12"/>
      <c r="AJ74" s="12"/>
      <c r="AL74" s="12"/>
      <c r="AN74" s="12"/>
      <c r="AP74" s="12"/>
      <c r="AR74" s="12"/>
      <c r="AT74" s="12"/>
      <c r="AU74" s="1227"/>
      <c r="AV74" s="12"/>
      <c r="AW74" s="1227"/>
      <c r="AX74" s="12"/>
      <c r="AY74" s="1227"/>
      <c r="AZ74" s="12"/>
      <c r="BA74" s="1227"/>
      <c r="BB74" s="12"/>
      <c r="BC74" s="1227"/>
      <c r="BD74" s="12"/>
    </row>
    <row r="75" spans="1:56" s="485" customFormat="1" ht="14.25" customHeight="1">
      <c r="A75" s="483"/>
      <c r="B75" s="484"/>
      <c r="C75" s="105"/>
      <c r="D75" s="487"/>
      <c r="E75" s="104">
        <v>21</v>
      </c>
      <c r="F75" s="102" t="s">
        <v>257</v>
      </c>
      <c r="G75" s="105">
        <v>2026</v>
      </c>
      <c r="I75" s="486"/>
      <c r="K75" s="486"/>
      <c r="M75" s="486"/>
      <c r="O75" s="486"/>
      <c r="Q75" s="486"/>
      <c r="S75" s="486"/>
      <c r="U75" s="486"/>
      <c r="W75" s="486"/>
      <c r="X75" s="486"/>
      <c r="Y75" s="486"/>
      <c r="Z75" s="486"/>
      <c r="AA75" s="486"/>
      <c r="AB75" s="486"/>
      <c r="AC75" s="486"/>
      <c r="AD75" s="486"/>
      <c r="AE75" s="486"/>
      <c r="AF75" s="486"/>
      <c r="AH75" s="12"/>
      <c r="AJ75" s="12"/>
      <c r="AL75" s="12"/>
      <c r="AN75" s="12"/>
      <c r="AP75" s="12"/>
      <c r="AR75" s="12"/>
      <c r="AT75" s="12"/>
      <c r="AU75" s="1227"/>
      <c r="AV75" s="12"/>
      <c r="AW75" s="1227"/>
      <c r="AX75" s="12"/>
      <c r="AY75" s="1227"/>
      <c r="AZ75" s="12"/>
      <c r="BA75" s="1227"/>
      <c r="BB75" s="12"/>
      <c r="BC75" s="1227"/>
      <c r="BD75" s="12"/>
    </row>
    <row r="76" spans="1:56" s="485" customFormat="1" ht="14.25" customHeight="1">
      <c r="A76" s="483"/>
      <c r="B76" s="484"/>
      <c r="C76" s="105"/>
      <c r="D76" s="487"/>
      <c r="E76" s="104">
        <v>22</v>
      </c>
      <c r="F76" s="102" t="s">
        <v>258</v>
      </c>
      <c r="G76" s="105">
        <v>2026</v>
      </c>
      <c r="I76" s="486"/>
      <c r="K76" s="486"/>
      <c r="M76" s="486"/>
      <c r="O76" s="486"/>
      <c r="Q76" s="486"/>
      <c r="S76" s="486"/>
      <c r="U76" s="486"/>
      <c r="W76" s="486"/>
      <c r="X76" s="486"/>
      <c r="Y76" s="486"/>
      <c r="Z76" s="486"/>
      <c r="AA76" s="486"/>
      <c r="AB76" s="486"/>
      <c r="AC76" s="486"/>
      <c r="AD76" s="486"/>
      <c r="AE76" s="486"/>
      <c r="AF76" s="486"/>
      <c r="AH76" s="12"/>
      <c r="AJ76" s="12"/>
      <c r="AL76" s="12"/>
      <c r="AN76" s="12"/>
      <c r="AP76" s="12"/>
      <c r="AR76" s="12"/>
      <c r="AT76" s="12"/>
      <c r="AU76" s="1227"/>
      <c r="AV76" s="12"/>
      <c r="AW76" s="1227"/>
      <c r="AX76" s="12"/>
      <c r="AY76" s="1227"/>
      <c r="AZ76" s="12"/>
      <c r="BA76" s="1227"/>
      <c r="BB76" s="12"/>
      <c r="BC76" s="1227"/>
      <c r="BD76" s="12"/>
    </row>
    <row r="77" spans="1:56" s="485" customFormat="1" ht="14.25" customHeight="1">
      <c r="A77" s="483"/>
      <c r="B77" s="484"/>
      <c r="C77" s="105"/>
      <c r="D77" s="487"/>
      <c r="E77" s="104">
        <v>23</v>
      </c>
      <c r="F77" s="105" t="s">
        <v>259</v>
      </c>
      <c r="G77" s="105">
        <v>2026</v>
      </c>
      <c r="I77" s="486"/>
      <c r="K77" s="486"/>
      <c r="M77" s="486"/>
      <c r="O77" s="486"/>
      <c r="Q77" s="486"/>
      <c r="S77" s="486"/>
      <c r="U77" s="486"/>
      <c r="W77" s="486"/>
      <c r="X77" s="486"/>
      <c r="Y77" s="486"/>
      <c r="Z77" s="486"/>
      <c r="AA77" s="486"/>
      <c r="AB77" s="486"/>
      <c r="AC77" s="486"/>
      <c r="AD77" s="486"/>
      <c r="AE77" s="486"/>
      <c r="AF77" s="486"/>
      <c r="AH77" s="12"/>
      <c r="AJ77" s="12"/>
      <c r="AL77" s="12"/>
      <c r="AN77" s="12"/>
      <c r="AP77" s="12"/>
      <c r="AR77" s="12"/>
      <c r="AT77" s="12"/>
      <c r="AU77" s="1227"/>
      <c r="AV77" s="12"/>
      <c r="AW77" s="1227"/>
      <c r="AX77" s="12"/>
      <c r="AY77" s="1227"/>
      <c r="AZ77" s="12"/>
      <c r="BA77" s="1227"/>
      <c r="BB77" s="12"/>
      <c r="BC77" s="1227"/>
      <c r="BD77" s="12"/>
    </row>
    <row r="78" spans="1:56" s="485" customFormat="1" ht="14.25" customHeight="1">
      <c r="A78" s="483"/>
      <c r="B78" s="484"/>
      <c r="C78" s="105"/>
      <c r="D78" s="487"/>
      <c r="E78" s="104">
        <v>24</v>
      </c>
      <c r="F78" s="105" t="s">
        <v>260</v>
      </c>
      <c r="G78" s="105">
        <v>2026</v>
      </c>
      <c r="I78" s="486"/>
      <c r="K78" s="486"/>
      <c r="M78" s="486"/>
      <c r="O78" s="486"/>
      <c r="Q78" s="486"/>
      <c r="S78" s="486"/>
      <c r="U78" s="486"/>
      <c r="W78" s="486"/>
      <c r="X78" s="486"/>
      <c r="Y78" s="486"/>
      <c r="Z78" s="486"/>
      <c r="AA78" s="486"/>
      <c r="AB78" s="486"/>
      <c r="AC78" s="486"/>
      <c r="AD78" s="486"/>
      <c r="AE78" s="486"/>
      <c r="AF78" s="486"/>
      <c r="AH78" s="12"/>
      <c r="AJ78" s="12"/>
      <c r="AL78" s="12"/>
      <c r="AN78" s="12"/>
      <c r="AP78" s="12"/>
      <c r="AR78" s="12"/>
      <c r="AT78" s="12"/>
      <c r="AU78" s="1227"/>
      <c r="AV78" s="12"/>
      <c r="AW78" s="1227"/>
      <c r="AX78" s="12"/>
      <c r="AY78" s="1227"/>
      <c r="AZ78" s="12"/>
      <c r="BA78" s="1227"/>
      <c r="BB78" s="12"/>
      <c r="BC78" s="1227"/>
      <c r="BD78" s="12"/>
    </row>
    <row r="79" spans="1:56" s="485" customFormat="1" ht="14.25" customHeight="1">
      <c r="A79" s="483"/>
      <c r="B79" s="484"/>
      <c r="C79" s="486"/>
      <c r="D79" s="486"/>
      <c r="E79" s="105"/>
      <c r="F79" s="105"/>
      <c r="G79" s="105"/>
      <c r="I79" s="486"/>
      <c r="K79" s="486"/>
      <c r="M79" s="486"/>
      <c r="O79" s="486"/>
      <c r="Q79" s="486"/>
      <c r="S79" s="486"/>
      <c r="U79" s="486"/>
      <c r="W79" s="486"/>
      <c r="X79" s="486"/>
      <c r="Y79" s="486"/>
      <c r="Z79" s="486"/>
      <c r="AA79" s="486"/>
      <c r="AB79" s="486"/>
      <c r="AC79" s="486"/>
      <c r="AD79" s="486"/>
      <c r="AE79" s="486"/>
      <c r="AF79" s="486"/>
      <c r="AH79" s="12"/>
      <c r="AJ79" s="12"/>
      <c r="AL79" s="12"/>
      <c r="AN79" s="12"/>
      <c r="AP79" s="12"/>
      <c r="AR79" s="12"/>
      <c r="AT79" s="12"/>
      <c r="AU79" s="1227"/>
      <c r="AV79" s="12"/>
      <c r="AW79" s="1227"/>
      <c r="AX79" s="12"/>
      <c r="AY79" s="1227"/>
      <c r="AZ79" s="12"/>
      <c r="BA79" s="1227"/>
      <c r="BB79" s="12"/>
      <c r="BC79" s="1227"/>
      <c r="BD79" s="12"/>
    </row>
    <row r="80" spans="1:56" s="485" customFormat="1" ht="14.25" customHeight="1">
      <c r="A80" s="483"/>
      <c r="B80" s="484"/>
      <c r="C80" s="486"/>
      <c r="D80" s="486"/>
      <c r="E80" s="105"/>
      <c r="F80" s="105"/>
      <c r="G80" s="105"/>
      <c r="I80" s="486"/>
      <c r="K80" s="486"/>
      <c r="M80" s="486"/>
      <c r="O80" s="486"/>
      <c r="Q80" s="486"/>
      <c r="S80" s="486"/>
      <c r="U80" s="486"/>
      <c r="W80" s="486"/>
      <c r="X80" s="486"/>
      <c r="Y80" s="486"/>
      <c r="Z80" s="486"/>
      <c r="AA80" s="486"/>
      <c r="AB80" s="486"/>
      <c r="AC80" s="486"/>
      <c r="AD80" s="486"/>
      <c r="AE80" s="486"/>
      <c r="AF80" s="486"/>
      <c r="AH80" s="12"/>
      <c r="AJ80" s="12"/>
      <c r="AL80" s="12"/>
      <c r="AN80" s="12"/>
      <c r="AP80" s="12"/>
      <c r="AR80" s="12"/>
      <c r="AT80" s="12"/>
      <c r="AU80" s="1227"/>
      <c r="AV80" s="12"/>
      <c r="AW80" s="1227"/>
      <c r="AX80" s="12"/>
      <c r="AY80" s="1227"/>
      <c r="AZ80" s="12"/>
      <c r="BA80" s="1227"/>
      <c r="BB80" s="12"/>
      <c r="BC80" s="1227"/>
      <c r="BD80" s="12"/>
    </row>
    <row r="81" spans="1:56" s="485" customFormat="1" ht="14.25" customHeight="1">
      <c r="A81" s="483"/>
      <c r="B81" s="484"/>
      <c r="C81" s="486"/>
      <c r="D81" s="486"/>
      <c r="E81" s="105"/>
      <c r="F81" s="105"/>
      <c r="G81" s="105"/>
      <c r="I81" s="486"/>
      <c r="K81" s="486"/>
      <c r="M81" s="486"/>
      <c r="O81" s="486"/>
      <c r="Q81" s="486"/>
      <c r="S81" s="486"/>
      <c r="U81" s="486"/>
      <c r="W81" s="486"/>
      <c r="X81" s="486"/>
      <c r="Y81" s="486"/>
      <c r="Z81" s="486"/>
      <c r="AA81" s="486"/>
      <c r="AB81" s="486"/>
      <c r="AC81" s="486"/>
      <c r="AD81" s="486"/>
      <c r="AE81" s="486"/>
      <c r="AF81" s="486"/>
      <c r="AH81" s="12"/>
      <c r="AJ81" s="12"/>
      <c r="AL81" s="12"/>
      <c r="AN81" s="12"/>
      <c r="AP81" s="12"/>
      <c r="AR81" s="12"/>
      <c r="AT81" s="12"/>
      <c r="AU81" s="1227"/>
      <c r="AV81" s="12"/>
      <c r="AW81" s="1227"/>
      <c r="AX81" s="12"/>
      <c r="AY81" s="1227"/>
      <c r="AZ81" s="12"/>
      <c r="BA81" s="1227"/>
      <c r="BB81" s="12"/>
      <c r="BC81" s="1227"/>
      <c r="BD81" s="12"/>
    </row>
    <row r="82" spans="1:56" s="485" customFormat="1" ht="14.25" customHeight="1">
      <c r="A82" s="483"/>
      <c r="B82" s="484"/>
      <c r="C82" s="486"/>
      <c r="D82" s="486"/>
      <c r="E82" s="105"/>
      <c r="F82" s="105"/>
      <c r="G82" s="105"/>
      <c r="I82" s="486"/>
      <c r="K82" s="486"/>
      <c r="M82" s="486"/>
      <c r="O82" s="486"/>
      <c r="Q82" s="486"/>
      <c r="S82" s="486"/>
      <c r="U82" s="486"/>
      <c r="W82" s="486"/>
      <c r="X82" s="486"/>
      <c r="Y82" s="486"/>
      <c r="Z82" s="486"/>
      <c r="AA82" s="486"/>
      <c r="AB82" s="486"/>
      <c r="AC82" s="486"/>
      <c r="AD82" s="486"/>
      <c r="AE82" s="486"/>
      <c r="AF82" s="486"/>
      <c r="AH82" s="12"/>
      <c r="AJ82" s="12"/>
      <c r="AL82" s="12"/>
      <c r="AN82" s="12"/>
      <c r="AP82" s="12"/>
      <c r="AR82" s="12"/>
      <c r="AT82" s="12"/>
      <c r="AU82" s="1227"/>
      <c r="AV82" s="12"/>
      <c r="AW82" s="1227"/>
      <c r="AX82" s="12"/>
      <c r="AY82" s="1227"/>
      <c r="AZ82" s="12"/>
      <c r="BA82" s="1227"/>
      <c r="BB82" s="12"/>
      <c r="BC82" s="1227"/>
      <c r="BD82" s="12"/>
    </row>
    <row r="83" spans="1:56" s="485" customFormat="1" ht="14.25" customHeight="1">
      <c r="A83" s="483"/>
      <c r="B83" s="484"/>
      <c r="C83" s="486"/>
      <c r="D83" s="486"/>
      <c r="E83" s="105"/>
      <c r="F83" s="105"/>
      <c r="G83" s="105"/>
      <c r="I83" s="486"/>
      <c r="K83" s="486"/>
      <c r="M83" s="486"/>
      <c r="O83" s="486"/>
      <c r="Q83" s="486"/>
      <c r="S83" s="486"/>
      <c r="U83" s="486"/>
      <c r="W83" s="486"/>
      <c r="X83" s="486"/>
      <c r="Y83" s="486"/>
      <c r="Z83" s="486"/>
      <c r="AA83" s="486"/>
      <c r="AB83" s="486"/>
      <c r="AC83" s="486"/>
      <c r="AD83" s="486"/>
      <c r="AE83" s="486"/>
      <c r="AF83" s="486"/>
      <c r="AH83" s="12"/>
      <c r="AJ83" s="12"/>
      <c r="AL83" s="12"/>
      <c r="AN83" s="12"/>
      <c r="AP83" s="12"/>
      <c r="AR83" s="12"/>
      <c r="AT83" s="12"/>
      <c r="AU83" s="1227"/>
      <c r="AV83" s="12"/>
      <c r="AW83" s="1227"/>
      <c r="AX83" s="12"/>
      <c r="AY83" s="1227"/>
      <c r="AZ83" s="12"/>
      <c r="BA83" s="1227"/>
      <c r="BB83" s="12"/>
      <c r="BC83" s="1227"/>
      <c r="BD83" s="12"/>
    </row>
    <row r="84" spans="1:56" s="485" customFormat="1" ht="14.25" customHeight="1">
      <c r="A84" s="483"/>
      <c r="B84" s="484"/>
      <c r="C84" s="486"/>
      <c r="D84" s="486"/>
      <c r="E84" s="105"/>
      <c r="F84" s="105"/>
      <c r="G84" s="105"/>
      <c r="I84" s="486"/>
      <c r="K84" s="486"/>
      <c r="M84" s="486"/>
      <c r="O84" s="486"/>
      <c r="Q84" s="486"/>
      <c r="S84" s="486"/>
      <c r="U84" s="486"/>
      <c r="W84" s="486"/>
      <c r="X84" s="486"/>
      <c r="Y84" s="486"/>
      <c r="Z84" s="486"/>
      <c r="AA84" s="486"/>
      <c r="AB84" s="486"/>
      <c r="AC84" s="486"/>
      <c r="AD84" s="486"/>
      <c r="AE84" s="486"/>
      <c r="AF84" s="486"/>
      <c r="AH84" s="12"/>
      <c r="AJ84" s="12"/>
      <c r="AL84" s="12"/>
      <c r="AN84" s="12"/>
      <c r="AP84" s="12"/>
      <c r="AR84" s="12"/>
      <c r="AT84" s="12"/>
      <c r="AU84" s="1227"/>
      <c r="AV84" s="12"/>
      <c r="AW84" s="1227"/>
      <c r="AX84" s="12"/>
      <c r="AY84" s="1227"/>
      <c r="AZ84" s="12"/>
      <c r="BA84" s="1227"/>
      <c r="BB84" s="12"/>
      <c r="BC84" s="1227"/>
      <c r="BD84" s="12"/>
    </row>
    <row r="85" spans="1:56" s="485" customFormat="1" ht="14.25" customHeight="1">
      <c r="A85" s="483"/>
      <c r="B85" s="484"/>
      <c r="C85" s="486"/>
      <c r="D85" s="486"/>
      <c r="E85" s="105"/>
      <c r="F85" s="105"/>
      <c r="G85" s="105"/>
      <c r="I85" s="486"/>
      <c r="K85" s="486"/>
      <c r="M85" s="486"/>
      <c r="O85" s="486"/>
      <c r="Q85" s="486"/>
      <c r="S85" s="486"/>
      <c r="U85" s="486"/>
      <c r="W85" s="486"/>
      <c r="X85" s="486"/>
      <c r="Y85" s="486"/>
      <c r="Z85" s="486"/>
      <c r="AA85" s="486"/>
      <c r="AB85" s="486"/>
      <c r="AC85" s="486"/>
      <c r="AD85" s="486"/>
      <c r="AE85" s="486"/>
      <c r="AF85" s="486"/>
      <c r="AH85" s="12"/>
      <c r="AJ85" s="12"/>
      <c r="AL85" s="12"/>
      <c r="AN85" s="12"/>
      <c r="AP85" s="12"/>
      <c r="AR85" s="12"/>
      <c r="AT85" s="12"/>
      <c r="AU85" s="1227"/>
      <c r="AV85" s="12"/>
      <c r="AW85" s="1227"/>
      <c r="AX85" s="12"/>
      <c r="AY85" s="1227"/>
      <c r="AZ85" s="12"/>
      <c r="BA85" s="1227"/>
      <c r="BB85" s="12"/>
      <c r="BC85" s="1227"/>
      <c r="BD85" s="12"/>
    </row>
    <row r="86" spans="1:56" s="485" customFormat="1" ht="14.25" customHeight="1">
      <c r="A86" s="483"/>
      <c r="B86" s="484"/>
      <c r="C86" s="486"/>
      <c r="D86" s="486"/>
      <c r="E86" s="105"/>
      <c r="F86" s="105"/>
      <c r="G86" s="105"/>
      <c r="I86" s="486"/>
      <c r="K86" s="486"/>
      <c r="M86" s="486"/>
      <c r="O86" s="486"/>
      <c r="Q86" s="486"/>
      <c r="S86" s="486"/>
      <c r="U86" s="486"/>
      <c r="W86" s="486"/>
      <c r="X86" s="486"/>
      <c r="Y86" s="486"/>
      <c r="Z86" s="486"/>
      <c r="AA86" s="486"/>
      <c r="AB86" s="486"/>
      <c r="AC86" s="486"/>
      <c r="AD86" s="486"/>
      <c r="AE86" s="486"/>
      <c r="AF86" s="486"/>
      <c r="AH86" s="12"/>
      <c r="AJ86" s="12"/>
      <c r="AL86" s="12"/>
      <c r="AN86" s="12"/>
      <c r="AP86" s="12"/>
      <c r="AR86" s="12"/>
      <c r="AT86" s="12"/>
      <c r="AU86" s="1227"/>
      <c r="AV86" s="12"/>
      <c r="AW86" s="1227"/>
      <c r="AX86" s="12"/>
      <c r="AY86" s="1227"/>
      <c r="AZ86" s="12"/>
      <c r="BA86" s="1227"/>
      <c r="BB86" s="12"/>
      <c r="BC86" s="1227"/>
      <c r="BD86" s="12"/>
    </row>
    <row r="87" spans="1:56" s="485" customFormat="1" ht="14.25" customHeight="1">
      <c r="A87" s="483"/>
      <c r="B87" s="484"/>
      <c r="C87" s="486"/>
      <c r="D87" s="486"/>
      <c r="E87" s="105"/>
      <c r="F87" s="105"/>
      <c r="G87" s="105"/>
      <c r="I87" s="486"/>
      <c r="K87" s="486"/>
      <c r="M87" s="486"/>
      <c r="O87" s="486"/>
      <c r="Q87" s="486"/>
      <c r="S87" s="486"/>
      <c r="U87" s="486"/>
      <c r="W87" s="486"/>
      <c r="X87" s="486"/>
      <c r="Y87" s="486"/>
      <c r="Z87" s="486"/>
      <c r="AA87" s="486"/>
      <c r="AB87" s="486"/>
      <c r="AC87" s="486"/>
      <c r="AD87" s="486"/>
      <c r="AE87" s="486"/>
      <c r="AF87" s="486"/>
      <c r="AH87" s="12"/>
      <c r="AJ87" s="12"/>
      <c r="AL87" s="12"/>
      <c r="AN87" s="12"/>
      <c r="AP87" s="12"/>
      <c r="AR87" s="12"/>
      <c r="AT87" s="12"/>
      <c r="AU87" s="1227"/>
      <c r="AV87" s="12"/>
      <c r="AW87" s="1227"/>
      <c r="AX87" s="12"/>
      <c r="AY87" s="1227"/>
      <c r="AZ87" s="12"/>
      <c r="BA87" s="1227"/>
      <c r="BB87" s="12"/>
      <c r="BC87" s="1227"/>
      <c r="BD87" s="12"/>
    </row>
    <row r="88" spans="1:56" s="485" customFormat="1" ht="14.25" customHeight="1">
      <c r="A88" s="483"/>
      <c r="B88" s="484"/>
      <c r="C88" s="486"/>
      <c r="D88" s="486"/>
      <c r="E88" s="105"/>
      <c r="F88" s="105"/>
      <c r="G88" s="105"/>
      <c r="I88" s="486"/>
      <c r="K88" s="486"/>
      <c r="M88" s="486"/>
      <c r="O88" s="486"/>
      <c r="Q88" s="486"/>
      <c r="S88" s="486"/>
      <c r="U88" s="486"/>
      <c r="W88" s="486"/>
      <c r="X88" s="486"/>
      <c r="Y88" s="486"/>
      <c r="Z88" s="486"/>
      <c r="AA88" s="486"/>
      <c r="AB88" s="486"/>
      <c r="AC88" s="486"/>
      <c r="AD88" s="486"/>
      <c r="AE88" s="486"/>
      <c r="AF88" s="486"/>
      <c r="AH88" s="12"/>
      <c r="AJ88" s="12"/>
      <c r="AL88" s="12"/>
      <c r="AN88" s="12"/>
      <c r="AP88" s="12"/>
      <c r="AR88" s="12"/>
      <c r="AT88" s="12"/>
      <c r="AU88" s="1227"/>
      <c r="AV88" s="12"/>
      <c r="AW88" s="1227"/>
      <c r="AX88" s="12"/>
      <c r="AY88" s="1227"/>
      <c r="AZ88" s="12"/>
      <c r="BA88" s="1227"/>
      <c r="BB88" s="12"/>
      <c r="BC88" s="1227"/>
      <c r="BD88" s="12"/>
    </row>
    <row r="89" spans="1:56" s="485" customFormat="1" ht="14.25" customHeight="1">
      <c r="A89" s="483"/>
      <c r="B89" s="484"/>
      <c r="C89" s="486"/>
      <c r="D89" s="486"/>
      <c r="E89" s="105"/>
      <c r="F89" s="105"/>
      <c r="G89" s="105"/>
      <c r="I89" s="486"/>
      <c r="K89" s="486"/>
      <c r="M89" s="486"/>
      <c r="O89" s="486"/>
      <c r="Q89" s="486"/>
      <c r="S89" s="486"/>
      <c r="U89" s="486"/>
      <c r="W89" s="486"/>
      <c r="X89" s="486"/>
      <c r="Y89" s="486"/>
      <c r="Z89" s="486"/>
      <c r="AA89" s="486"/>
      <c r="AB89" s="486"/>
      <c r="AC89" s="486"/>
      <c r="AD89" s="486"/>
      <c r="AE89" s="486"/>
      <c r="AF89" s="486"/>
      <c r="AH89" s="12"/>
      <c r="AJ89" s="12"/>
      <c r="AL89" s="12"/>
      <c r="AN89" s="12"/>
      <c r="AP89" s="12"/>
      <c r="AR89" s="12"/>
      <c r="AT89" s="12"/>
      <c r="AU89" s="1227"/>
      <c r="AV89" s="12"/>
      <c r="AW89" s="1227"/>
      <c r="AX89" s="12"/>
      <c r="AY89" s="1227"/>
      <c r="AZ89" s="12"/>
      <c r="BA89" s="1227"/>
      <c r="BB89" s="12"/>
      <c r="BC89" s="1227"/>
      <c r="BD89" s="12"/>
    </row>
    <row r="90" spans="1:56" s="485" customFormat="1" ht="14.25" customHeight="1">
      <c r="A90" s="483"/>
      <c r="B90" s="484"/>
      <c r="C90" s="486"/>
      <c r="D90" s="486"/>
      <c r="E90" s="105"/>
      <c r="F90" s="105"/>
      <c r="G90" s="105"/>
      <c r="I90" s="486"/>
      <c r="K90" s="486"/>
      <c r="M90" s="486"/>
      <c r="O90" s="486"/>
      <c r="Q90" s="486"/>
      <c r="S90" s="486"/>
      <c r="U90" s="486"/>
      <c r="W90" s="486"/>
      <c r="X90" s="486"/>
      <c r="Y90" s="486"/>
      <c r="Z90" s="486"/>
      <c r="AA90" s="486"/>
      <c r="AB90" s="486"/>
      <c r="AC90" s="486"/>
      <c r="AD90" s="486"/>
      <c r="AE90" s="486"/>
      <c r="AF90" s="486"/>
      <c r="AH90" s="12"/>
      <c r="AJ90" s="12"/>
      <c r="AL90" s="12"/>
      <c r="AN90" s="12"/>
      <c r="AP90" s="12"/>
      <c r="AR90" s="12"/>
      <c r="AT90" s="12"/>
      <c r="AU90" s="1227"/>
      <c r="AV90" s="12"/>
      <c r="AW90" s="1227"/>
      <c r="AX90" s="12"/>
      <c r="AY90" s="1227"/>
      <c r="AZ90" s="12"/>
      <c r="BA90" s="1227"/>
      <c r="BB90" s="12"/>
      <c r="BC90" s="1227"/>
      <c r="BD90" s="12"/>
    </row>
    <row r="91" spans="1:56" s="485" customFormat="1" ht="14.25" customHeight="1">
      <c r="A91" s="483"/>
      <c r="B91" s="484"/>
      <c r="C91" s="486"/>
      <c r="D91" s="486"/>
      <c r="E91" s="105"/>
      <c r="F91" s="105"/>
      <c r="G91" s="105"/>
      <c r="I91" s="486"/>
      <c r="K91" s="486"/>
      <c r="M91" s="486"/>
      <c r="O91" s="486"/>
      <c r="Q91" s="486"/>
      <c r="S91" s="486"/>
      <c r="U91" s="486"/>
      <c r="W91" s="486"/>
      <c r="X91" s="486"/>
      <c r="Y91" s="486"/>
      <c r="Z91" s="486"/>
      <c r="AA91" s="486"/>
      <c r="AB91" s="486"/>
      <c r="AC91" s="486"/>
      <c r="AD91" s="486"/>
      <c r="AE91" s="486"/>
      <c r="AF91" s="486"/>
      <c r="AH91" s="12"/>
      <c r="AJ91" s="12"/>
      <c r="AL91" s="12"/>
      <c r="AN91" s="12"/>
      <c r="AP91" s="12"/>
      <c r="AR91" s="12"/>
      <c r="AT91" s="12"/>
      <c r="AU91" s="1227"/>
      <c r="AV91" s="12"/>
      <c r="AW91" s="1227"/>
      <c r="AX91" s="12"/>
      <c r="AY91" s="1227"/>
      <c r="AZ91" s="12"/>
      <c r="BA91" s="1227"/>
      <c r="BB91" s="12"/>
      <c r="BC91" s="1227"/>
      <c r="BD91" s="12"/>
    </row>
  </sheetData>
  <conditionalFormatting sqref="AH2:AH48 AH50:AH147">
    <cfRule type="colorScale" priority="1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I49 AG49 AK49 AM49 AO49 AQ49 AS49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J2:AJ48 AJ50:AJ147">
    <cfRule type="colorScale" priority="1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L2:AL48 AL50:AL147">
    <cfRule type="colorScale" priority="1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N2:AN48 AN50:AN147">
    <cfRule type="colorScale" priority="1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P2:AP48 AP50:AP147">
    <cfRule type="colorScale" priority="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R2:AR48 AR50:AR147">
    <cfRule type="colorScale" priority="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T2:AT48 AT50:AT147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U49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V2:AV48 AV50:AV147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W49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X2:AX48 AX50:AX147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2:AZ48 AZ50:AZ147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49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48 BB50:BB147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49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48 BD50:BD147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G2" r:id="rId1" xr:uid="{0E8ED799-4185-4CA3-935C-100B2A92B6F8}"/>
    <hyperlink ref="K6" r:id="rId2" xr:uid="{4455C42D-CE9B-4833-AA83-A7FB0DE00B37}"/>
    <hyperlink ref="G27" r:id="rId3" xr:uid="{FD8C0639-238A-41C0-A3E8-B188FCCAB063}"/>
    <hyperlink ref="I27" r:id="rId4" xr:uid="{24644BF6-211F-4D72-9BBB-3D7F61DFE315}"/>
    <hyperlink ref="G3" r:id="rId5" xr:uid="{32148278-798A-4018-B1B4-D6E4AA558240}"/>
    <hyperlink ref="I3" r:id="rId6" xr:uid="{6B97A1CC-4D2D-4B2B-A112-FC3CEED15144}"/>
    <hyperlink ref="G15" r:id="rId7" xr:uid="{CEF442D3-F0E8-4FB8-AF1E-9B4980294A9D}"/>
    <hyperlink ref="I15" r:id="rId8" xr:uid="{5DC8C15E-D2B9-44E6-9AC5-3B8C1A97D778}"/>
  </hyperlinks>
  <pageMargins left="0.7" right="0.7" top="0.75" bottom="0.75" header="0.3" footer="0.3"/>
  <pageSetup paperSize="9" orientation="portrait" useFirstPageNumber="1" horizontalDpi="4294967295" verticalDpi="4294967295" r:id="rId9"/>
  <legacy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CT16"/>
  <sheetViews>
    <sheetView zoomScale="115" zoomScaleNormal="115" workbookViewId="0">
      <pane xSplit="2" ySplit="1" topLeftCell="F2" activePane="bottomRight" state="frozen"/>
      <selection activeCell="H1" sqref="H1"/>
      <selection pane="topRight" activeCell="H1" sqref="H1"/>
      <selection pane="bottomLeft" activeCell="H1" sqref="H1"/>
      <selection pane="bottomRight" activeCell="B4" sqref="B4"/>
    </sheetView>
  </sheetViews>
  <sheetFormatPr defaultColWidth="9.140625" defaultRowHeight="14.25" customHeight="1"/>
  <cols>
    <col min="1" max="1" width="12.42578125" style="1" customWidth="1"/>
    <col min="2" max="2" width="26.42578125" style="2" customWidth="1"/>
    <col min="3" max="3" width="119.5703125" style="2" customWidth="1"/>
    <col min="4" max="4" width="7.7109375" style="2" customWidth="1"/>
    <col min="5" max="5" width="102.85546875" style="3" customWidth="1"/>
    <col min="6" max="6" width="13.42578125" style="2" customWidth="1"/>
    <col min="7" max="7" width="15.85546875" style="2" customWidth="1"/>
    <col min="8" max="8" width="9.5703125" style="2" customWidth="1"/>
    <col min="9" max="9" width="12.140625" style="2" customWidth="1"/>
    <col min="10" max="10" width="16" style="2" customWidth="1"/>
    <col min="11" max="11" width="28.140625" style="2" customWidth="1"/>
    <col min="12" max="12" width="13.28515625" style="2" customWidth="1"/>
    <col min="13" max="13" width="19.85546875" style="2" customWidth="1"/>
    <col min="14" max="14" width="15" style="2" customWidth="1"/>
    <col min="15" max="15" width="7.140625" style="2" customWidth="1"/>
    <col min="16" max="16" width="19.7109375" style="2" customWidth="1"/>
    <col min="17" max="17" width="36.7109375" style="2" customWidth="1"/>
    <col min="18" max="18" width="11" style="2" customWidth="1"/>
    <col min="19" max="19" width="12.42578125" style="2" customWidth="1"/>
    <col min="20" max="20" width="22.5703125" style="2" customWidth="1"/>
    <col min="21" max="21" width="9.140625" style="2" customWidth="1"/>
    <col min="22" max="22" width="25" style="2" customWidth="1"/>
    <col min="23" max="23" width="2" style="2" customWidth="1"/>
    <col min="24" max="24" width="17.28515625" style="2" customWidth="1"/>
    <col min="25" max="25" width="9.85546875" style="2" customWidth="1"/>
    <col min="26" max="26" width="16.5703125" style="2" customWidth="1"/>
    <col min="27" max="27" width="6.42578125" style="2" bestFit="1" customWidth="1"/>
    <col min="28" max="28" width="30" style="2" customWidth="1"/>
    <col min="29" max="29" width="2" style="2" customWidth="1"/>
    <col min="30" max="30" width="2.5703125" style="2" customWidth="1"/>
    <col min="31" max="33" width="9.140625" style="2" customWidth="1"/>
    <col min="34" max="34" width="9.5703125" style="2" customWidth="1"/>
    <col min="35" max="36" width="10" style="2" customWidth="1"/>
    <col min="37" max="37" width="9.85546875" style="12" customWidth="1"/>
    <col min="38" max="38" width="10" style="2" customWidth="1"/>
    <col min="39" max="39" width="9.85546875" style="12" customWidth="1"/>
    <col min="40" max="40" width="10" style="2" customWidth="1"/>
    <col min="41" max="41" width="9.85546875" style="12" customWidth="1"/>
    <col min="42" max="42" width="10" style="2" customWidth="1"/>
    <col min="43" max="43" width="9.85546875" style="12" customWidth="1"/>
    <col min="44" max="44" width="10.140625" style="2" customWidth="1"/>
    <col min="45" max="45" width="9.85546875" style="12" customWidth="1"/>
    <col min="46" max="46" width="10.140625" style="2" customWidth="1"/>
    <col min="47" max="47" width="9.85546875" style="12" customWidth="1"/>
    <col min="48" max="48" width="30" style="2" customWidth="1"/>
    <col min="49" max="49" width="9.85546875" style="12" customWidth="1"/>
    <col min="50" max="50" width="30" style="2" customWidth="1"/>
    <col min="51" max="51" width="9.85546875" style="12" customWidth="1"/>
    <col min="52" max="52" width="30" style="2" customWidth="1"/>
    <col min="53" max="53" width="9.85546875" style="12" customWidth="1"/>
    <col min="54" max="54" width="9.140625" style="2" customWidth="1"/>
    <col min="55" max="55" width="20" style="2" customWidth="1"/>
    <col min="56" max="56" width="9.85546875" style="12" customWidth="1"/>
    <col min="57" max="57" width="20" style="2" customWidth="1"/>
    <col min="58" max="58" width="9.85546875" style="1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95" width="20" style="2" customWidth="1"/>
    <col min="96" max="96" width="50" style="2" customWidth="1"/>
    <col min="97" max="97" width="20" style="2" customWidth="1"/>
    <col min="98" max="98" width="50" style="2" customWidth="1"/>
    <col min="99" max="16384" width="9.140625" style="2"/>
  </cols>
  <sheetData>
    <row r="1" spans="1:98" s="4" customFormat="1" ht="27" customHeight="1">
      <c r="A1" s="39" t="s">
        <v>0</v>
      </c>
      <c r="B1" s="39" t="s">
        <v>1</v>
      </c>
      <c r="C1" s="39" t="s">
        <v>2</v>
      </c>
      <c r="D1" s="39" t="s">
        <v>3</v>
      </c>
      <c r="E1" s="40"/>
      <c r="F1" s="4" t="s">
        <v>4</v>
      </c>
      <c r="G1" s="2558">
        <f>20*1000*SpeedFaktor</f>
        <v>20000</v>
      </c>
      <c r="H1" s="4">
        <v>100</v>
      </c>
      <c r="AH1" s="4" t="s">
        <v>5</v>
      </c>
      <c r="AI1" s="4" t="s">
        <v>488</v>
      </c>
      <c r="AJ1" s="4" t="s">
        <v>489</v>
      </c>
      <c r="AK1" s="43" t="s">
        <v>8</v>
      </c>
      <c r="AL1" s="4" t="s">
        <v>585</v>
      </c>
      <c r="AM1" s="43" t="s">
        <v>8</v>
      </c>
      <c r="AN1" s="4" t="s">
        <v>324</v>
      </c>
      <c r="AO1" s="43" t="s">
        <v>8</v>
      </c>
      <c r="AP1" s="4" t="s">
        <v>10</v>
      </c>
      <c r="AQ1" s="43" t="s">
        <v>8</v>
      </c>
      <c r="AR1" s="4" t="s">
        <v>12</v>
      </c>
      <c r="AS1" s="43" t="s">
        <v>8</v>
      </c>
      <c r="AT1" s="4" t="s">
        <v>13</v>
      </c>
      <c r="AU1" s="43" t="s">
        <v>8</v>
      </c>
      <c r="AV1" s="4" t="s">
        <v>17</v>
      </c>
      <c r="AW1" s="43" t="s">
        <v>8</v>
      </c>
      <c r="AX1" s="4" t="s">
        <v>1285</v>
      </c>
      <c r="AY1" s="43" t="s">
        <v>8</v>
      </c>
      <c r="AZ1" s="4" t="s">
        <v>1286</v>
      </c>
      <c r="BA1" s="43" t="s">
        <v>8</v>
      </c>
      <c r="BC1" s="1413" t="s">
        <v>1303</v>
      </c>
      <c r="BD1" s="43" t="s">
        <v>8</v>
      </c>
      <c r="BE1" s="1414" t="s">
        <v>1309</v>
      </c>
      <c r="BF1" s="43" t="s">
        <v>8</v>
      </c>
      <c r="BG1" s="1415" t="s">
        <v>1311</v>
      </c>
      <c r="BH1" s="1416" t="s">
        <v>572</v>
      </c>
      <c r="BI1" s="1417" t="s">
        <v>1318</v>
      </c>
      <c r="BJ1" s="1418" t="s">
        <v>572</v>
      </c>
      <c r="BK1" s="1419" t="s">
        <v>1322</v>
      </c>
      <c r="BL1" s="1420" t="s">
        <v>572</v>
      </c>
      <c r="BM1" s="1421" t="s">
        <v>1324</v>
      </c>
      <c r="BN1" s="1422" t="s">
        <v>572</v>
      </c>
      <c r="BO1" s="1423" t="s">
        <v>1341</v>
      </c>
      <c r="BP1" s="1424" t="s">
        <v>572</v>
      </c>
      <c r="BQ1" s="1518" t="s">
        <v>1363</v>
      </c>
      <c r="BR1" s="1519" t="s">
        <v>572</v>
      </c>
      <c r="BS1" s="1664" t="s">
        <v>1368</v>
      </c>
      <c r="BT1" s="1665" t="s">
        <v>572</v>
      </c>
      <c r="BU1" s="1805" t="s">
        <v>1371</v>
      </c>
      <c r="BV1" s="1806" t="s">
        <v>572</v>
      </c>
      <c r="BW1" s="1965" t="s">
        <v>1375</v>
      </c>
      <c r="BX1" s="1966" t="s">
        <v>572</v>
      </c>
      <c r="BY1" s="2067" t="s">
        <v>1397</v>
      </c>
      <c r="BZ1" s="2068" t="s">
        <v>572</v>
      </c>
      <c r="CA1" s="2257" t="s">
        <v>1421</v>
      </c>
      <c r="CB1" s="2258" t="s">
        <v>572</v>
      </c>
      <c r="CC1" s="2422" t="s">
        <v>1430</v>
      </c>
      <c r="CD1" s="2423" t="s">
        <v>572</v>
      </c>
      <c r="CE1" s="2583" t="s">
        <v>1442</v>
      </c>
      <c r="CF1" s="2584" t="s">
        <v>572</v>
      </c>
      <c r="CG1" s="2772" t="s">
        <v>1460</v>
      </c>
      <c r="CH1" s="2773" t="s">
        <v>572</v>
      </c>
      <c r="CI1" s="2950" t="s">
        <v>1472</v>
      </c>
      <c r="CJ1" s="2951" t="s">
        <v>572</v>
      </c>
      <c r="CK1" s="3140" t="s">
        <v>1492</v>
      </c>
      <c r="CL1" s="3141" t="s">
        <v>572</v>
      </c>
      <c r="CM1" s="3318" t="s">
        <v>1503</v>
      </c>
      <c r="CN1" s="3319" t="s">
        <v>572</v>
      </c>
      <c r="CO1" s="3496" t="s">
        <v>1519</v>
      </c>
      <c r="CP1" s="3497" t="s">
        <v>572</v>
      </c>
      <c r="CQ1" s="3782" t="s">
        <v>1666</v>
      </c>
      <c r="CR1" s="3783" t="s">
        <v>572</v>
      </c>
      <c r="CS1" s="4007" t="s">
        <v>1717</v>
      </c>
      <c r="CT1" s="4008" t="s">
        <v>572</v>
      </c>
    </row>
    <row r="2" spans="1:98" s="10" customFormat="1" ht="14.25" customHeight="1">
      <c r="A2" s="119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163">
        <v>3990</v>
      </c>
      <c r="Z2" s="2"/>
      <c r="AA2" s="2"/>
      <c r="AB2" s="2"/>
      <c r="AC2" s="2"/>
      <c r="AD2" s="2"/>
      <c r="AE2" s="2"/>
      <c r="AF2" s="2"/>
      <c r="AG2" s="2"/>
      <c r="AH2" s="2"/>
      <c r="AI2" s="2">
        <v>2923</v>
      </c>
      <c r="AJ2" s="2">
        <v>2836</v>
      </c>
      <c r="AK2" s="156">
        <f>AJ2/($AI2)</f>
        <v>0.97023605884365383</v>
      </c>
      <c r="AL2" s="2">
        <v>1200</v>
      </c>
      <c r="AM2" s="156">
        <f>AL2/($AI2)</f>
        <v>0.4105371193978789</v>
      </c>
      <c r="AN2" s="2">
        <v>1405</v>
      </c>
      <c r="AO2" s="156">
        <f>AN2/($AI2)</f>
        <v>0.48067054396168318</v>
      </c>
      <c r="AP2" s="2">
        <v>2184</v>
      </c>
      <c r="AQ2" s="156">
        <f>AP2/($AI2)</f>
        <v>0.74717755730413959</v>
      </c>
      <c r="AR2" s="2">
        <v>1511</v>
      </c>
      <c r="AS2" s="156">
        <f>AR2/($AI2)</f>
        <v>0.51693465617516254</v>
      </c>
      <c r="AT2" s="2">
        <v>1444</v>
      </c>
      <c r="AU2" s="156">
        <f>AT2/($AI2)</f>
        <v>0.49401300034211426</v>
      </c>
      <c r="AV2" s="2">
        <v>1393</v>
      </c>
      <c r="AW2" s="156">
        <f>AV2/($AI2)</f>
        <v>0.47656517276770444</v>
      </c>
      <c r="AX2" s="2">
        <v>1356</v>
      </c>
      <c r="AY2" s="156">
        <f>AX2/($AI2)</f>
        <v>0.46390694491960316</v>
      </c>
      <c r="AZ2" s="2">
        <v>549</v>
      </c>
      <c r="BA2" s="156">
        <f>AZ2/($AI2)</f>
        <v>0.1878207321245296</v>
      </c>
      <c r="BC2" s="10">
        <v>1190</v>
      </c>
      <c r="BD2" s="156">
        <f>BC2/($AI2)</f>
        <v>0.4071159767362299</v>
      </c>
      <c r="BE2" s="586">
        <v>0</v>
      </c>
      <c r="BF2" s="156">
        <f>BE2/($AI2)</f>
        <v>0</v>
      </c>
      <c r="BG2" s="10">
        <v>1302</v>
      </c>
      <c r="BI2" s="10">
        <v>1209</v>
      </c>
      <c r="BK2" s="10">
        <v>1331</v>
      </c>
      <c r="BM2" s="10">
        <v>1241</v>
      </c>
      <c r="BO2" s="10">
        <v>1178</v>
      </c>
      <c r="BQ2" s="10">
        <v>1154</v>
      </c>
      <c r="BS2" s="10">
        <v>1080</v>
      </c>
      <c r="BU2" s="10">
        <v>1135</v>
      </c>
      <c r="BW2" s="10">
        <v>1786</v>
      </c>
      <c r="BY2" s="10">
        <v>847</v>
      </c>
      <c r="CA2" s="10">
        <v>740</v>
      </c>
      <c r="CC2" s="10">
        <v>1675</v>
      </c>
      <c r="CE2" s="10">
        <v>1275</v>
      </c>
      <c r="CG2" s="10">
        <v>1294</v>
      </c>
      <c r="CI2" s="10">
        <v>1594</v>
      </c>
      <c r="CK2" s="10">
        <v>1148</v>
      </c>
      <c r="CM2" s="10">
        <v>1171</v>
      </c>
      <c r="CO2" s="10">
        <v>1116</v>
      </c>
      <c r="CQ2" s="10">
        <v>920</v>
      </c>
      <c r="CS2" s="10">
        <v>1634</v>
      </c>
      <c r="CT2" s="10" t="s">
        <v>1718</v>
      </c>
    </row>
    <row r="3" spans="1:98" s="10" customFormat="1" ht="15" customHeight="1" thickBot="1">
      <c r="A3" s="119">
        <v>2</v>
      </c>
      <c r="B3" s="122" t="s">
        <v>25</v>
      </c>
      <c r="C3" s="121" t="s">
        <v>586</v>
      </c>
      <c r="D3" s="2"/>
      <c r="E3" s="209"/>
      <c r="F3" s="25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8649</v>
      </c>
      <c r="AJ3" s="2">
        <v>8551</v>
      </c>
      <c r="AK3" s="156">
        <f t="shared" ref="AK3:AM3" si="0">AJ3/($AI3)</f>
        <v>0.98866921031333099</v>
      </c>
      <c r="AL3" s="2">
        <v>9975</v>
      </c>
      <c r="AM3" s="156">
        <f t="shared" si="0"/>
        <v>1.1533125216788067</v>
      </c>
      <c r="AN3" s="2">
        <v>8967</v>
      </c>
      <c r="AO3" s="156">
        <f t="shared" ref="AO3:AQ5" si="1">AN3/($AI3)</f>
        <v>1.0367672563302115</v>
      </c>
      <c r="AP3" s="2">
        <v>10070</v>
      </c>
      <c r="AQ3" s="156">
        <f t="shared" si="1"/>
        <v>1.1642964504567002</v>
      </c>
      <c r="AR3" s="2">
        <v>8631</v>
      </c>
      <c r="AS3" s="156">
        <f t="shared" ref="AS3:BA5" si="2">AR3/($AI3)</f>
        <v>0.99791883454734653</v>
      </c>
      <c r="AT3" s="2">
        <v>9995</v>
      </c>
      <c r="AU3" s="156">
        <f t="shared" si="2"/>
        <v>1.1556249277373107</v>
      </c>
      <c r="AV3" s="2">
        <v>7567</v>
      </c>
      <c r="AW3" s="156">
        <f t="shared" si="2"/>
        <v>0.87489883223494047</v>
      </c>
      <c r="AX3" s="2">
        <v>7657</v>
      </c>
      <c r="AY3" s="156">
        <f t="shared" si="2"/>
        <v>0.88530465949820791</v>
      </c>
      <c r="AZ3" s="2">
        <v>5168</v>
      </c>
      <c r="BA3" s="156">
        <f t="shared" si="2"/>
        <v>0.59752572551740091</v>
      </c>
      <c r="BC3" s="10">
        <v>7688</v>
      </c>
      <c r="BD3" s="156">
        <f t="shared" ref="BD3:BD5" si="3">BC3/($AI3)</f>
        <v>0.88888888888888884</v>
      </c>
      <c r="BE3" s="10">
        <v>899</v>
      </c>
      <c r="BF3" s="156">
        <f t="shared" ref="BF3:BF5" si="4">BE3/($AI3)</f>
        <v>0.1039426523297491</v>
      </c>
      <c r="BG3" s="10">
        <v>7883</v>
      </c>
      <c r="BI3" s="10">
        <v>7713</v>
      </c>
      <c r="BK3" s="10">
        <v>7280</v>
      </c>
      <c r="BM3" s="10">
        <v>7966</v>
      </c>
      <c r="BO3" s="10">
        <v>6663</v>
      </c>
      <c r="BQ3" s="10">
        <v>7215</v>
      </c>
      <c r="BS3" s="10">
        <v>6846</v>
      </c>
      <c r="BU3" s="10">
        <v>7615</v>
      </c>
      <c r="BW3" s="10">
        <v>8351</v>
      </c>
      <c r="BY3" s="10">
        <v>6872</v>
      </c>
      <c r="CA3" s="10">
        <v>6576</v>
      </c>
      <c r="CC3" s="10">
        <v>5865</v>
      </c>
      <c r="CE3" s="10">
        <v>7160</v>
      </c>
      <c r="CG3" s="10">
        <v>9964</v>
      </c>
      <c r="CI3" s="10">
        <v>8167</v>
      </c>
      <c r="CK3" s="10">
        <v>7330</v>
      </c>
      <c r="CM3" s="10">
        <v>9157</v>
      </c>
      <c r="CO3" s="10">
        <v>8639</v>
      </c>
      <c r="CQ3" s="10">
        <v>8079</v>
      </c>
      <c r="CS3" s="10">
        <v>6788</v>
      </c>
      <c r="CT3" s="10" t="s">
        <v>1718</v>
      </c>
    </row>
    <row r="4" spans="1:98" s="10" customFormat="1" ht="45" customHeight="1" thickBot="1">
      <c r="A4" s="1">
        <v>4</v>
      </c>
      <c r="B4" s="240" t="s">
        <v>587</v>
      </c>
      <c r="C4" s="187" t="str">
        <f ca="1">E4</f>
        <v>{"leistungSuchen":`SAR10_${p.AHVNumber5}_4-No17`,"suche":"GBL","zeitRaumBis":p.endOfMonthDate,"zeitRaum":"Verwendungsperiode","insOrKlient":"Person","zahlEmpfaenger":"","option":"Keine Details","nurRueckerstBuchX":"","korrBuchInklOriginalX":"x","totalAusgaben":997,"totalEinahmen":0,"kontoauszugHerunterladenX":"x"}</v>
      </c>
      <c r="D4" s="187" t="s">
        <v>263</v>
      </c>
      <c r="E4" s="187" t="str">
        <f ca="1">F4&amp;G4&amp;H4&amp;I4&amp;J4&amp;K4&amp;L4&amp;M4&amp;N4&amp;O4&amp;P4&amp;Q4&amp;R4&amp;S4&amp;T4&amp;U4&amp;V4&amp;W4&amp;X4&amp;Y4&amp;Z4&amp;AA4&amp;AB4&amp;AC4&amp;AD4&amp;AE4</f>
        <v>{"leistungSuchen":`SAR10_${p.AHVNumber5}_4-No17`,"suche":"GBL","zeitRaumBis":p.endOfMonthDate,"zeitRaum":"Verwendungsperiode","insOrKlient":"Person","zahlEmpfaenger":"","option":"Keine Details","nurRueckerstBuchX":"","korrBuchInklOriginalX":"x","totalAusgaben":997,"totalEinahmen":0,"kontoauszugHerunterladenX":"x"}</v>
      </c>
      <c r="F4" s="255" t="s">
        <v>1457</v>
      </c>
      <c r="G4" s="187" t="str">
        <f ca="1">AW01a!G13</f>
        <v>SAR10_${p.AHVNumber5}_4-No17</v>
      </c>
      <c r="H4" s="187" t="s">
        <v>1458</v>
      </c>
      <c r="I4" s="187" t="s">
        <v>588</v>
      </c>
      <c r="J4" s="187" t="s">
        <v>1763</v>
      </c>
      <c r="K4" s="4220" t="s">
        <v>1748</v>
      </c>
      <c r="L4" s="187" t="s">
        <v>1762</v>
      </c>
      <c r="M4" s="4221" t="s">
        <v>591</v>
      </c>
      <c r="N4" s="187" t="s">
        <v>592</v>
      </c>
      <c r="O4" s="187" t="s">
        <v>593</v>
      </c>
      <c r="P4" s="187" t="s">
        <v>594</v>
      </c>
      <c r="Q4" s="24"/>
      <c r="R4" s="187" t="s">
        <v>595</v>
      </c>
      <c r="S4" s="187" t="s">
        <v>596</v>
      </c>
      <c r="T4" s="187" t="s">
        <v>597</v>
      </c>
      <c r="U4" s="24"/>
      <c r="V4" s="187" t="s">
        <v>598</v>
      </c>
      <c r="W4" s="187" t="s">
        <v>170</v>
      </c>
      <c r="X4" s="187" t="s">
        <v>599</v>
      </c>
      <c r="Y4" s="163">
        <v>997</v>
      </c>
      <c r="Z4" s="187" t="s">
        <v>600</v>
      </c>
      <c r="AA4" s="163">
        <v>0</v>
      </c>
      <c r="AB4" s="187" t="s">
        <v>601</v>
      </c>
      <c r="AC4" s="187" t="s">
        <v>170</v>
      </c>
      <c r="AD4" s="187" t="s">
        <v>37</v>
      </c>
      <c r="AE4" s="24"/>
      <c r="AF4" s="24"/>
      <c r="AG4" s="24"/>
      <c r="AH4" s="24"/>
      <c r="AI4" s="2">
        <v>5403</v>
      </c>
      <c r="AJ4" s="24">
        <v>0</v>
      </c>
      <c r="AK4" s="156">
        <f t="shared" ref="AK4:AM4" si="5">AJ4/($AI4)</f>
        <v>0</v>
      </c>
      <c r="AL4" s="24">
        <v>0</v>
      </c>
      <c r="AM4" s="156">
        <f t="shared" si="5"/>
        <v>0</v>
      </c>
      <c r="AN4" s="24">
        <v>0</v>
      </c>
      <c r="AO4" s="156">
        <f t="shared" si="1"/>
        <v>0</v>
      </c>
      <c r="AP4" s="24">
        <v>0</v>
      </c>
      <c r="AQ4" s="156">
        <f t="shared" si="1"/>
        <v>0</v>
      </c>
      <c r="AR4" s="24">
        <v>0</v>
      </c>
      <c r="AS4" s="156">
        <f t="shared" si="2"/>
        <v>0</v>
      </c>
      <c r="AT4" s="24">
        <v>0</v>
      </c>
      <c r="AU4" s="156">
        <f t="shared" si="2"/>
        <v>0</v>
      </c>
      <c r="AV4" s="2">
        <v>5403</v>
      </c>
      <c r="AW4" s="156">
        <f t="shared" si="2"/>
        <v>1</v>
      </c>
      <c r="AX4" s="2">
        <v>5452</v>
      </c>
      <c r="AY4" s="156">
        <f t="shared" si="2"/>
        <v>1.0090690357208958</v>
      </c>
      <c r="AZ4" s="2">
        <v>0</v>
      </c>
      <c r="BA4" s="156">
        <f t="shared" si="2"/>
        <v>0</v>
      </c>
      <c r="BC4" s="508">
        <v>0</v>
      </c>
      <c r="BD4" s="156">
        <f t="shared" si="3"/>
        <v>0</v>
      </c>
      <c r="BF4" s="156">
        <f t="shared" si="4"/>
        <v>0</v>
      </c>
      <c r="BG4" s="10">
        <v>6594</v>
      </c>
      <c r="BI4" s="10">
        <v>6477</v>
      </c>
      <c r="BK4" s="10">
        <v>6511</v>
      </c>
      <c r="BM4" s="10">
        <v>6578</v>
      </c>
      <c r="BO4" s="10">
        <v>7160</v>
      </c>
      <c r="BQ4" s="10">
        <v>6544</v>
      </c>
      <c r="BS4" s="10">
        <v>6309</v>
      </c>
      <c r="BU4" s="10">
        <v>6284</v>
      </c>
      <c r="BW4" s="1967">
        <v>0</v>
      </c>
      <c r="BX4" s="1968" t="s">
        <v>1384</v>
      </c>
      <c r="BY4" s="2069">
        <v>0</v>
      </c>
      <c r="BZ4" s="2070" t="s">
        <v>1401</v>
      </c>
      <c r="CA4" s="2259">
        <v>0</v>
      </c>
      <c r="CB4" s="2260" t="s">
        <v>1444</v>
      </c>
      <c r="CC4" s="10">
        <v>6635</v>
      </c>
      <c r="CE4" s="2585">
        <v>0</v>
      </c>
      <c r="CF4" s="2586" t="s">
        <v>1444</v>
      </c>
      <c r="CG4" s="2774">
        <v>0</v>
      </c>
      <c r="CH4" s="2775" t="s">
        <v>1463</v>
      </c>
      <c r="CI4" s="2952">
        <v>0</v>
      </c>
      <c r="CJ4" s="2953" t="s">
        <v>1479</v>
      </c>
      <c r="CK4" s="3142">
        <v>0</v>
      </c>
      <c r="CL4" s="3143" t="s">
        <v>1495</v>
      </c>
      <c r="CM4" s="3320">
        <v>0</v>
      </c>
      <c r="CN4" s="3321" t="s">
        <v>1506</v>
      </c>
      <c r="CO4" s="3498">
        <v>0</v>
      </c>
      <c r="CP4" s="3499" t="s">
        <v>1529</v>
      </c>
      <c r="CQ4" s="3784">
        <v>0</v>
      </c>
      <c r="CR4" s="3785" t="s">
        <v>1674</v>
      </c>
      <c r="CS4" s="4009">
        <v>0</v>
      </c>
      <c r="CT4" s="4010" t="s">
        <v>1726</v>
      </c>
    </row>
    <row r="5" spans="1:98" ht="28.5" customHeight="1">
      <c r="Q5" s="24" t="s">
        <v>492</v>
      </c>
      <c r="Y5" s="163" t="s">
        <v>1572</v>
      </c>
      <c r="AK5" s="156" t="e">
        <f t="shared" ref="AK5:AM5" si="6">AJ5/($AI5)</f>
        <v>#DIV/0!</v>
      </c>
      <c r="AM5" s="156" t="e">
        <f t="shared" si="6"/>
        <v>#DIV/0!</v>
      </c>
      <c r="AO5" s="156" t="e">
        <f t="shared" si="1"/>
        <v>#DIV/0!</v>
      </c>
      <c r="AQ5" s="156" t="e">
        <f t="shared" si="1"/>
        <v>#DIV/0!</v>
      </c>
      <c r="AS5" s="156" t="e">
        <f t="shared" si="2"/>
        <v>#DIV/0!</v>
      </c>
      <c r="AU5" s="156" t="e">
        <f t="shared" si="2"/>
        <v>#DIV/0!</v>
      </c>
      <c r="AW5" s="156" t="e">
        <f t="shared" si="2"/>
        <v>#DIV/0!</v>
      </c>
      <c r="AY5" s="156" t="e">
        <f t="shared" si="2"/>
        <v>#DIV/0!</v>
      </c>
      <c r="BA5" s="156" t="e">
        <f t="shared" si="2"/>
        <v>#DIV/0!</v>
      </c>
      <c r="BD5" s="156" t="e">
        <f t="shared" si="3"/>
        <v>#DIV/0!</v>
      </c>
      <c r="BF5" s="156" t="e">
        <f t="shared" si="4"/>
        <v>#DIV/0!</v>
      </c>
      <c r="BK5" s="2">
        <f>SUM(BK2:BK4)</f>
        <v>15122</v>
      </c>
    </row>
    <row r="6" spans="1:98" ht="15">
      <c r="E6" s="163" t="s">
        <v>1459</v>
      </c>
      <c r="K6" s="232" t="str">
        <f ca="1">"- 31.12."&amp;YEAR(TODAY())</f>
        <v>- 31.12.2025</v>
      </c>
      <c r="AI6" s="2">
        <v>355</v>
      </c>
      <c r="AJ6" s="2">
        <v>390</v>
      </c>
      <c r="AK6" s="156"/>
      <c r="AM6" s="156"/>
      <c r="AO6" s="156"/>
      <c r="AQ6" s="156"/>
      <c r="AS6" s="156"/>
      <c r="AU6" s="156"/>
      <c r="AW6" s="156"/>
      <c r="AY6" s="156"/>
      <c r="BA6" s="156"/>
      <c r="BD6" s="156"/>
      <c r="BF6" s="156"/>
    </row>
    <row r="7" spans="1:98" ht="15">
      <c r="C7" s="256"/>
      <c r="E7" s="163" t="s">
        <v>1516</v>
      </c>
      <c r="AK7" s="2"/>
      <c r="AM7" s="2"/>
      <c r="AO7" s="2"/>
      <c r="AQ7" s="2"/>
      <c r="AS7" s="2"/>
      <c r="AU7" s="2"/>
      <c r="AW7" s="2"/>
      <c r="AY7" s="2"/>
      <c r="BA7" s="2"/>
      <c r="BD7" s="2"/>
      <c r="BF7" s="2"/>
    </row>
    <row r="8" spans="1:98" ht="15">
      <c r="E8" s="163" t="s">
        <v>1517</v>
      </c>
      <c r="AK8" s="2"/>
      <c r="AM8" s="2"/>
      <c r="AO8" s="2"/>
      <c r="AQ8" s="2"/>
      <c r="AS8" s="2"/>
      <c r="AU8" s="2"/>
      <c r="AW8" s="2"/>
      <c r="AY8" s="2"/>
      <c r="BA8" s="2"/>
      <c r="BD8" s="2"/>
      <c r="BF8" s="2"/>
    </row>
    <row r="9" spans="1:98" ht="15">
      <c r="B9" s="2" t="s">
        <v>602</v>
      </c>
      <c r="C9" s="257"/>
      <c r="E9" s="4203" t="s">
        <v>1754</v>
      </c>
      <c r="AK9" s="2"/>
      <c r="AM9" s="2"/>
      <c r="AO9" s="2"/>
      <c r="AQ9" s="2"/>
      <c r="AS9" s="2"/>
      <c r="AU9" s="2"/>
      <c r="AW9" s="2"/>
      <c r="AY9" s="2"/>
      <c r="BA9" s="2"/>
      <c r="BD9" s="2"/>
      <c r="BF9" s="2"/>
    </row>
    <row r="10" spans="1:98"/>
    <row r="11" spans="1:98"/>
    <row r="12" spans="1:98" ht="14.25" customHeight="1">
      <c r="H12" s="258" t="s">
        <v>1727</v>
      </c>
    </row>
    <row r="16" spans="1:98" ht="14.25" customHeight="1">
      <c r="K16" s="347"/>
      <c r="L16" s="2" t="s">
        <v>1764</v>
      </c>
    </row>
  </sheetData>
  <conditionalFormatting sqref="AK2:AK146 AM2:AM146 AO2:AO146 AQ2:AQ146 AS2:AS146 AU2:AU146 AW2:AW146 AY2:AY146 BA2:BA146 BD2:BD146 BF2:BF146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C9E1-5F1E-41FB-9D20-FE4114A53460}">
  <sheetPr>
    <tabColor rgb="FF92D050"/>
  </sheetPr>
  <dimension ref="A1:CJ91"/>
  <sheetViews>
    <sheetView zoomScale="70" zoomScaleNormal="70" workbookViewId="0"/>
  </sheetViews>
  <sheetFormatPr defaultColWidth="9.140625" defaultRowHeight="14.25" customHeight="1"/>
  <cols>
    <col min="1" max="1" width="6.5703125" style="483" customWidth="1"/>
    <col min="2" max="2" width="53.140625" style="484" customWidth="1"/>
    <col min="3" max="3" width="184.85546875" style="486" customWidth="1"/>
    <col min="4" max="4" width="14.85546875" style="486" customWidth="1"/>
    <col min="5" max="5" width="9.7109375" style="486" customWidth="1"/>
    <col min="6" max="6" width="10" style="485" customWidth="1"/>
    <col min="7" max="7" width="31.5703125" style="486" customWidth="1"/>
    <col min="8" max="8" width="32.140625" style="485" customWidth="1"/>
    <col min="9" max="9" width="39.28515625" style="486" customWidth="1"/>
    <col min="10" max="10" width="28.140625" style="485" customWidth="1"/>
    <col min="11" max="11" width="18.7109375" style="486" customWidth="1"/>
    <col min="12" max="12" width="10" style="485" customWidth="1"/>
    <col min="13" max="13" width="10" style="486" customWidth="1"/>
    <col min="14" max="14" width="8.140625" style="485" customWidth="1"/>
    <col min="15" max="15" width="20" style="486" customWidth="1"/>
    <col min="16" max="16" width="8.7109375" style="485" customWidth="1"/>
    <col min="17" max="17" width="43.42578125" style="486" customWidth="1"/>
    <col min="18" max="18" width="8.7109375" style="485" customWidth="1"/>
    <col min="19" max="19" width="8.7109375" style="486" customWidth="1"/>
    <col min="20" max="20" width="8.7109375" style="485" customWidth="1"/>
    <col min="21" max="21" width="8.7109375" style="486" customWidth="1"/>
    <col min="22" max="22" width="9.140625" style="485" customWidth="1"/>
    <col min="23" max="24" width="9.140625" style="486" customWidth="1"/>
    <col min="25" max="25" width="19.28515625" style="486" customWidth="1"/>
    <col min="26" max="31" width="12" style="486" customWidth="1"/>
    <col min="32" max="32" width="13.85546875" style="486" customWidth="1"/>
    <col min="33" max="33" width="20" style="486" customWidth="1"/>
    <col min="34" max="34" width="9.85546875" style="12" customWidth="1"/>
    <col min="35" max="35" width="20" style="486" customWidth="1"/>
    <col min="36" max="36" width="9.85546875" style="12" customWidth="1"/>
    <col min="37" max="37" width="20" style="486" customWidth="1"/>
    <col min="38" max="38" width="9.85546875" style="12" customWidth="1"/>
    <col min="39" max="39" width="20" style="486" customWidth="1"/>
    <col min="40" max="40" width="9.85546875" style="12" customWidth="1"/>
    <col min="41" max="41" width="20" style="486" customWidth="1"/>
    <col min="42" max="42" width="9.85546875" style="12" customWidth="1"/>
    <col min="43" max="43" width="20" style="486" customWidth="1"/>
    <col min="44" max="44" width="9.85546875" style="12" customWidth="1"/>
    <col min="45" max="45" width="20" style="486" customWidth="1"/>
    <col min="46" max="46" width="8.85546875" style="12" customWidth="1"/>
    <col min="47" max="47" width="8.85546875" style="1226" customWidth="1"/>
    <col min="48" max="48" width="8.85546875" style="12" customWidth="1"/>
    <col min="49" max="49" width="8.85546875" style="1226" customWidth="1"/>
    <col min="50" max="50" width="8.85546875" style="12" customWidth="1"/>
    <col min="51" max="51" width="8.85546875" style="1226" customWidth="1"/>
    <col min="52" max="52" width="8.85546875" style="12" customWidth="1"/>
    <col min="53" max="53" width="8.85546875" style="1226" customWidth="1"/>
    <col min="54" max="54" width="8.85546875" style="12" customWidth="1"/>
    <col min="55" max="55" width="8.85546875" style="1226" customWidth="1"/>
    <col min="56" max="56" width="8.85546875" style="12" customWidth="1"/>
    <col min="57" max="57" width="20" style="486" customWidth="1"/>
    <col min="58" max="58" width="50" style="486" customWidth="1"/>
    <col min="59" max="59" width="20" style="486" customWidth="1"/>
    <col min="60" max="60" width="50" style="486" customWidth="1"/>
    <col min="61" max="61" width="20" style="486" customWidth="1"/>
    <col min="62" max="62" width="50" style="486" customWidth="1"/>
    <col min="63" max="63" width="20" style="486" customWidth="1"/>
    <col min="64" max="64" width="50" style="486" customWidth="1"/>
    <col min="65" max="65" width="20" style="486" customWidth="1"/>
    <col min="66" max="66" width="50" style="486" customWidth="1"/>
    <col min="67" max="67" width="20" style="486" customWidth="1"/>
    <col min="68" max="68" width="50" style="486" customWidth="1"/>
    <col min="69" max="69" width="20" style="486" customWidth="1"/>
    <col min="70" max="70" width="50" style="486" customWidth="1"/>
    <col min="71" max="71" width="20" style="486" customWidth="1"/>
    <col min="72" max="72" width="50" style="486" customWidth="1"/>
    <col min="73" max="73" width="20" style="486" customWidth="1"/>
    <col min="74" max="74" width="50" style="486" customWidth="1"/>
    <col min="75" max="75" width="20" style="486" customWidth="1"/>
    <col min="76" max="76" width="50" style="486" customWidth="1"/>
    <col min="77" max="77" width="20" style="486" customWidth="1"/>
    <col min="78" max="78" width="50" style="486" customWidth="1"/>
    <col min="79" max="79" width="20" style="486" customWidth="1"/>
    <col min="80" max="80" width="50" style="486" customWidth="1"/>
    <col min="81" max="81" width="20" style="486" customWidth="1"/>
    <col min="82" max="82" width="50" style="486" customWidth="1"/>
    <col min="83" max="83" width="20" style="486" customWidth="1"/>
    <col min="84" max="84" width="50" style="486" customWidth="1"/>
    <col min="85" max="85" width="20" style="486" customWidth="1"/>
    <col min="86" max="86" width="50" style="486" customWidth="1"/>
    <col min="87" max="87" width="20" style="486" customWidth="1"/>
    <col min="88" max="88" width="50" style="486" customWidth="1"/>
    <col min="89" max="16384" width="9.140625" style="486"/>
  </cols>
  <sheetData>
    <row r="1" spans="1:88" s="456" customFormat="1" ht="14.25" customHeight="1">
      <c r="A1" s="680" t="s">
        <v>59</v>
      </c>
      <c r="B1" s="681" t="s">
        <v>60</v>
      </c>
      <c r="C1" s="682" t="s">
        <v>61</v>
      </c>
      <c r="D1" s="453" t="s">
        <v>3</v>
      </c>
      <c r="E1" s="454"/>
      <c r="F1" s="455" t="s">
        <v>328</v>
      </c>
      <c r="G1" s="2558">
        <f>60*1000*SpeedFaktor</f>
        <v>60000</v>
      </c>
      <c r="H1" s="457">
        <v>10</v>
      </c>
      <c r="J1" s="457"/>
      <c r="L1" s="457"/>
      <c r="N1" s="457"/>
      <c r="P1" s="457"/>
      <c r="R1" s="457"/>
      <c r="T1" s="457"/>
      <c r="V1" s="457"/>
      <c r="AB1" s="458"/>
      <c r="AC1" s="458"/>
      <c r="AF1" s="459" t="s">
        <v>5</v>
      </c>
      <c r="AG1" s="509" t="s">
        <v>1303</v>
      </c>
      <c r="AH1" s="24" t="s">
        <v>8</v>
      </c>
      <c r="AI1" s="587" t="s">
        <v>1309</v>
      </c>
      <c r="AJ1" s="24" t="s">
        <v>8</v>
      </c>
      <c r="AK1" s="805" t="s">
        <v>1311</v>
      </c>
      <c r="AL1" s="24" t="s">
        <v>8</v>
      </c>
      <c r="AM1" s="931" t="s">
        <v>1318</v>
      </c>
      <c r="AN1" s="24" t="s">
        <v>8</v>
      </c>
      <c r="AO1" s="1056" t="s">
        <v>1322</v>
      </c>
      <c r="AP1" s="24" t="s">
        <v>8</v>
      </c>
      <c r="AQ1" s="1078" t="s">
        <v>1324</v>
      </c>
      <c r="AR1" s="24" t="s">
        <v>8</v>
      </c>
      <c r="AS1" s="1217" t="s">
        <v>1329</v>
      </c>
      <c r="AT1" s="24" t="s">
        <v>8</v>
      </c>
      <c r="AU1" s="1230" t="s">
        <v>1330</v>
      </c>
      <c r="AV1" s="24" t="s">
        <v>8</v>
      </c>
      <c r="AW1" s="1228" t="s">
        <v>1331</v>
      </c>
      <c r="AX1" s="24" t="s">
        <v>8</v>
      </c>
      <c r="AY1" s="1233" t="s">
        <v>1332</v>
      </c>
      <c r="AZ1" s="24" t="s">
        <v>8</v>
      </c>
      <c r="BA1" s="1232" t="s">
        <v>1333</v>
      </c>
      <c r="BB1" s="24" t="s">
        <v>8</v>
      </c>
      <c r="BC1" s="1218" t="s">
        <v>1334</v>
      </c>
      <c r="BD1" s="24" t="s">
        <v>8</v>
      </c>
      <c r="BE1" s="1278" t="s">
        <v>1341</v>
      </c>
      <c r="BF1" s="1279" t="s">
        <v>572</v>
      </c>
      <c r="BG1" s="1520" t="s">
        <v>1363</v>
      </c>
      <c r="BH1" s="1521" t="s">
        <v>572</v>
      </c>
      <c r="BI1" s="1666" t="s">
        <v>1368</v>
      </c>
      <c r="BJ1" s="1667" t="s">
        <v>572</v>
      </c>
      <c r="BK1" s="1807" t="s">
        <v>1371</v>
      </c>
      <c r="BL1" s="1808" t="s">
        <v>572</v>
      </c>
      <c r="BM1" s="1969" t="s">
        <v>1375</v>
      </c>
      <c r="BN1" s="1970" t="s">
        <v>572</v>
      </c>
      <c r="BO1" s="2075" t="s">
        <v>1397</v>
      </c>
      <c r="BP1" s="2076" t="s">
        <v>572</v>
      </c>
      <c r="BQ1" s="2265" t="s">
        <v>1421</v>
      </c>
      <c r="BR1" s="2266" t="s">
        <v>572</v>
      </c>
      <c r="BS1" s="2428" t="s">
        <v>1430</v>
      </c>
      <c r="BT1" s="2429" t="s">
        <v>572</v>
      </c>
      <c r="BU1" s="2589" t="s">
        <v>1442</v>
      </c>
      <c r="BV1" s="2590" t="s">
        <v>572</v>
      </c>
      <c r="BW1" s="2776" t="s">
        <v>1460</v>
      </c>
      <c r="BX1" s="2777" t="s">
        <v>572</v>
      </c>
      <c r="BY1" s="2954" t="s">
        <v>1472</v>
      </c>
      <c r="BZ1" s="2955" t="s">
        <v>572</v>
      </c>
      <c r="CA1" s="3144" t="s">
        <v>1492</v>
      </c>
      <c r="CB1" s="3145" t="s">
        <v>572</v>
      </c>
      <c r="CC1" s="3322" t="s">
        <v>1503</v>
      </c>
      <c r="CD1" s="3323" t="s">
        <v>572</v>
      </c>
      <c r="CE1" s="3500" t="s">
        <v>1519</v>
      </c>
      <c r="CF1" s="3501" t="s">
        <v>572</v>
      </c>
      <c r="CG1" s="3786" t="s">
        <v>1666</v>
      </c>
      <c r="CH1" s="3787" t="s">
        <v>572</v>
      </c>
      <c r="CI1" s="4011" t="s">
        <v>1717</v>
      </c>
      <c r="CJ1" s="4012" t="s">
        <v>572</v>
      </c>
    </row>
    <row r="2" spans="1:88" s="458" customFormat="1" ht="14.25" customHeight="1">
      <c r="A2" s="683">
        <v>1</v>
      </c>
      <c r="B2" s="681" t="s">
        <v>21</v>
      </c>
      <c r="C2" s="681" t="s">
        <v>1302</v>
      </c>
      <c r="D2" s="546"/>
      <c r="E2" s="456" t="str">
        <f>F2&amp;G2&amp;H2&amp;I2&amp;J2&amp;K2&amp;L2&amp;M2&amp;N2&amp;O2&amp;P2&amp;Q2&amp;R2&amp;S2&amp;T2&amp;U2&amp;V2&amp;W2&amp;X2</f>
        <v>{"url":"https://dev.aventis.swiss"}</v>
      </c>
      <c r="F2" s="547" t="s">
        <v>67</v>
      </c>
      <c r="G2" s="548" t="s">
        <v>68</v>
      </c>
      <c r="H2" s="547" t="s">
        <v>37</v>
      </c>
      <c r="J2" s="547"/>
      <c r="L2" s="547"/>
      <c r="N2" s="547"/>
      <c r="P2" s="547"/>
      <c r="R2" s="547"/>
      <c r="T2" s="547"/>
      <c r="V2" s="547"/>
      <c r="Z2" s="456"/>
      <c r="AA2" s="456"/>
      <c r="AB2" s="456"/>
      <c r="AC2" s="456"/>
      <c r="AG2" s="458">
        <v>361</v>
      </c>
      <c r="AH2" s="156">
        <f>AG2/($AG2)</f>
        <v>1</v>
      </c>
      <c r="AI2" s="458">
        <v>353</v>
      </c>
      <c r="AJ2" s="156">
        <f>AI2/($AG2)</f>
        <v>0.97783933518005539</v>
      </c>
      <c r="AK2" s="458">
        <v>325</v>
      </c>
      <c r="AL2" s="156">
        <f>AK2/($AG2)</f>
        <v>0.90027700831024926</v>
      </c>
      <c r="AM2" s="458">
        <v>303</v>
      </c>
      <c r="AN2" s="156">
        <f>AM2/($AG2)</f>
        <v>0.83933518005540164</v>
      </c>
      <c r="AO2" s="458">
        <v>382</v>
      </c>
      <c r="AP2" s="156">
        <f>AO2/($AG2)</f>
        <v>1.0581717451523547</v>
      </c>
      <c r="AQ2" s="458">
        <v>325</v>
      </c>
      <c r="AR2" s="156">
        <f>AQ2/($AG2)</f>
        <v>0.90027700831024926</v>
      </c>
      <c r="AS2" s="458">
        <v>286</v>
      </c>
      <c r="AT2" s="156">
        <f>AS2/($AG2)</f>
        <v>0.79224376731301938</v>
      </c>
      <c r="AU2" s="1219">
        <v>282</v>
      </c>
      <c r="AV2" s="156">
        <f>AU2/($AG2)</f>
        <v>0.78116343490304707</v>
      </c>
      <c r="AW2" s="1219">
        <v>274</v>
      </c>
      <c r="AX2" s="156">
        <f>AW2/($AG2)</f>
        <v>0.75900277008310246</v>
      </c>
      <c r="AY2" s="1219">
        <v>388</v>
      </c>
      <c r="AZ2" s="156">
        <f>AY2/($AG2)</f>
        <v>1.074792243767313</v>
      </c>
      <c r="BA2" s="1219">
        <v>340</v>
      </c>
      <c r="BB2" s="156">
        <f>BA2/($AG2)</f>
        <v>0.94182825484764543</v>
      </c>
      <c r="BC2" s="1219">
        <v>237</v>
      </c>
      <c r="BD2" s="156">
        <f>BC2/($AG2)</f>
        <v>0.65650969529085867</v>
      </c>
      <c r="BE2" s="458">
        <v>281</v>
      </c>
      <c r="BG2" s="458">
        <v>426</v>
      </c>
      <c r="BI2" s="458">
        <v>483</v>
      </c>
      <c r="BK2" s="458">
        <v>324</v>
      </c>
      <c r="BM2" s="458">
        <v>1190</v>
      </c>
      <c r="BO2" s="458">
        <v>1588</v>
      </c>
      <c r="BQ2" s="458">
        <v>1427</v>
      </c>
      <c r="BS2" s="458">
        <v>1688</v>
      </c>
      <c r="BU2" s="458">
        <v>1297</v>
      </c>
      <c r="BW2" s="458">
        <v>972</v>
      </c>
      <c r="BY2" s="458">
        <v>1712</v>
      </c>
      <c r="CA2" s="458">
        <v>1281</v>
      </c>
      <c r="CC2" s="458">
        <v>1273</v>
      </c>
      <c r="CE2" s="458">
        <v>1355</v>
      </c>
      <c r="CG2" s="458">
        <v>899</v>
      </c>
      <c r="CI2" s="458">
        <v>533</v>
      </c>
      <c r="CJ2" s="458" t="s">
        <v>1718</v>
      </c>
    </row>
    <row r="3" spans="1:88" s="458" customFormat="1" ht="14.25" customHeight="1">
      <c r="A3" s="683">
        <v>3</v>
      </c>
      <c r="B3" s="681" t="s">
        <v>25</v>
      </c>
      <c r="C3" s="682" t="str">
        <f t="shared" ref="C3:C7" si="0">E3</f>
        <v>{"username":"Bern.Sachbearbeiterin@diartis.ch","password":"XXxa22?pdTA66-S@","fullname":"Sachbearbeiterin Bern","team":"Sachbearbeitung Bern"}</v>
      </c>
      <c r="D3" s="546"/>
      <c r="E3" s="456" t="str">
        <f t="shared" ref="E3:E7" si="1">F3&amp;G3&amp;H3&amp;I3&amp;J3&amp;K3&amp;L3&amp;M3&amp;N3&amp;O3&amp;P3&amp;Q3&amp;R3&amp;S3&amp;T3&amp;U3&amp;V3&amp;W3&amp;X3</f>
        <v>{"username":"Bern.Sachbearbeiterin@diartis.ch","password":"XXxa22?pdTA66-S@","fullname":"Sachbearbeiterin Bern","team":"Sachbearbeitung Bern"}</v>
      </c>
      <c r="F3" s="547" t="s">
        <v>29</v>
      </c>
      <c r="G3" s="548" t="s">
        <v>30</v>
      </c>
      <c r="H3" s="547" t="s">
        <v>31</v>
      </c>
      <c r="I3" s="550" t="s">
        <v>32</v>
      </c>
      <c r="J3" s="547" t="s">
        <v>73</v>
      </c>
      <c r="K3" s="52" t="s">
        <v>1287</v>
      </c>
      <c r="L3" s="547" t="s">
        <v>75</v>
      </c>
      <c r="M3" s="551" t="s">
        <v>118</v>
      </c>
      <c r="N3" s="547" t="s">
        <v>37</v>
      </c>
      <c r="P3" s="547"/>
      <c r="R3" s="547"/>
      <c r="T3" s="547"/>
      <c r="V3" s="547"/>
      <c r="Z3" s="456"/>
      <c r="AA3" s="456"/>
      <c r="AB3" s="456"/>
      <c r="AC3" s="456"/>
      <c r="AG3" s="458">
        <v>406</v>
      </c>
      <c r="AH3" s="156">
        <f t="shared" ref="AH3:AH35" si="2">AG3/($AG3)</f>
        <v>1</v>
      </c>
      <c r="AI3" s="458">
        <v>408</v>
      </c>
      <c r="AJ3" s="156">
        <f t="shared" ref="AJ3:AL35" si="3">AI3/($AG3)</f>
        <v>1.0049261083743843</v>
      </c>
      <c r="AK3" s="458">
        <v>1218</v>
      </c>
      <c r="AL3" s="156">
        <f t="shared" si="3"/>
        <v>3</v>
      </c>
      <c r="AM3" s="458">
        <v>1280</v>
      </c>
      <c r="AN3" s="156">
        <f t="shared" ref="AN3:AN35" si="4">AM3/($AG3)</f>
        <v>3.1527093596059115</v>
      </c>
      <c r="AO3" s="458">
        <v>1286</v>
      </c>
      <c r="AP3" s="156">
        <f t="shared" ref="AP3:AP35" si="5">AO3/($AG3)</f>
        <v>3.1674876847290641</v>
      </c>
      <c r="AQ3" s="458">
        <v>1191</v>
      </c>
      <c r="AR3" s="156">
        <f t="shared" ref="AR3:AR35" si="6">AQ3/($AG3)</f>
        <v>2.9334975369458127</v>
      </c>
      <c r="AS3" s="458">
        <v>899</v>
      </c>
      <c r="AT3" s="156">
        <f t="shared" ref="AT3:AX18" si="7">AS3/($AG3)</f>
        <v>2.2142857142857144</v>
      </c>
      <c r="AU3" s="1219">
        <v>849</v>
      </c>
      <c r="AV3" s="156">
        <f t="shared" si="7"/>
        <v>2.0911330049261085</v>
      </c>
      <c r="AW3" s="1219">
        <v>831</v>
      </c>
      <c r="AX3" s="156">
        <f t="shared" si="7"/>
        <v>2.0467980295566504</v>
      </c>
      <c r="AY3" s="1219">
        <v>1251</v>
      </c>
      <c r="AZ3" s="156">
        <f t="shared" ref="AZ3:AZ35" si="8">AY3/($AG3)</f>
        <v>3.0812807881773399</v>
      </c>
      <c r="BA3" s="1219">
        <v>1250</v>
      </c>
      <c r="BB3" s="156">
        <f t="shared" ref="BB3:BB35" si="9">BA3/($AG3)</f>
        <v>3.0788177339901477</v>
      </c>
      <c r="BC3" s="1219">
        <v>789</v>
      </c>
      <c r="BD3" s="156">
        <f t="shared" ref="BD3:BD35" si="10">BC3/($AG3)</f>
        <v>1.9433497536945812</v>
      </c>
      <c r="BE3" s="458">
        <v>1148</v>
      </c>
      <c r="BG3" s="458">
        <v>1237</v>
      </c>
      <c r="BI3" s="458">
        <v>1493</v>
      </c>
      <c r="BK3" s="458">
        <v>1161</v>
      </c>
      <c r="BM3" s="458">
        <v>1967</v>
      </c>
      <c r="BO3" s="458">
        <v>6777</v>
      </c>
      <c r="BQ3" s="458">
        <v>7641</v>
      </c>
      <c r="BS3" s="458">
        <v>6247</v>
      </c>
      <c r="BU3" s="458">
        <v>8553</v>
      </c>
      <c r="BW3" s="458">
        <v>11026</v>
      </c>
      <c r="BY3" s="458">
        <v>9436</v>
      </c>
      <c r="CA3" s="458">
        <v>9622</v>
      </c>
      <c r="CC3" s="458">
        <v>9173</v>
      </c>
      <c r="CE3" s="458">
        <v>10857</v>
      </c>
      <c r="CG3" s="458">
        <v>10157</v>
      </c>
      <c r="CI3" s="458">
        <v>7736</v>
      </c>
      <c r="CJ3" s="458" t="s">
        <v>1718</v>
      </c>
    </row>
    <row r="4" spans="1:88" s="458" customFormat="1" ht="14.25" customHeight="1">
      <c r="A4" s="683"/>
      <c r="B4" s="681" t="s">
        <v>77</v>
      </c>
      <c r="C4" s="682" t="str">
        <f t="shared" ca="1" si="0"/>
        <v>{"name":p.FamilyName20,"vorname":p.ManFirstName20,"ahvNumber":"","geburtsdatum":""}</v>
      </c>
      <c r="D4" s="546"/>
      <c r="E4" s="456" t="str">
        <f t="shared" ca="1" si="1"/>
        <v>{"name":p.FamilyName20,"vorname":p.ManFirstName20,"ahvNumber":"","geburtsdatum":""}</v>
      </c>
      <c r="F4" s="552" t="s">
        <v>78</v>
      </c>
      <c r="G4" s="553" t="str">
        <f ca="1">G$42</f>
        <v>p.FamilyName20</v>
      </c>
      <c r="H4" s="547" t="s">
        <v>79</v>
      </c>
      <c r="I4" s="553" t="str">
        <f ca="1">H$41</f>
        <v>p.ManFirstName20</v>
      </c>
      <c r="J4" s="547" t="s">
        <v>80</v>
      </c>
      <c r="L4" s="547" t="s">
        <v>81</v>
      </c>
      <c r="M4" s="554"/>
      <c r="N4" s="547" t="s">
        <v>37</v>
      </c>
      <c r="P4" s="547"/>
      <c r="R4" s="547"/>
      <c r="T4" s="547"/>
      <c r="V4" s="547"/>
      <c r="Z4" s="456"/>
      <c r="AA4" s="456"/>
      <c r="AB4" s="456"/>
      <c r="AC4" s="456"/>
      <c r="AG4" s="458">
        <v>7795</v>
      </c>
      <c r="AH4" s="156">
        <f t="shared" si="2"/>
        <v>1</v>
      </c>
      <c r="AI4" s="588">
        <v>0</v>
      </c>
      <c r="AJ4" s="156">
        <f t="shared" si="3"/>
        <v>0</v>
      </c>
      <c r="AK4" s="458">
        <v>8545</v>
      </c>
      <c r="AL4" s="156">
        <f t="shared" si="3"/>
        <v>1.0962155227710071</v>
      </c>
      <c r="AM4" s="458">
        <v>7718</v>
      </c>
      <c r="AN4" s="156">
        <f t="shared" si="4"/>
        <v>0.99012187299550991</v>
      </c>
      <c r="AO4" s="458">
        <v>7162</v>
      </c>
      <c r="AP4" s="156">
        <f t="shared" si="5"/>
        <v>0.91879409878127005</v>
      </c>
      <c r="AQ4" s="458">
        <v>7871</v>
      </c>
      <c r="AR4" s="156">
        <f t="shared" si="6"/>
        <v>1.0097498396407953</v>
      </c>
      <c r="AS4" s="458">
        <v>6841</v>
      </c>
      <c r="AT4" s="156">
        <f t="shared" si="7"/>
        <v>0.877613855035279</v>
      </c>
      <c r="AU4" s="1231">
        <v>0</v>
      </c>
      <c r="AV4" s="156">
        <f t="shared" si="7"/>
        <v>0</v>
      </c>
      <c r="AW4" s="1219">
        <v>7886</v>
      </c>
      <c r="AX4" s="156">
        <f t="shared" si="7"/>
        <v>1.0116741500962154</v>
      </c>
      <c r="AY4" s="1234">
        <v>0</v>
      </c>
      <c r="AZ4" s="156">
        <f t="shared" si="8"/>
        <v>0</v>
      </c>
      <c r="BA4" s="1219">
        <v>8265</v>
      </c>
      <c r="BB4" s="156">
        <f t="shared" si="9"/>
        <v>1.0602950609364978</v>
      </c>
      <c r="BC4" s="1219">
        <v>8012</v>
      </c>
      <c r="BD4" s="156">
        <f t="shared" si="10"/>
        <v>1.0278383579217447</v>
      </c>
      <c r="BE4" s="458">
        <v>6659</v>
      </c>
      <c r="BG4" s="458">
        <v>7043</v>
      </c>
      <c r="BI4" s="458">
        <v>7135</v>
      </c>
      <c r="BK4" s="458">
        <v>7197</v>
      </c>
      <c r="BM4" s="458">
        <v>6675</v>
      </c>
    </row>
    <row r="5" spans="1:88" s="458" customFormat="1" ht="14.25" customHeight="1">
      <c r="A5" s="683"/>
      <c r="B5" s="681" t="s">
        <v>82</v>
      </c>
      <c r="C5" s="682" t="str">
        <f t="shared" ca="1" si="0"/>
        <v>{"name":p.FamilyName20,"vorname":p.ManFirstName20,"ahvNumber":p.AHVNumber77,"language":"Deutsch","zivilstand":"ledig","geburtsdatum":p.BirthdayAdult20,"national":"Schweiz","gender":"männlich","aufenthalt":""}</v>
      </c>
      <c r="D5" s="546"/>
      <c r="E5" s="456" t="str">
        <f t="shared" ca="1" si="1"/>
        <v>{"name":p.FamilyName20,"vorname":p.ManFirstName20,"ahvNumber":p.AHVNumber77,"language":"Deutsch","zivilstand":"ledig","geburtsdatum":p.BirthdayAdult20,"national":"Schweiz","gender":"männlich","aufenthalt":""}</v>
      </c>
      <c r="F5" s="552" t="s">
        <v>78</v>
      </c>
      <c r="G5" s="553" t="str">
        <f ca="1">G$42</f>
        <v>p.FamilyName20</v>
      </c>
      <c r="H5" s="547" t="s">
        <v>79</v>
      </c>
      <c r="I5" s="458" t="str">
        <f ca="1">I4</f>
        <v>p.ManFirstName20</v>
      </c>
      <c r="J5" s="547" t="s">
        <v>83</v>
      </c>
      <c r="K5" s="458" t="str">
        <f ca="1">I$41</f>
        <v>p.AHVNumber77</v>
      </c>
      <c r="L5" s="547" t="s">
        <v>84</v>
      </c>
      <c r="M5" s="554" t="s">
        <v>85</v>
      </c>
      <c r="N5" s="547" t="s">
        <v>86</v>
      </c>
      <c r="O5" s="546" t="s">
        <v>87</v>
      </c>
      <c r="P5" s="547" t="s">
        <v>88</v>
      </c>
      <c r="Q5" s="555" t="str">
        <f ca="1">J41</f>
        <v>p.BirthdayAdult20</v>
      </c>
      <c r="R5" s="547" t="s">
        <v>89</v>
      </c>
      <c r="S5" s="546" t="s">
        <v>90</v>
      </c>
      <c r="T5" s="547" t="s">
        <v>91</v>
      </c>
      <c r="U5" s="546" t="s">
        <v>92</v>
      </c>
      <c r="V5" s="547" t="s">
        <v>93</v>
      </c>
      <c r="X5" s="546" t="s">
        <v>37</v>
      </c>
      <c r="Z5" s="456"/>
      <c r="AA5" s="456"/>
      <c r="AB5" s="456"/>
      <c r="AC5" s="456"/>
      <c r="AG5" s="458">
        <v>2273</v>
      </c>
      <c r="AH5" s="156">
        <f t="shared" si="2"/>
        <v>1</v>
      </c>
      <c r="AI5" s="458">
        <v>336</v>
      </c>
      <c r="AJ5" s="156">
        <f t="shared" si="3"/>
        <v>0.14782226132864057</v>
      </c>
      <c r="AK5" s="458">
        <v>1919</v>
      </c>
      <c r="AL5" s="156">
        <f t="shared" si="3"/>
        <v>0.84425868895732514</v>
      </c>
      <c r="AM5" s="458">
        <v>2188</v>
      </c>
      <c r="AN5" s="156">
        <f t="shared" si="4"/>
        <v>0.96260448746150462</v>
      </c>
      <c r="AO5" s="458">
        <v>2191</v>
      </c>
      <c r="AP5" s="156">
        <f t="shared" si="5"/>
        <v>0.96392432908051029</v>
      </c>
      <c r="AQ5" s="458">
        <v>2093</v>
      </c>
      <c r="AR5" s="156">
        <f t="shared" si="6"/>
        <v>0.92080950285965679</v>
      </c>
      <c r="AS5" s="458">
        <v>2321</v>
      </c>
      <c r="AT5" s="156">
        <f t="shared" si="7"/>
        <v>1.0211174659040916</v>
      </c>
      <c r="AU5" s="1219">
        <v>362</v>
      </c>
      <c r="AV5" s="156">
        <f t="shared" si="7"/>
        <v>0.15926088869335681</v>
      </c>
      <c r="AW5" s="1219">
        <v>2189</v>
      </c>
      <c r="AX5" s="156">
        <f t="shared" si="7"/>
        <v>0.96304443466783984</v>
      </c>
      <c r="AY5" s="1219">
        <v>430</v>
      </c>
      <c r="AZ5" s="156">
        <f t="shared" si="8"/>
        <v>0.18917729872415309</v>
      </c>
      <c r="BA5" s="1219">
        <v>1925</v>
      </c>
      <c r="BB5" s="156">
        <f t="shared" si="9"/>
        <v>0.84689837219533659</v>
      </c>
      <c r="BC5" s="1219">
        <v>2128</v>
      </c>
      <c r="BD5" s="156">
        <f t="shared" si="10"/>
        <v>0.93620765508139026</v>
      </c>
      <c r="BE5" s="458">
        <v>1479</v>
      </c>
      <c r="BG5" s="458">
        <v>1860</v>
      </c>
      <c r="BI5" s="458">
        <v>1670</v>
      </c>
      <c r="BK5" s="458">
        <v>1894</v>
      </c>
      <c r="BM5" s="458">
        <v>1301</v>
      </c>
    </row>
    <row r="6" spans="1:88" s="458" customFormat="1" ht="14.25" customHeight="1">
      <c r="A6" s="683"/>
      <c r="B6" s="681" t="s">
        <v>94</v>
      </c>
      <c r="C6" s="682" t="str">
        <f t="shared" ca="1" si="0"/>
        <v>{"mobile":"079 5409241","privateNumber":"079 5259570","email":"1704abc@gmail.com"}</v>
      </c>
      <c r="D6" s="546"/>
      <c r="E6" s="456" t="str">
        <f t="shared" ca="1" si="1"/>
        <v>{"mobile":"079 5409241","privateNumber":"079 5259570","email":"1704abc@gmail.com"}</v>
      </c>
      <c r="F6" s="552" t="s">
        <v>95</v>
      </c>
      <c r="G6" s="546" t="str">
        <f ca="1">"079 "&amp;RANDBETWEEN(5234500,5699999)</f>
        <v>079 5409241</v>
      </c>
      <c r="H6" s="547" t="s">
        <v>96</v>
      </c>
      <c r="I6" s="546" t="str">
        <f ca="1">"079 "&amp;RANDBETWEEN(5234500,5699999)</f>
        <v>079 5259570</v>
      </c>
      <c r="J6" s="547" t="s">
        <v>97</v>
      </c>
      <c r="K6" s="548" t="s">
        <v>330</v>
      </c>
      <c r="L6" s="547" t="s">
        <v>37</v>
      </c>
      <c r="N6" s="547"/>
      <c r="P6" s="547"/>
      <c r="R6" s="547"/>
      <c r="T6" s="547"/>
      <c r="V6" s="547"/>
      <c r="Z6" s="456"/>
      <c r="AA6" s="456"/>
      <c r="AB6" s="456"/>
      <c r="AC6" s="456"/>
      <c r="AG6" s="458">
        <v>3620</v>
      </c>
      <c r="AH6" s="156">
        <f t="shared" si="2"/>
        <v>1</v>
      </c>
      <c r="AJ6" s="156">
        <f t="shared" si="3"/>
        <v>0</v>
      </c>
      <c r="AK6" s="458">
        <v>3965</v>
      </c>
      <c r="AL6" s="156">
        <f t="shared" si="3"/>
        <v>1.0953038674033149</v>
      </c>
      <c r="AM6" s="458">
        <v>3559</v>
      </c>
      <c r="AN6" s="156">
        <f t="shared" si="4"/>
        <v>0.98314917127071821</v>
      </c>
      <c r="AO6" s="458">
        <v>3289</v>
      </c>
      <c r="AP6" s="156">
        <f t="shared" si="5"/>
        <v>0.90856353591160222</v>
      </c>
      <c r="AQ6" s="458">
        <v>3644</v>
      </c>
      <c r="AR6" s="156">
        <f t="shared" si="6"/>
        <v>1.0066298342541435</v>
      </c>
      <c r="AS6" s="458">
        <v>3307</v>
      </c>
      <c r="AT6" s="156">
        <f t="shared" si="7"/>
        <v>0.91353591160220993</v>
      </c>
      <c r="AU6" s="1219"/>
      <c r="AV6" s="156">
        <f t="shared" si="7"/>
        <v>0</v>
      </c>
      <c r="AW6" s="1219">
        <v>3625</v>
      </c>
      <c r="AX6" s="156">
        <f t="shared" si="7"/>
        <v>1.0013812154696133</v>
      </c>
      <c r="AY6" s="1219"/>
      <c r="AZ6" s="156">
        <f t="shared" si="8"/>
        <v>0</v>
      </c>
      <c r="BA6" s="1219">
        <v>3480</v>
      </c>
      <c r="BB6" s="156">
        <f t="shared" si="9"/>
        <v>0.96132596685082872</v>
      </c>
      <c r="BC6" s="1219">
        <v>3244</v>
      </c>
      <c r="BD6" s="156">
        <f t="shared" si="10"/>
        <v>0.89613259668508283</v>
      </c>
      <c r="BE6" s="458">
        <v>3154</v>
      </c>
      <c r="BG6" s="458">
        <v>2858</v>
      </c>
      <c r="BI6" s="458">
        <v>2846</v>
      </c>
      <c r="BK6" s="458">
        <v>3066</v>
      </c>
      <c r="BM6" s="458">
        <v>2502</v>
      </c>
    </row>
    <row r="7" spans="1:88" s="458" customFormat="1" ht="14.25" customHeight="1">
      <c r="A7" s="683"/>
      <c r="B7" s="681" t="s">
        <v>99</v>
      </c>
      <c r="C7" s="682" t="str">
        <f t="shared" ca="1" si="0"/>
        <v>{"zusatz":"","strasse":"Strasse_493","houseNumber":"1","ort":"3302 Moosseedorf","validDate":"19.8.2021"}</v>
      </c>
      <c r="D7" s="546"/>
      <c r="E7" s="456" t="str">
        <f t="shared" ca="1" si="1"/>
        <v>{"zusatz":"","strasse":"Strasse_493","houseNumber":"1","ort":"3302 Moosseedorf","validDate":"19.8.2021"}</v>
      </c>
      <c r="F7" s="547" t="s">
        <v>100</v>
      </c>
      <c r="H7" s="547" t="s">
        <v>101</v>
      </c>
      <c r="I7" s="546" t="str">
        <f ca="1">"Strasse_"&amp;RANDBETWEEN(1,1000)</f>
        <v>Strasse_493</v>
      </c>
      <c r="J7" s="547" t="s">
        <v>102</v>
      </c>
      <c r="K7" s="546">
        <f ca="1">RANDBETWEEN(1,100)</f>
        <v>1</v>
      </c>
      <c r="L7" s="547" t="s">
        <v>103</v>
      </c>
      <c r="M7" s="546" t="s">
        <v>331</v>
      </c>
      <c r="N7" s="547" t="s">
        <v>105</v>
      </c>
      <c r="O7" s="555" t="str">
        <f ca="1">TEXT(RANDBETWEEN(1,28)&amp;"."&amp;RANDBETWEEN(1,12)&amp;"."&amp;TEXT(TODAY()-4*365,"YYYY"),"DD.MM.YYYY")</f>
        <v>19.8.2021</v>
      </c>
      <c r="P7" s="547" t="s">
        <v>37</v>
      </c>
      <c r="R7" s="547"/>
      <c r="T7" s="547"/>
      <c r="V7" s="547"/>
      <c r="Z7" s="456"/>
      <c r="AA7" s="456"/>
      <c r="AB7" s="456"/>
      <c r="AC7" s="456"/>
      <c r="AG7" s="458">
        <v>388</v>
      </c>
      <c r="AH7" s="156">
        <f t="shared" si="2"/>
        <v>1</v>
      </c>
      <c r="AJ7" s="156">
        <f t="shared" si="3"/>
        <v>0</v>
      </c>
      <c r="AK7" s="458">
        <v>357</v>
      </c>
      <c r="AL7" s="156">
        <f t="shared" si="3"/>
        <v>0.92010309278350511</v>
      </c>
      <c r="AM7" s="458">
        <v>348</v>
      </c>
      <c r="AN7" s="156">
        <f t="shared" si="4"/>
        <v>0.89690721649484539</v>
      </c>
      <c r="AO7" s="458">
        <v>388</v>
      </c>
      <c r="AP7" s="156">
        <f t="shared" si="5"/>
        <v>1</v>
      </c>
      <c r="AQ7" s="458">
        <v>355</v>
      </c>
      <c r="AR7" s="156">
        <f t="shared" si="6"/>
        <v>0.91494845360824739</v>
      </c>
      <c r="AS7" s="458">
        <v>423</v>
      </c>
      <c r="AT7" s="156">
        <f t="shared" si="7"/>
        <v>1.0902061855670102</v>
      </c>
      <c r="AU7" s="1219"/>
      <c r="AV7" s="156">
        <f t="shared" si="7"/>
        <v>0</v>
      </c>
      <c r="AW7" s="1219">
        <v>365</v>
      </c>
      <c r="AX7" s="156">
        <f t="shared" si="7"/>
        <v>0.94072164948453607</v>
      </c>
      <c r="AY7" s="1219"/>
      <c r="AZ7" s="156">
        <f t="shared" si="8"/>
        <v>0</v>
      </c>
      <c r="BA7" s="1219">
        <v>407</v>
      </c>
      <c r="BB7" s="156">
        <f t="shared" si="9"/>
        <v>1.0489690721649485</v>
      </c>
      <c r="BC7" s="1219">
        <v>429</v>
      </c>
      <c r="BD7" s="156">
        <f t="shared" si="10"/>
        <v>1.1056701030927836</v>
      </c>
      <c r="BE7" s="458">
        <v>411</v>
      </c>
      <c r="BG7" s="458">
        <v>374</v>
      </c>
      <c r="BI7" s="458">
        <v>352</v>
      </c>
      <c r="BK7" s="458">
        <v>324</v>
      </c>
      <c r="BM7" s="458">
        <v>300</v>
      </c>
    </row>
    <row r="8" spans="1:88" s="458" customFormat="1" ht="14.25" customHeight="1">
      <c r="A8" s="683"/>
      <c r="B8" s="681" t="s">
        <v>106</v>
      </c>
      <c r="C8" s="682" t="s">
        <v>326</v>
      </c>
      <c r="D8" s="546"/>
      <c r="E8" s="456"/>
      <c r="F8" s="547"/>
      <c r="H8" s="547"/>
      <c r="J8" s="547"/>
      <c r="L8" s="547"/>
      <c r="N8" s="547"/>
      <c r="P8" s="547"/>
      <c r="R8" s="547"/>
      <c r="T8" s="547"/>
      <c r="V8" s="547"/>
      <c r="Z8" s="456"/>
      <c r="AA8" s="456"/>
      <c r="AB8" s="456"/>
      <c r="AC8" s="456"/>
      <c r="AG8" s="458">
        <v>4505</v>
      </c>
      <c r="AH8" s="156">
        <f t="shared" si="2"/>
        <v>1</v>
      </c>
      <c r="AJ8" s="156">
        <f t="shared" si="3"/>
        <v>0</v>
      </c>
      <c r="AK8" s="458">
        <v>4415</v>
      </c>
      <c r="AL8" s="156">
        <f t="shared" si="3"/>
        <v>0.98002219755826858</v>
      </c>
      <c r="AM8" s="458">
        <v>4435</v>
      </c>
      <c r="AN8" s="156">
        <f t="shared" si="4"/>
        <v>0.98446170921198672</v>
      </c>
      <c r="AO8" s="458">
        <v>4359</v>
      </c>
      <c r="AP8" s="156">
        <f t="shared" si="5"/>
        <v>0.96759156492785792</v>
      </c>
      <c r="AQ8" s="458">
        <v>4381</v>
      </c>
      <c r="AR8" s="156">
        <f t="shared" si="6"/>
        <v>0.97247502774694783</v>
      </c>
      <c r="AS8" s="458">
        <v>4270</v>
      </c>
      <c r="AT8" s="156">
        <f t="shared" si="7"/>
        <v>0.94783573806881238</v>
      </c>
      <c r="AU8" s="1219"/>
      <c r="AV8" s="156">
        <f t="shared" si="7"/>
        <v>0</v>
      </c>
      <c r="AW8" s="1219">
        <v>4327</v>
      </c>
      <c r="AX8" s="156">
        <f t="shared" si="7"/>
        <v>0.96048834628190904</v>
      </c>
      <c r="AY8" s="1219"/>
      <c r="AZ8" s="156">
        <f t="shared" si="8"/>
        <v>0</v>
      </c>
      <c r="BA8" s="1219">
        <v>4299</v>
      </c>
      <c r="BB8" s="156">
        <f t="shared" si="9"/>
        <v>0.95427302996670371</v>
      </c>
      <c r="BC8" s="1219">
        <v>4185</v>
      </c>
      <c r="BD8" s="156">
        <f t="shared" si="10"/>
        <v>0.9289678135405105</v>
      </c>
      <c r="BE8" s="458">
        <v>4468</v>
      </c>
      <c r="BG8" s="458">
        <v>4353</v>
      </c>
      <c r="BI8" s="458">
        <v>4315</v>
      </c>
      <c r="BK8" s="458">
        <v>4245</v>
      </c>
      <c r="BM8" s="458">
        <v>4141</v>
      </c>
    </row>
    <row r="9" spans="1:88" s="458" customFormat="1" ht="14.25" customHeight="1">
      <c r="A9" s="683"/>
      <c r="B9" s="681" t="s">
        <v>110</v>
      </c>
      <c r="C9" s="682"/>
      <c r="D9" s="546"/>
      <c r="E9" s="456"/>
      <c r="F9" s="547"/>
      <c r="H9" s="547"/>
      <c r="J9" s="547"/>
      <c r="L9" s="547"/>
      <c r="N9" s="547"/>
      <c r="P9" s="547"/>
      <c r="R9" s="547"/>
      <c r="T9" s="547"/>
      <c r="V9" s="547"/>
      <c r="Z9" s="456"/>
      <c r="AA9" s="456"/>
      <c r="AB9" s="456"/>
      <c r="AC9" s="456"/>
      <c r="AG9" s="458">
        <v>80</v>
      </c>
      <c r="AH9" s="156">
        <f t="shared" si="2"/>
        <v>1</v>
      </c>
      <c r="AJ9" s="156">
        <f t="shared" si="3"/>
        <v>0</v>
      </c>
      <c r="AK9" s="458">
        <v>74</v>
      </c>
      <c r="AL9" s="156">
        <f t="shared" si="3"/>
        <v>0.92500000000000004</v>
      </c>
      <c r="AM9" s="458">
        <v>82</v>
      </c>
      <c r="AN9" s="156">
        <f t="shared" si="4"/>
        <v>1.0249999999999999</v>
      </c>
      <c r="AO9" s="458">
        <v>105</v>
      </c>
      <c r="AP9" s="156">
        <f t="shared" si="5"/>
        <v>1.3125</v>
      </c>
      <c r="AQ9" s="458">
        <v>102</v>
      </c>
      <c r="AR9" s="156">
        <f t="shared" si="6"/>
        <v>1.2749999999999999</v>
      </c>
      <c r="AS9" s="458">
        <v>121</v>
      </c>
      <c r="AT9" s="156">
        <f t="shared" si="7"/>
        <v>1.5125</v>
      </c>
      <c r="AU9" s="1219"/>
      <c r="AV9" s="156">
        <f t="shared" si="7"/>
        <v>0</v>
      </c>
      <c r="AW9" s="1219">
        <v>102</v>
      </c>
      <c r="AX9" s="156">
        <f t="shared" si="7"/>
        <v>1.2749999999999999</v>
      </c>
      <c r="AY9" s="1219"/>
      <c r="AZ9" s="156">
        <f t="shared" si="8"/>
        <v>0</v>
      </c>
      <c r="BA9" s="1219">
        <v>113</v>
      </c>
      <c r="BB9" s="156">
        <f t="shared" si="9"/>
        <v>1.4125000000000001</v>
      </c>
      <c r="BC9" s="1219">
        <v>83</v>
      </c>
      <c r="BD9" s="156">
        <f t="shared" si="10"/>
        <v>1.0375000000000001</v>
      </c>
      <c r="BE9" s="458">
        <v>128</v>
      </c>
      <c r="BG9" s="458">
        <v>69</v>
      </c>
      <c r="BI9" s="458">
        <v>98</v>
      </c>
      <c r="BK9" s="458">
        <v>81</v>
      </c>
      <c r="BM9" s="458">
        <v>60</v>
      </c>
    </row>
    <row r="10" spans="1:88" s="458" customFormat="1" ht="12.75" customHeight="1">
      <c r="A10" s="683"/>
      <c r="B10" s="681" t="s">
        <v>111</v>
      </c>
      <c r="C10" s="682" t="str">
        <f t="shared" ref="C10:C28" si="11">E10</f>
        <v>{"zust_Gemeinde":"Moosseedorf","zust_SozTeam":"Sozialarbeit Bern 1","zust_SozMitarbeiter":"Bern Sozialarbeiterin 1A","zust_SachbTeam":"Sachbearbeitung Bern","zust_SachbMitarbeiter":"Bern Sachbearbeiterin"}</v>
      </c>
      <c r="D10" s="546"/>
      <c r="E10" s="546" t="str">
        <f t="shared" ref="E10:E17" si="12">F10&amp;G10&amp;H10&amp;I10&amp;J10&amp;K10&amp;L10&amp;M10&amp;N10&amp;O10&amp;P10&amp;Q10&amp;R10&amp;S10&amp;T10&amp;U10&amp;V10&amp;W10&amp;X10</f>
        <v>{"zust_Gemeinde":"Moosseedorf","zust_SozTeam":"Sozialarbeit Bern 1","zust_SozMitarbeiter":"Bern Sozialarbeiterin 1A","zust_SachbTeam":"Sachbearbeitung Bern","zust_SachbMitarbeiter":"Bern Sachbearbeiterin"}</v>
      </c>
      <c r="F10" s="547" t="s">
        <v>112</v>
      </c>
      <c r="G10" s="556" t="s">
        <v>332</v>
      </c>
      <c r="H10" s="547" t="s">
        <v>114</v>
      </c>
      <c r="I10" s="546" t="s">
        <v>76</v>
      </c>
      <c r="J10" s="547" t="s">
        <v>115</v>
      </c>
      <c r="K10" s="546" t="s">
        <v>116</v>
      </c>
      <c r="L10" s="547" t="s">
        <v>117</v>
      </c>
      <c r="M10" s="546" t="s">
        <v>118</v>
      </c>
      <c r="N10" s="547" t="s">
        <v>119</v>
      </c>
      <c r="O10" s="546" t="s">
        <v>120</v>
      </c>
      <c r="P10" s="547" t="s">
        <v>37</v>
      </c>
      <c r="R10" s="547"/>
      <c r="T10" s="547"/>
      <c r="V10" s="547"/>
      <c r="Z10" s="456"/>
      <c r="AA10" s="456"/>
      <c r="AB10" s="456"/>
      <c r="AC10" s="456"/>
      <c r="AG10" s="458">
        <v>1222</v>
      </c>
      <c r="AH10" s="156">
        <f t="shared" si="2"/>
        <v>1</v>
      </c>
      <c r="AJ10" s="156">
        <f t="shared" si="3"/>
        <v>0</v>
      </c>
      <c r="AK10" s="458">
        <v>1213</v>
      </c>
      <c r="AL10" s="156">
        <f t="shared" si="3"/>
        <v>0.99263502454991814</v>
      </c>
      <c r="AM10" s="458">
        <v>1208</v>
      </c>
      <c r="AN10" s="156">
        <f t="shared" si="4"/>
        <v>0.98854337152209493</v>
      </c>
      <c r="AO10" s="458">
        <v>1209</v>
      </c>
      <c r="AP10" s="156">
        <f t="shared" si="5"/>
        <v>0.98936170212765961</v>
      </c>
      <c r="AQ10" s="458">
        <v>1225</v>
      </c>
      <c r="AR10" s="156">
        <f t="shared" si="6"/>
        <v>1.0024549918166938</v>
      </c>
      <c r="AS10" s="458">
        <v>1213</v>
      </c>
      <c r="AT10" s="156">
        <f t="shared" si="7"/>
        <v>0.99263502454991814</v>
      </c>
      <c r="AU10" s="1219"/>
      <c r="AV10" s="156">
        <f t="shared" si="7"/>
        <v>0</v>
      </c>
      <c r="AW10" s="1219">
        <v>1191</v>
      </c>
      <c r="AX10" s="156">
        <f t="shared" si="7"/>
        <v>0.9746317512274959</v>
      </c>
      <c r="AY10" s="1219"/>
      <c r="AZ10" s="156">
        <f t="shared" si="8"/>
        <v>0</v>
      </c>
      <c r="BA10" s="1219">
        <v>1223</v>
      </c>
      <c r="BB10" s="156">
        <f t="shared" si="9"/>
        <v>1.0008183306055647</v>
      </c>
      <c r="BC10" s="1219">
        <v>1206</v>
      </c>
      <c r="BD10" s="156">
        <f t="shared" si="10"/>
        <v>0.98690671031096566</v>
      </c>
      <c r="BE10" s="458">
        <v>1309</v>
      </c>
      <c r="BG10" s="458">
        <v>1522</v>
      </c>
      <c r="BI10" s="458">
        <v>1186</v>
      </c>
      <c r="BK10" s="458">
        <v>1172</v>
      </c>
      <c r="BM10" s="458">
        <v>1178</v>
      </c>
    </row>
    <row r="11" spans="1:88" s="458" customFormat="1" ht="14.25" customHeight="1">
      <c r="A11" s="683"/>
      <c r="B11" s="681" t="s">
        <v>122</v>
      </c>
      <c r="C11" s="682" t="str">
        <f t="shared" ca="1" si="11"/>
        <v>{"dossierBezeichnung":`SAR10_${p.AHVNumber5} 4-No19`,"eroeffnetAm":"04.11.2025","dossierSprache":"Deutsch"}</v>
      </c>
      <c r="D11" s="546"/>
      <c r="E11" s="456" t="str">
        <f t="shared" ca="1" si="12"/>
        <v>{"dossierBezeichnung":`SAR10_${p.AHVNumber5} 4-No19`,"eroeffnetAm":"04.11.2025","dossierSprache":"Deutsch"}</v>
      </c>
      <c r="F11" s="547" t="s">
        <v>1140</v>
      </c>
      <c r="G11" s="553" t="str">
        <f ca="1">"SAR10_${p.AHVNumber5} "&amp;DAY(TODAY())&amp;"-No"&amp;IF(_xlfn.SHEET()-1&lt;10,"0"&amp;_xlfn.SHEET()-1,_xlfn.SHEET()-1)</f>
        <v>SAR10_${p.AHVNumber5} 4-No19</v>
      </c>
      <c r="H11" s="547" t="s">
        <v>1141</v>
      </c>
      <c r="I11" s="555" t="str">
        <f ca="1">TEXT(TEXT(TODAY(),"DD")&amp;"."&amp;TEXT(TODAY(),"MM")&amp;"."&amp;TEXT(TODAY(),"YYYY"),"DD.MM.YYYY")</f>
        <v>04.11.2025</v>
      </c>
      <c r="J11" s="547" t="s">
        <v>125</v>
      </c>
      <c r="K11" s="546" t="s">
        <v>85</v>
      </c>
      <c r="L11" s="547" t="s">
        <v>37</v>
      </c>
      <c r="N11" s="547"/>
      <c r="P11" s="547"/>
      <c r="R11" s="547"/>
      <c r="T11" s="547"/>
      <c r="V11" s="547"/>
      <c r="Z11" s="456"/>
      <c r="AA11" s="456"/>
      <c r="AB11" s="456"/>
      <c r="AC11" s="456"/>
      <c r="AG11" s="458">
        <v>3974</v>
      </c>
      <c r="AH11" s="156">
        <f t="shared" si="2"/>
        <v>1</v>
      </c>
      <c r="AJ11" s="156">
        <f t="shared" si="3"/>
        <v>0</v>
      </c>
      <c r="AK11" s="458">
        <v>3810</v>
      </c>
      <c r="AL11" s="156">
        <f t="shared" si="3"/>
        <v>0.9587317564167086</v>
      </c>
      <c r="AM11" s="458">
        <v>4196</v>
      </c>
      <c r="AN11" s="156">
        <f t="shared" si="4"/>
        <v>1.0558631102164067</v>
      </c>
      <c r="AO11" s="458">
        <v>4127</v>
      </c>
      <c r="AP11" s="156">
        <f t="shared" si="5"/>
        <v>1.0385002516356316</v>
      </c>
      <c r="AQ11" s="458">
        <v>4286</v>
      </c>
      <c r="AR11" s="156">
        <f t="shared" si="6"/>
        <v>1.0785103170608958</v>
      </c>
      <c r="AS11" s="458">
        <v>3561</v>
      </c>
      <c r="AT11" s="156">
        <f t="shared" si="7"/>
        <v>0.89607448414695523</v>
      </c>
      <c r="AU11" s="1219"/>
      <c r="AV11" s="156">
        <f t="shared" si="7"/>
        <v>0</v>
      </c>
      <c r="AW11" s="1219">
        <v>4005</v>
      </c>
      <c r="AX11" s="156">
        <f t="shared" si="7"/>
        <v>1.0078007045797686</v>
      </c>
      <c r="AY11" s="1219"/>
      <c r="AZ11" s="156">
        <f t="shared" si="8"/>
        <v>0</v>
      </c>
      <c r="BA11" s="1219">
        <v>3821</v>
      </c>
      <c r="BB11" s="156">
        <f t="shared" si="9"/>
        <v>0.96149974836436836</v>
      </c>
      <c r="BC11" s="1219">
        <v>4035</v>
      </c>
      <c r="BD11" s="156">
        <f t="shared" si="10"/>
        <v>1.0153497735279315</v>
      </c>
      <c r="BE11" s="458">
        <v>4224</v>
      </c>
      <c r="BG11" s="458">
        <v>4181</v>
      </c>
      <c r="BI11" s="458">
        <v>4136</v>
      </c>
      <c r="BK11" s="458">
        <v>4160</v>
      </c>
      <c r="BM11" s="458">
        <v>4181</v>
      </c>
    </row>
    <row r="12" spans="1:88" s="458" customFormat="1" ht="14.25" customHeight="1">
      <c r="A12" s="683"/>
      <c r="B12" s="681" t="s">
        <v>134</v>
      </c>
      <c r="C12" s="682" t="str">
        <f t="shared" si="11"/>
        <v>{"username":"bern.sozialarbeiterin1a@diartis.ch","password":"SMze97-jkSJ59!F."}</v>
      </c>
      <c r="D12" s="546"/>
      <c r="E12" s="456" t="str">
        <f t="shared" si="12"/>
        <v>{"username":"bern.sozialarbeiterin1a@diartis.ch","password":"SMze97-jkSJ59!F."}</v>
      </c>
      <c r="F12" s="547" t="s">
        <v>29</v>
      </c>
      <c r="G12" s="546" t="s">
        <v>71</v>
      </c>
      <c r="H12" s="547" t="s">
        <v>31</v>
      </c>
      <c r="I12" s="546" t="s">
        <v>72</v>
      </c>
      <c r="J12" s="547" t="s">
        <v>37</v>
      </c>
      <c r="K12" s="555"/>
      <c r="L12" s="547"/>
      <c r="N12" s="547"/>
      <c r="P12" s="547"/>
      <c r="R12" s="547"/>
      <c r="T12" s="547"/>
      <c r="V12" s="547"/>
      <c r="Z12" s="456"/>
      <c r="AA12" s="456"/>
      <c r="AB12" s="456"/>
      <c r="AC12" s="456"/>
      <c r="AG12" s="458">
        <v>4008</v>
      </c>
      <c r="AH12" s="156">
        <f t="shared" si="2"/>
        <v>1</v>
      </c>
      <c r="AJ12" s="156">
        <f t="shared" si="3"/>
        <v>0</v>
      </c>
      <c r="AK12" s="458">
        <v>969</v>
      </c>
      <c r="AL12" s="156">
        <f t="shared" si="3"/>
        <v>0.24176646706586827</v>
      </c>
      <c r="AM12" s="458">
        <v>1429</v>
      </c>
      <c r="AN12" s="156">
        <f t="shared" si="4"/>
        <v>0.3565369261477046</v>
      </c>
      <c r="AO12" s="458">
        <v>942</v>
      </c>
      <c r="AP12" s="156">
        <f t="shared" si="5"/>
        <v>0.23502994011976047</v>
      </c>
      <c r="AQ12" s="458">
        <v>972</v>
      </c>
      <c r="AR12" s="156">
        <f t="shared" si="6"/>
        <v>0.24251497005988024</v>
      </c>
      <c r="AS12" s="458">
        <v>947</v>
      </c>
      <c r="AT12" s="156">
        <f t="shared" si="7"/>
        <v>0.23627744510978044</v>
      </c>
      <c r="AU12" s="1219"/>
      <c r="AV12" s="156">
        <f t="shared" si="7"/>
        <v>0</v>
      </c>
      <c r="AW12" s="1219">
        <v>940</v>
      </c>
      <c r="AX12" s="156">
        <f t="shared" si="7"/>
        <v>0.2345309381237525</v>
      </c>
      <c r="AY12" s="1219"/>
      <c r="AZ12" s="156">
        <f t="shared" si="8"/>
        <v>0</v>
      </c>
      <c r="BA12" s="1219">
        <v>1077</v>
      </c>
      <c r="BB12" s="156">
        <f t="shared" si="9"/>
        <v>0.26871257485029942</v>
      </c>
      <c r="BC12" s="1219">
        <v>925</v>
      </c>
      <c r="BD12" s="156">
        <f t="shared" si="10"/>
        <v>0.23078842315369261</v>
      </c>
      <c r="BE12" s="458">
        <v>1114</v>
      </c>
      <c r="BG12" s="458">
        <v>1437</v>
      </c>
      <c r="BI12" s="458">
        <v>1030</v>
      </c>
      <c r="BK12" s="458">
        <v>982</v>
      </c>
      <c r="BM12" s="458">
        <v>1574</v>
      </c>
    </row>
    <row r="13" spans="1:88" s="458" customFormat="1" ht="14.25" customHeight="1">
      <c r="A13" s="683"/>
      <c r="B13" s="681" t="s">
        <v>139</v>
      </c>
      <c r="C13" s="684" t="str">
        <f t="shared" ca="1" si="11"/>
        <v>{"searchDossierOrKlient":`SAR10_${p.AHVNumber5} 4-No19`,"resultType":"Dossiers"}</v>
      </c>
      <c r="D13" s="546"/>
      <c r="E13" s="456" t="str">
        <f t="shared" ca="1" si="12"/>
        <v>{"searchDossierOrKlient":`SAR10_${p.AHVNumber5} 4-No19`,"resultType":"Dossiers"}</v>
      </c>
      <c r="F13" s="547" t="s">
        <v>407</v>
      </c>
      <c r="G13" s="458" t="str">
        <f ca="1">G11</f>
        <v>SAR10_${p.AHVNumber5} 4-No19</v>
      </c>
      <c r="H13" s="547" t="s">
        <v>408</v>
      </c>
      <c r="I13" s="458" t="s">
        <v>142</v>
      </c>
      <c r="J13" s="547" t="s">
        <v>37</v>
      </c>
      <c r="L13" s="547"/>
      <c r="N13" s="547"/>
      <c r="P13" s="547"/>
      <c r="R13" s="547"/>
      <c r="T13" s="547"/>
      <c r="V13" s="547"/>
      <c r="Z13" s="456"/>
      <c r="AA13" s="456"/>
      <c r="AB13" s="456"/>
      <c r="AC13" s="456"/>
      <c r="AG13" s="458">
        <v>8807</v>
      </c>
      <c r="AH13" s="156">
        <f t="shared" si="2"/>
        <v>1</v>
      </c>
      <c r="AJ13" s="156">
        <f t="shared" si="3"/>
        <v>0</v>
      </c>
      <c r="AK13" s="458">
        <v>11926</v>
      </c>
      <c r="AL13" s="156">
        <f t="shared" si="3"/>
        <v>1.3541501078687408</v>
      </c>
      <c r="AM13" s="458">
        <v>12479</v>
      </c>
      <c r="AN13" s="156">
        <f t="shared" si="4"/>
        <v>1.4169410696037243</v>
      </c>
      <c r="AO13" s="458">
        <v>13503</v>
      </c>
      <c r="AP13" s="156">
        <f t="shared" si="5"/>
        <v>1.5332122175542182</v>
      </c>
      <c r="AQ13" s="458">
        <v>11021</v>
      </c>
      <c r="AR13" s="156">
        <f t="shared" si="6"/>
        <v>1.2513909390257749</v>
      </c>
      <c r="AS13" s="458">
        <v>11542</v>
      </c>
      <c r="AT13" s="156">
        <f t="shared" si="7"/>
        <v>1.3105484273873056</v>
      </c>
      <c r="AU13" s="1219"/>
      <c r="AV13" s="156">
        <f t="shared" si="7"/>
        <v>0</v>
      </c>
      <c r="AW13" s="1219">
        <v>12326</v>
      </c>
      <c r="AX13" s="156">
        <f t="shared" si="7"/>
        <v>1.3995685250369025</v>
      </c>
      <c r="AY13" s="1219"/>
      <c r="AZ13" s="156">
        <f t="shared" si="8"/>
        <v>0</v>
      </c>
      <c r="BA13" s="1219">
        <v>11754</v>
      </c>
      <c r="BB13" s="156">
        <f t="shared" si="9"/>
        <v>1.3346201884864313</v>
      </c>
      <c r="BC13" s="1219">
        <v>11526</v>
      </c>
      <c r="BD13" s="156">
        <f t="shared" si="10"/>
        <v>1.308731690700579</v>
      </c>
      <c r="BE13" s="458">
        <v>11804</v>
      </c>
      <c r="BG13" s="458">
        <v>10372</v>
      </c>
      <c r="BI13" s="458">
        <v>11472</v>
      </c>
      <c r="BK13" s="458">
        <v>11577</v>
      </c>
      <c r="BM13" s="458">
        <v>19066</v>
      </c>
    </row>
    <row r="14" spans="1:88" s="458" customFormat="1" ht="15.75" customHeight="1">
      <c r="A14" s="683"/>
      <c r="B14" s="681" t="s">
        <v>127</v>
      </c>
      <c r="C14" s="682" t="str">
        <f t="shared" ca="1" si="11"/>
        <v>{"dossierInstitution":`SAR10_${p.AHVNumber5} 4-No19`,"klientschaft":`${p.FamilyName20}, ${p.ManFirstName20}`,"buttonBewilligung":"Anfragen","checkStatus":"In Bearbeitung"}</v>
      </c>
      <c r="D14" s="546"/>
      <c r="E14" s="456" t="str">
        <f t="shared" ca="1" si="12"/>
        <v>{"dossierInstitution":`SAR10_${p.AHVNumber5} 4-No19`,"klientschaft":`${p.FamilyName20}, ${p.ManFirstName20}`,"buttonBewilligung":"Anfragen","checkStatus":"In Bearbeitung"}</v>
      </c>
      <c r="F14" s="547" t="s">
        <v>335</v>
      </c>
      <c r="G14" s="458" t="str">
        <f ca="1">G11</f>
        <v>SAR10_${p.AHVNumber5} 4-No19</v>
      </c>
      <c r="H14" s="547" t="s">
        <v>336</v>
      </c>
      <c r="I14" s="458" t="str">
        <f ca="1">I16</f>
        <v>${p.FamilyName20}, ${p.ManFirstName20}</v>
      </c>
      <c r="J14" s="547" t="s">
        <v>130</v>
      </c>
      <c r="K14" s="555" t="s">
        <v>131</v>
      </c>
      <c r="L14" s="547" t="s">
        <v>132</v>
      </c>
      <c r="M14" s="547" t="s">
        <v>133</v>
      </c>
      <c r="N14" s="547" t="s">
        <v>37</v>
      </c>
      <c r="P14" s="547"/>
      <c r="R14" s="547"/>
      <c r="T14" s="547"/>
      <c r="V14" s="547"/>
      <c r="Z14" s="456"/>
      <c r="AA14" s="456"/>
      <c r="AB14" s="456"/>
      <c r="AC14" s="456"/>
      <c r="AG14" s="458">
        <v>6091</v>
      </c>
      <c r="AH14" s="156">
        <f t="shared" si="2"/>
        <v>1</v>
      </c>
      <c r="AJ14" s="156">
        <f t="shared" si="3"/>
        <v>0</v>
      </c>
      <c r="AK14" s="458">
        <v>6188</v>
      </c>
      <c r="AL14" s="156">
        <f t="shared" si="3"/>
        <v>1.0159251354457397</v>
      </c>
      <c r="AM14" s="458">
        <v>6038</v>
      </c>
      <c r="AN14" s="156">
        <f t="shared" si="4"/>
        <v>0.9912986373337711</v>
      </c>
      <c r="AO14" s="458">
        <v>5973</v>
      </c>
      <c r="AP14" s="156">
        <f t="shared" si="5"/>
        <v>0.98062715481858476</v>
      </c>
      <c r="AQ14" s="458">
        <v>6091</v>
      </c>
      <c r="AR14" s="156">
        <f t="shared" si="6"/>
        <v>1</v>
      </c>
      <c r="AS14" s="458">
        <v>5924</v>
      </c>
      <c r="AT14" s="156">
        <f t="shared" si="7"/>
        <v>0.97258249876867509</v>
      </c>
      <c r="AU14" s="1219"/>
      <c r="AV14" s="156">
        <f t="shared" si="7"/>
        <v>0</v>
      </c>
      <c r="AW14" s="1219">
        <v>5980</v>
      </c>
      <c r="AX14" s="156">
        <f t="shared" si="7"/>
        <v>0.98177639139714334</v>
      </c>
      <c r="AY14" s="1219"/>
      <c r="AZ14" s="156">
        <f t="shared" si="8"/>
        <v>0</v>
      </c>
      <c r="BA14" s="1219">
        <v>6028</v>
      </c>
      <c r="BB14" s="156">
        <f t="shared" si="9"/>
        <v>0.98965687079297326</v>
      </c>
      <c r="BC14" s="1219">
        <v>5684</v>
      </c>
      <c r="BD14" s="156">
        <f t="shared" si="10"/>
        <v>0.93318010178952548</v>
      </c>
      <c r="BE14" s="458">
        <v>5908</v>
      </c>
      <c r="BG14" s="458">
        <v>4283</v>
      </c>
      <c r="BI14" s="458">
        <v>2796</v>
      </c>
      <c r="BK14" s="458">
        <v>3377</v>
      </c>
      <c r="BM14" s="458">
        <v>7356</v>
      </c>
    </row>
    <row r="15" spans="1:88" s="458" customFormat="1" ht="14.25" customHeight="1">
      <c r="A15" s="683"/>
      <c r="B15" s="681" t="s">
        <v>134</v>
      </c>
      <c r="C15" s="682" t="str">
        <f t="shared" si="11"/>
        <v>{"username":"Bern.Sachbearbeiterin@diartis.ch","password":"XXxa22?pdTA66-S@"}</v>
      </c>
      <c r="D15" s="546"/>
      <c r="E15" s="456" t="str">
        <f t="shared" si="12"/>
        <v>{"username":"Bern.Sachbearbeiterin@diartis.ch","password":"XXxa22?pdTA66-S@"}</v>
      </c>
      <c r="F15" s="547" t="s">
        <v>29</v>
      </c>
      <c r="G15" s="548" t="s">
        <v>30</v>
      </c>
      <c r="H15" s="547" t="s">
        <v>31</v>
      </c>
      <c r="I15" s="550" t="s">
        <v>32</v>
      </c>
      <c r="J15" s="547" t="s">
        <v>37</v>
      </c>
      <c r="K15" s="555"/>
      <c r="L15" s="547"/>
      <c r="N15" s="547"/>
      <c r="P15" s="547"/>
      <c r="R15" s="547"/>
      <c r="T15" s="547"/>
      <c r="V15" s="547"/>
      <c r="Z15" s="456"/>
      <c r="AA15" s="456"/>
      <c r="AB15" s="456"/>
      <c r="AC15" s="456"/>
      <c r="AG15" s="458">
        <v>8851</v>
      </c>
      <c r="AH15" s="156">
        <f t="shared" si="2"/>
        <v>1</v>
      </c>
      <c r="AJ15" s="156">
        <f t="shared" si="3"/>
        <v>0</v>
      </c>
      <c r="AK15" s="458">
        <v>9737</v>
      </c>
      <c r="AL15" s="156">
        <f t="shared" si="3"/>
        <v>1.1001016834256017</v>
      </c>
      <c r="AM15" s="458">
        <v>9656</v>
      </c>
      <c r="AN15" s="156">
        <f t="shared" si="4"/>
        <v>1.0909501751214552</v>
      </c>
      <c r="AO15" s="458">
        <v>8829</v>
      </c>
      <c r="AP15" s="156">
        <f t="shared" si="5"/>
        <v>0.99751440515196022</v>
      </c>
      <c r="AQ15" s="458">
        <v>8972</v>
      </c>
      <c r="AR15" s="156">
        <f t="shared" si="6"/>
        <v>1.0136707716642188</v>
      </c>
      <c r="AS15" s="458">
        <v>8246</v>
      </c>
      <c r="AT15" s="156">
        <f t="shared" si="7"/>
        <v>0.93164614167890636</v>
      </c>
      <c r="AU15" s="1219"/>
      <c r="AV15" s="156">
        <f t="shared" si="7"/>
        <v>0</v>
      </c>
      <c r="AW15" s="1219">
        <v>9861</v>
      </c>
      <c r="AX15" s="156">
        <f t="shared" si="7"/>
        <v>1.1141113998418257</v>
      </c>
      <c r="AY15" s="1219"/>
      <c r="AZ15" s="156">
        <f t="shared" si="8"/>
        <v>0</v>
      </c>
      <c r="BA15" s="1219">
        <v>8287</v>
      </c>
      <c r="BB15" s="156">
        <f t="shared" si="9"/>
        <v>0.93627838662298046</v>
      </c>
      <c r="BC15" s="1219">
        <v>9957</v>
      </c>
      <c r="BD15" s="156">
        <f t="shared" si="10"/>
        <v>1.1249576319059993</v>
      </c>
      <c r="BE15" s="458">
        <v>9213</v>
      </c>
      <c r="BG15" s="458">
        <v>6986</v>
      </c>
      <c r="BI15" s="458">
        <v>6348</v>
      </c>
      <c r="BK15" s="458">
        <v>6274</v>
      </c>
      <c r="BM15" s="458">
        <v>9966</v>
      </c>
    </row>
    <row r="16" spans="1:88" s="458" customFormat="1" ht="14.25" customHeight="1">
      <c r="A16" s="683"/>
      <c r="B16" s="681" t="s">
        <v>127</v>
      </c>
      <c r="C16" s="682" t="str">
        <f t="shared" ca="1" si="11"/>
        <v>{"dossierInstitution":`SAR10_${p.AHVNumber5} 4-No19`,"klientschaft":`${p.FamilyName20}, ${p.ManFirstName20}`,"buttonBewilligung":"Bewilligen","checkStatus":"Bewilligt"}</v>
      </c>
      <c r="D16" s="546"/>
      <c r="E16" s="456" t="str">
        <f t="shared" ca="1" si="12"/>
        <v>{"dossierInstitution":`SAR10_${p.AHVNumber5} 4-No19`,"klientschaft":`${p.FamilyName20}, ${p.ManFirstName20}`,"buttonBewilligung":"Bewilligen","checkStatus":"Bewilligt"}</v>
      </c>
      <c r="F16" s="547" t="s">
        <v>335</v>
      </c>
      <c r="G16" s="458" t="str">
        <f ca="1">G14</f>
        <v>SAR10_${p.AHVNumber5} 4-No19</v>
      </c>
      <c r="H16" s="547" t="s">
        <v>336</v>
      </c>
      <c r="I16" s="458" t="str">
        <f ca="1">I19</f>
        <v>${p.FamilyName20}, ${p.ManFirstName20}</v>
      </c>
      <c r="J16" s="547" t="s">
        <v>130</v>
      </c>
      <c r="K16" s="555" t="s">
        <v>136</v>
      </c>
      <c r="L16" s="547" t="s">
        <v>132</v>
      </c>
      <c r="M16" s="547" t="s">
        <v>137</v>
      </c>
      <c r="N16" s="547" t="s">
        <v>37</v>
      </c>
      <c r="P16" s="547"/>
      <c r="R16" s="547"/>
      <c r="T16" s="547"/>
      <c r="V16" s="547"/>
      <c r="Z16" s="456"/>
      <c r="AA16" s="456"/>
      <c r="AB16" s="456"/>
      <c r="AC16" s="456"/>
      <c r="AG16" s="458">
        <v>9014</v>
      </c>
      <c r="AH16" s="156">
        <f t="shared" si="2"/>
        <v>1</v>
      </c>
      <c r="AJ16" s="156">
        <f t="shared" si="3"/>
        <v>0</v>
      </c>
      <c r="AK16" s="458">
        <v>10116</v>
      </c>
      <c r="AL16" s="156">
        <f t="shared" si="3"/>
        <v>1.1222542711337919</v>
      </c>
      <c r="AM16" s="458">
        <v>10263</v>
      </c>
      <c r="AN16" s="156">
        <f t="shared" si="4"/>
        <v>1.1385622365209673</v>
      </c>
      <c r="AO16" s="458">
        <v>10467</v>
      </c>
      <c r="AP16" s="156">
        <f t="shared" si="5"/>
        <v>1.1611936986909253</v>
      </c>
      <c r="AQ16" s="458">
        <v>10072</v>
      </c>
      <c r="AR16" s="156">
        <f t="shared" si="6"/>
        <v>1.1173729753716442</v>
      </c>
      <c r="AS16" s="458">
        <v>10109</v>
      </c>
      <c r="AT16" s="156">
        <f t="shared" si="7"/>
        <v>1.1214777013534503</v>
      </c>
      <c r="AU16" s="1219"/>
      <c r="AV16" s="156">
        <f t="shared" si="7"/>
        <v>0</v>
      </c>
      <c r="AW16" s="1219">
        <v>10587</v>
      </c>
      <c r="AX16" s="156">
        <f t="shared" si="7"/>
        <v>1.1745063234967827</v>
      </c>
      <c r="AY16" s="1219"/>
      <c r="AZ16" s="156">
        <f t="shared" si="8"/>
        <v>0</v>
      </c>
      <c r="BA16" s="1219">
        <v>9959</v>
      </c>
      <c r="BB16" s="156">
        <f t="shared" si="9"/>
        <v>1.1048369203461283</v>
      </c>
      <c r="BC16" s="1219">
        <v>10393</v>
      </c>
      <c r="BD16" s="156">
        <f t="shared" si="10"/>
        <v>1.152984246727313</v>
      </c>
      <c r="BE16" s="458">
        <v>10698</v>
      </c>
      <c r="BG16" s="458">
        <v>9995</v>
      </c>
      <c r="BI16" s="458">
        <v>9280</v>
      </c>
      <c r="BK16" s="458">
        <v>10025</v>
      </c>
      <c r="BM16" s="458">
        <v>8680</v>
      </c>
    </row>
    <row r="17" spans="1:66" s="458" customFormat="1" ht="14.25" customHeight="1">
      <c r="A17" s="685"/>
      <c r="B17" s="686" t="s">
        <v>139</v>
      </c>
      <c r="C17" s="682" t="str">
        <f t="shared" ca="1" si="11"/>
        <v>{"searchDossierOrKlient":`SAR10_${p.AHVNumber5} 4-No19`,"resultType":"Dossiers"}</v>
      </c>
      <c r="D17" s="546"/>
      <c r="E17" s="456" t="str">
        <f t="shared" ca="1" si="12"/>
        <v>{"searchDossierOrKlient":`SAR10_${p.AHVNumber5} 4-No19`,"resultType":"Dossiers"}</v>
      </c>
      <c r="F17" s="547" t="s">
        <v>407</v>
      </c>
      <c r="G17" s="557" t="str">
        <f ca="1">G$11</f>
        <v>SAR10_${p.AHVNumber5} 4-No19</v>
      </c>
      <c r="H17" s="547" t="s">
        <v>408</v>
      </c>
      <c r="I17" s="458" t="s">
        <v>142</v>
      </c>
      <c r="J17" s="547" t="s">
        <v>37</v>
      </c>
      <c r="L17" s="547"/>
      <c r="N17" s="547"/>
      <c r="P17" s="547"/>
      <c r="R17" s="547"/>
      <c r="T17" s="547"/>
      <c r="V17" s="547"/>
      <c r="Z17" s="456"/>
      <c r="AA17" s="456"/>
      <c r="AH17" s="156" t="e">
        <f t="shared" si="2"/>
        <v>#DIV/0!</v>
      </c>
      <c r="AJ17" s="156" t="e">
        <f t="shared" si="3"/>
        <v>#DIV/0!</v>
      </c>
      <c r="AL17" s="156" t="e">
        <f t="shared" si="3"/>
        <v>#DIV/0!</v>
      </c>
      <c r="AN17" s="156" t="e">
        <f t="shared" si="4"/>
        <v>#DIV/0!</v>
      </c>
      <c r="AP17" s="156" t="e">
        <f t="shared" si="5"/>
        <v>#DIV/0!</v>
      </c>
      <c r="AR17" s="156" t="e">
        <f t="shared" si="6"/>
        <v>#DIV/0!</v>
      </c>
      <c r="AT17" s="156" t="e">
        <f t="shared" si="7"/>
        <v>#DIV/0!</v>
      </c>
      <c r="AU17" s="1219"/>
      <c r="AV17" s="156" t="e">
        <f t="shared" si="7"/>
        <v>#DIV/0!</v>
      </c>
      <c r="AW17" s="1219"/>
      <c r="AX17" s="156" t="e">
        <f t="shared" si="7"/>
        <v>#DIV/0!</v>
      </c>
      <c r="AY17" s="1219"/>
      <c r="AZ17" s="156" t="e">
        <f t="shared" si="8"/>
        <v>#DIV/0!</v>
      </c>
      <c r="BA17" s="1219"/>
      <c r="BB17" s="156" t="e">
        <f t="shared" si="9"/>
        <v>#DIV/0!</v>
      </c>
      <c r="BC17" s="1219"/>
      <c r="BD17" s="156" t="e">
        <f t="shared" si="10"/>
        <v>#DIV/0!</v>
      </c>
    </row>
    <row r="18" spans="1:66" s="462" customFormat="1" ht="14.25" customHeight="1">
      <c r="A18" s="683"/>
      <c r="B18" s="686" t="s">
        <v>448</v>
      </c>
      <c r="C18" s="686" t="e">
        <f t="shared" si="11"/>
        <v>#REF!</v>
      </c>
      <c r="D18" s="546"/>
      <c r="E18" s="462" t="e">
        <f>F18&amp;G18&amp;H18&amp;I18&amp;J18&amp;K18&amp;L18&amp;M18&amp;N18&amp;O18&amp;P18&amp;Q18&amp;R18&amp;S18&amp;T18&amp;U18&amp;V18&amp;W18&amp;X18&amp;Y18&amp;Z18&amp;AA18&amp;AB18&amp;AC18</f>
        <v>#REF!</v>
      </c>
      <c r="F18" s="557" t="s">
        <v>348</v>
      </c>
      <c r="G18" s="557" t="e">
        <f>#REF!</f>
        <v>#REF!</v>
      </c>
      <c r="H18" s="558" t="s">
        <v>1288</v>
      </c>
      <c r="I18" s="558" t="s">
        <v>964</v>
      </c>
      <c r="J18" s="558" t="s">
        <v>452</v>
      </c>
      <c r="K18" s="462" t="s">
        <v>1289</v>
      </c>
      <c r="L18" s="558" t="s">
        <v>454</v>
      </c>
      <c r="M18" s="462" t="s">
        <v>1290</v>
      </c>
      <c r="N18" s="558" t="s">
        <v>456</v>
      </c>
      <c r="O18" s="559"/>
      <c r="P18" s="560" t="s">
        <v>101</v>
      </c>
      <c r="Q18" s="462" t="s">
        <v>1291</v>
      </c>
      <c r="R18" s="558" t="s">
        <v>458</v>
      </c>
      <c r="S18" s="462">
        <v>12</v>
      </c>
      <c r="T18" s="558" t="s">
        <v>459</v>
      </c>
      <c r="U18" s="462" t="s">
        <v>1292</v>
      </c>
      <c r="V18" s="559" t="s">
        <v>37</v>
      </c>
      <c r="AB18" s="549"/>
      <c r="AC18" s="549"/>
      <c r="AH18" s="156" t="e">
        <f t="shared" si="2"/>
        <v>#DIV/0!</v>
      </c>
      <c r="AJ18" s="156" t="e">
        <f t="shared" si="3"/>
        <v>#DIV/0!</v>
      </c>
      <c r="AL18" s="156" t="e">
        <f t="shared" si="3"/>
        <v>#DIV/0!</v>
      </c>
      <c r="AN18" s="156" t="e">
        <f t="shared" si="4"/>
        <v>#DIV/0!</v>
      </c>
      <c r="AP18" s="156" t="e">
        <f t="shared" si="5"/>
        <v>#DIV/0!</v>
      </c>
      <c r="AR18" s="156" t="e">
        <f t="shared" si="6"/>
        <v>#DIV/0!</v>
      </c>
      <c r="AT18" s="156" t="e">
        <f t="shared" si="7"/>
        <v>#DIV/0!</v>
      </c>
      <c r="AU18" s="1220"/>
      <c r="AV18" s="156" t="e">
        <f t="shared" si="7"/>
        <v>#DIV/0!</v>
      </c>
      <c r="AW18" s="1220"/>
      <c r="AX18" s="156" t="e">
        <f t="shared" si="7"/>
        <v>#DIV/0!</v>
      </c>
      <c r="AY18" s="1220"/>
      <c r="AZ18" s="156" t="e">
        <f t="shared" si="8"/>
        <v>#DIV/0!</v>
      </c>
      <c r="BA18" s="1220"/>
      <c r="BB18" s="156" t="e">
        <f t="shared" si="9"/>
        <v>#DIV/0!</v>
      </c>
      <c r="BC18" s="1220"/>
      <c r="BD18" s="156" t="e">
        <f t="shared" si="10"/>
        <v>#DIV/0!</v>
      </c>
    </row>
    <row r="19" spans="1:66" s="458" customFormat="1" ht="14.25" customHeight="1">
      <c r="A19" s="685"/>
      <c r="B19" s="686" t="s">
        <v>158</v>
      </c>
      <c r="C19" s="682" t="str">
        <f t="shared" ca="1" si="11"/>
        <v>{"dossier":`SAR10_${p.AHVNumber5} 4-No19`,"klientschaft":`${p.FamilyName20}, ${p.ManFirstName20}`}</v>
      </c>
      <c r="D19" s="546"/>
      <c r="E19" s="456" t="str">
        <f ca="1">F19&amp;G19&amp;H19&amp;I19&amp;J19&amp;K19&amp;L19&amp;M19&amp;N19&amp;O19&amp;P19&amp;Q19&amp;R19&amp;S19&amp;T19&amp;U19&amp;V19&amp;W19&amp;X19</f>
        <v>{"dossier":`SAR10_${p.AHVNumber5} 4-No19`,"klientschaft":`${p.FamilyName20}, ${p.ManFirstName20}`}</v>
      </c>
      <c r="F19" s="485" t="s">
        <v>348</v>
      </c>
      <c r="G19" s="557" t="str">
        <f ca="1">G$11</f>
        <v>SAR10_${p.AHVNumber5} 4-No19</v>
      </c>
      <c r="H19" s="547" t="s">
        <v>336</v>
      </c>
      <c r="I19" s="553" t="str">
        <f ca="1">"${"&amp;$G$4&amp;"}, ${"&amp;$I$4&amp;"}"</f>
        <v>${p.FamilyName20}, ${p.ManFirstName20}</v>
      </c>
      <c r="J19" s="547" t="s">
        <v>160</v>
      </c>
      <c r="L19" s="547"/>
      <c r="N19" s="547"/>
      <c r="P19" s="547"/>
      <c r="R19" s="547"/>
      <c r="T19" s="547"/>
      <c r="V19" s="547"/>
      <c r="Z19" s="456"/>
      <c r="AA19" s="456"/>
      <c r="AH19" s="156" t="e">
        <f t="shared" si="2"/>
        <v>#DIV/0!</v>
      </c>
      <c r="AJ19" s="156" t="e">
        <f t="shared" si="3"/>
        <v>#DIV/0!</v>
      </c>
      <c r="AL19" s="156" t="e">
        <f t="shared" si="3"/>
        <v>#DIV/0!</v>
      </c>
      <c r="AN19" s="156" t="e">
        <f t="shared" si="4"/>
        <v>#DIV/0!</v>
      </c>
      <c r="AP19" s="156" t="e">
        <f t="shared" si="5"/>
        <v>#DIV/0!</v>
      </c>
      <c r="AR19" s="156" t="e">
        <f t="shared" si="6"/>
        <v>#DIV/0!</v>
      </c>
      <c r="AT19" s="156" t="e">
        <f t="shared" ref="AT19:AX34" si="13">AS19/($AG19)</f>
        <v>#DIV/0!</v>
      </c>
      <c r="AU19" s="1219"/>
      <c r="AV19" s="156" t="e">
        <f t="shared" si="13"/>
        <v>#DIV/0!</v>
      </c>
      <c r="AW19" s="1219"/>
      <c r="AX19" s="156" t="e">
        <f t="shared" si="13"/>
        <v>#DIV/0!</v>
      </c>
      <c r="AY19" s="1219"/>
      <c r="AZ19" s="156" t="e">
        <f t="shared" si="8"/>
        <v>#DIV/0!</v>
      </c>
      <c r="BA19" s="1219"/>
      <c r="BB19" s="156" t="e">
        <f t="shared" si="9"/>
        <v>#DIV/0!</v>
      </c>
      <c r="BC19" s="1219"/>
      <c r="BD19" s="156" t="e">
        <f t="shared" si="10"/>
        <v>#DIV/0!</v>
      </c>
    </row>
    <row r="20" spans="1:66" s="458" customFormat="1" ht="14.25" customHeight="1">
      <c r="A20" s="683"/>
      <c r="B20" s="686" t="s">
        <v>161</v>
      </c>
      <c r="C20" s="682" t="str">
        <f t="shared" ca="1" si="11"/>
        <v>{"zahlbarDurch":"BKW Energie AG","pensumm":"100","betrag":"1000","gueltigVon":"01.01.2025","gueltigBis":"31.12.2025","checkbox":"x"}</v>
      </c>
      <c r="D20" s="546"/>
      <c r="E20" s="456" t="str">
        <f ca="1">F20&amp;G20&amp;H20&amp;I20&amp;J20&amp;K20&amp;L20&amp;M20&amp;N20&amp;O20&amp;P20&amp;Q20&amp;R20&amp;S20&amp;T20&amp;U20&amp;V20&amp;W20&amp;X20</f>
        <v>{"zahlbarDurch":"BKW Energie AG","pensumm":"100","betrag":"1000","gueltigVon":"01.01.2025","gueltigBis":"31.12.2025","checkbox":"x"}</v>
      </c>
      <c r="F20" s="561" t="s">
        <v>162</v>
      </c>
      <c r="G20" s="546"/>
      <c r="H20" s="547" t="s">
        <v>163</v>
      </c>
      <c r="I20" s="546" t="s">
        <v>164</v>
      </c>
      <c r="J20" s="547" t="s">
        <v>165</v>
      </c>
      <c r="K20" s="546">
        <v>100</v>
      </c>
      <c r="L20" s="547" t="s">
        <v>166</v>
      </c>
      <c r="M20" s="546">
        <v>1000</v>
      </c>
      <c r="N20" s="547" t="s">
        <v>167</v>
      </c>
      <c r="O20" s="546" t="str">
        <f ca="1">"01.01."&amp;YEAR(TODAY())</f>
        <v>01.01.2025</v>
      </c>
      <c r="P20" s="546" t="s">
        <v>168</v>
      </c>
      <c r="Q20" s="546" t="str">
        <f ca="1">"31.12."&amp;YEAR(TODAY()+1)</f>
        <v>31.12.2025</v>
      </c>
      <c r="R20" s="547" t="s">
        <v>169</v>
      </c>
      <c r="S20" s="546" t="s">
        <v>170</v>
      </c>
      <c r="T20" s="547" t="s">
        <v>37</v>
      </c>
      <c r="V20" s="547"/>
      <c r="Z20" s="456"/>
      <c r="AA20" s="456"/>
      <c r="AH20" s="156" t="e">
        <f t="shared" si="2"/>
        <v>#DIV/0!</v>
      </c>
      <c r="AJ20" s="156" t="e">
        <f t="shared" si="3"/>
        <v>#DIV/0!</v>
      </c>
      <c r="AL20" s="156" t="e">
        <f t="shared" si="3"/>
        <v>#DIV/0!</v>
      </c>
      <c r="AN20" s="156" t="e">
        <f t="shared" si="4"/>
        <v>#DIV/0!</v>
      </c>
      <c r="AP20" s="156" t="e">
        <f t="shared" si="5"/>
        <v>#DIV/0!</v>
      </c>
      <c r="AR20" s="156" t="e">
        <f t="shared" si="6"/>
        <v>#DIV/0!</v>
      </c>
      <c r="AT20" s="156" t="e">
        <f t="shared" si="13"/>
        <v>#DIV/0!</v>
      </c>
      <c r="AU20" s="1219"/>
      <c r="AV20" s="156" t="e">
        <f t="shared" si="13"/>
        <v>#DIV/0!</v>
      </c>
      <c r="AW20" s="1219"/>
      <c r="AX20" s="156" t="e">
        <f t="shared" si="13"/>
        <v>#DIV/0!</v>
      </c>
      <c r="AY20" s="1219"/>
      <c r="AZ20" s="156" t="e">
        <f t="shared" si="8"/>
        <v>#DIV/0!</v>
      </c>
      <c r="BA20" s="1219"/>
      <c r="BB20" s="156" t="e">
        <f t="shared" si="9"/>
        <v>#DIV/0!</v>
      </c>
      <c r="BC20" s="1219"/>
      <c r="BD20" s="156" t="e">
        <f t="shared" si="10"/>
        <v>#DIV/0!</v>
      </c>
    </row>
    <row r="21" spans="1:66" s="458" customFormat="1" ht="14.25" customHeight="1">
      <c r="A21" s="685"/>
      <c r="B21" s="686" t="s">
        <v>139</v>
      </c>
      <c r="C21" s="682" t="str">
        <f t="shared" ca="1" si="11"/>
        <v>{"searchDossierOrKlient":`SAR10_${p.AHVNumber5} 4-No19`,"resultType":"Dossiers"}</v>
      </c>
      <c r="D21" s="546"/>
      <c r="E21" s="456" t="str">
        <f ca="1">F21&amp;G21&amp;H21&amp;I21&amp;J21&amp;K21&amp;L21&amp;M21&amp;N21&amp;O21&amp;P21&amp;Q21&amp;R21&amp;S21&amp;T21&amp;U21&amp;V21&amp;W21&amp;X21</f>
        <v>{"searchDossierOrKlient":`SAR10_${p.AHVNumber5} 4-No19`,"resultType":"Dossiers"}</v>
      </c>
      <c r="F21" s="547" t="s">
        <v>407</v>
      </c>
      <c r="G21" s="557" t="str">
        <f ca="1">G$11</f>
        <v>SAR10_${p.AHVNumber5} 4-No19</v>
      </c>
      <c r="H21" s="547" t="s">
        <v>408</v>
      </c>
      <c r="I21" s="458" t="s">
        <v>142</v>
      </c>
      <c r="J21" s="547" t="s">
        <v>37</v>
      </c>
      <c r="L21" s="547"/>
      <c r="N21" s="547"/>
      <c r="P21" s="547"/>
      <c r="R21" s="547"/>
      <c r="T21" s="547"/>
      <c r="V21" s="547"/>
      <c r="Z21" s="456"/>
      <c r="AA21" s="456"/>
      <c r="AH21" s="156" t="e">
        <f t="shared" si="2"/>
        <v>#DIV/0!</v>
      </c>
      <c r="AJ21" s="156" t="e">
        <f t="shared" si="3"/>
        <v>#DIV/0!</v>
      </c>
      <c r="AL21" s="156" t="e">
        <f t="shared" si="3"/>
        <v>#DIV/0!</v>
      </c>
      <c r="AN21" s="156" t="e">
        <f t="shared" si="4"/>
        <v>#DIV/0!</v>
      </c>
      <c r="AP21" s="156" t="e">
        <f t="shared" si="5"/>
        <v>#DIV/0!</v>
      </c>
      <c r="AR21" s="156" t="e">
        <f t="shared" si="6"/>
        <v>#DIV/0!</v>
      </c>
      <c r="AT21" s="156" t="e">
        <f t="shared" si="13"/>
        <v>#DIV/0!</v>
      </c>
      <c r="AU21" s="1219"/>
      <c r="AV21" s="156" t="e">
        <f t="shared" si="13"/>
        <v>#DIV/0!</v>
      </c>
      <c r="AW21" s="1219"/>
      <c r="AX21" s="156" t="e">
        <f t="shared" si="13"/>
        <v>#DIV/0!</v>
      </c>
      <c r="AY21" s="1219"/>
      <c r="AZ21" s="156" t="e">
        <f t="shared" si="8"/>
        <v>#DIV/0!</v>
      </c>
      <c r="BA21" s="1219"/>
      <c r="BB21" s="156" t="e">
        <f t="shared" si="9"/>
        <v>#DIV/0!</v>
      </c>
      <c r="BC21" s="1219"/>
      <c r="BD21" s="156" t="e">
        <f t="shared" si="10"/>
        <v>#DIV/0!</v>
      </c>
    </row>
    <row r="22" spans="1:66" s="458" customFormat="1" ht="14.25" customHeight="1">
      <c r="A22" s="685"/>
      <c r="B22" s="681" t="s">
        <v>180</v>
      </c>
      <c r="C22" s="682" t="str">
        <f t="shared" ca="1" si="11"/>
        <v>{"entscheidVom":"04.11.2025","begrundung":"Gar keine Begründung","unterstutzungab":"01.11.2025"}</v>
      </c>
      <c r="D22" s="546"/>
      <c r="E22" s="456" t="str">
        <f ca="1">F22&amp;G22&amp;H22&amp;I22&amp;J22&amp;K22&amp;L22&amp;M22&amp;N22&amp;O22&amp;P22&amp;Q22&amp;R22&amp;S22&amp;T22&amp;U22&amp;V22&amp;W22&amp;X22</f>
        <v>{"entscheidVom":"04.11.2025","begrundung":"Gar keine Begründung","unterstutzungab":"01.11.2025"}</v>
      </c>
      <c r="F22" s="547" t="s">
        <v>181</v>
      </c>
      <c r="G22" s="555" t="str">
        <f ca="1">TEXT(TEXT(TODAY(),"DD")&amp;"."&amp;TEXT(TODAY(),"MM")&amp;"."&amp;TEXT(TODAY(),"YYYY"),"DD.MM.YYYY")</f>
        <v>04.11.2025</v>
      </c>
      <c r="H22" s="547" t="s">
        <v>182</v>
      </c>
      <c r="I22" s="458" t="s">
        <v>183</v>
      </c>
      <c r="J22" s="547" t="s">
        <v>184</v>
      </c>
      <c r="K22" s="555" t="str">
        <f ca="1">TEXT(TEXT(1,"DD")&amp;"."&amp;TEXT(TODAY(),"MM")&amp;"."&amp;TEXT(TODAY(),"YYYY"),"DD.MM.YYYY")</f>
        <v>01.11.2025</v>
      </c>
      <c r="L22" s="547" t="s">
        <v>37</v>
      </c>
      <c r="N22" s="547"/>
      <c r="P22" s="547"/>
      <c r="R22" s="547"/>
      <c r="T22" s="547"/>
      <c r="V22" s="547"/>
      <c r="Z22" s="456"/>
      <c r="AA22" s="456"/>
      <c r="AG22" s="458">
        <v>4012</v>
      </c>
      <c r="AH22" s="156">
        <f t="shared" si="2"/>
        <v>1</v>
      </c>
      <c r="AJ22" s="156">
        <f t="shared" si="3"/>
        <v>0</v>
      </c>
      <c r="AK22" s="458">
        <v>10937</v>
      </c>
      <c r="AL22" s="156">
        <f t="shared" si="3"/>
        <v>2.726071784646062</v>
      </c>
      <c r="AM22" s="458">
        <v>10659</v>
      </c>
      <c r="AN22" s="156">
        <f t="shared" si="4"/>
        <v>2.656779661016949</v>
      </c>
      <c r="AO22" s="458">
        <v>10362</v>
      </c>
      <c r="AP22" s="156">
        <f t="shared" si="5"/>
        <v>2.5827517447657029</v>
      </c>
      <c r="AQ22" s="458">
        <v>10480</v>
      </c>
      <c r="AR22" s="156">
        <f t="shared" si="6"/>
        <v>2.6121635094715852</v>
      </c>
      <c r="AS22" s="458">
        <v>10399</v>
      </c>
      <c r="AT22" s="156">
        <f t="shared" si="13"/>
        <v>2.5919740777666997</v>
      </c>
      <c r="AU22" s="1219"/>
      <c r="AV22" s="156">
        <f t="shared" si="13"/>
        <v>0</v>
      </c>
      <c r="AW22" s="1219">
        <v>11082</v>
      </c>
      <c r="AX22" s="156">
        <f t="shared" si="13"/>
        <v>2.7622133599202394</v>
      </c>
      <c r="AY22" s="1219"/>
      <c r="AZ22" s="156">
        <f t="shared" si="8"/>
        <v>0</v>
      </c>
      <c r="BA22" s="1219">
        <v>10325</v>
      </c>
      <c r="BB22" s="156">
        <f t="shared" si="9"/>
        <v>2.5735294117647061</v>
      </c>
      <c r="BC22" s="1219">
        <v>10500</v>
      </c>
      <c r="BD22" s="156">
        <f t="shared" si="10"/>
        <v>2.617148554336989</v>
      </c>
      <c r="BE22" s="458">
        <v>9511</v>
      </c>
      <c r="BG22" s="458">
        <v>8022</v>
      </c>
      <c r="BI22" s="458">
        <v>7582</v>
      </c>
      <c r="BK22" s="458">
        <v>7802</v>
      </c>
      <c r="BM22" s="1971">
        <v>0</v>
      </c>
      <c r="BN22" s="1972" t="s">
        <v>1385</v>
      </c>
    </row>
    <row r="23" spans="1:66" s="458" customFormat="1" ht="14.25" customHeight="1">
      <c r="A23" s="685"/>
      <c r="B23" s="681" t="s">
        <v>185</v>
      </c>
      <c r="C23" s="682" t="str">
        <f t="shared" ca="1" si="11"/>
        <v>{"ubernahmeWohnkostenCFH":"100","uebernahmeWohnkostenVon":"01.11.2025","uebernahmeWohnkostenBis":"27.8.2026","uebernahemBegruendung":"Die Wohnungen sind teuer hier"}</v>
      </c>
      <c r="D23" s="546"/>
      <c r="E23" s="456" t="str">
        <f ca="1">F23&amp;G23&amp;H23&amp;I23&amp;J23&amp;K23&amp;L23&amp;M23&amp;N23&amp;O23&amp;P23&amp;Q23&amp;R23&amp;S23&amp;T23&amp;U23&amp;V23&amp;W23&amp;X23</f>
        <v>{"ubernahmeWohnkostenCFH":"100","uebernahmeWohnkostenVon":"01.11.2025","uebernahmeWohnkostenBis":"27.8.2026","uebernahemBegruendung":"Die Wohnungen sind teuer hier"}</v>
      </c>
      <c r="F23" s="562" t="s">
        <v>186</v>
      </c>
      <c r="G23" s="458">
        <v>100</v>
      </c>
      <c r="H23" s="458" t="s">
        <v>187</v>
      </c>
      <c r="I23" s="555" t="str">
        <f ca="1">"01."&amp;MONTH(TODAY())&amp;"."&amp;YEAR(TODAY())</f>
        <v>01.11.2025</v>
      </c>
      <c r="J23" s="458" t="s">
        <v>188</v>
      </c>
      <c r="K23" s="555" t="str">
        <f ca="1">"27."&amp;MONTH(TODAY()+300)&amp;"."&amp;YEAR(TODAY()+300)</f>
        <v>27.8.2026</v>
      </c>
      <c r="L23" s="547" t="s">
        <v>189</v>
      </c>
      <c r="M23" s="458" t="s">
        <v>190</v>
      </c>
      <c r="N23" s="547" t="s">
        <v>37</v>
      </c>
      <c r="Z23" s="456"/>
      <c r="AA23" s="456"/>
      <c r="AH23" s="156" t="e">
        <f t="shared" si="2"/>
        <v>#DIV/0!</v>
      </c>
      <c r="AJ23" s="156" t="e">
        <f t="shared" si="3"/>
        <v>#DIV/0!</v>
      </c>
      <c r="AL23" s="156" t="e">
        <f t="shared" si="3"/>
        <v>#DIV/0!</v>
      </c>
      <c r="AN23" s="156" t="e">
        <f t="shared" si="4"/>
        <v>#DIV/0!</v>
      </c>
      <c r="AP23" s="156" t="e">
        <f t="shared" si="5"/>
        <v>#DIV/0!</v>
      </c>
      <c r="AR23" s="156" t="e">
        <f t="shared" si="6"/>
        <v>#DIV/0!</v>
      </c>
      <c r="AT23" s="156" t="e">
        <f t="shared" si="13"/>
        <v>#DIV/0!</v>
      </c>
      <c r="AU23" s="1219"/>
      <c r="AV23" s="156" t="e">
        <f t="shared" si="13"/>
        <v>#DIV/0!</v>
      </c>
      <c r="AW23" s="1219"/>
      <c r="AX23" s="156" t="e">
        <f t="shared" si="13"/>
        <v>#DIV/0!</v>
      </c>
      <c r="AY23" s="1219"/>
      <c r="AZ23" s="156" t="e">
        <f t="shared" si="8"/>
        <v>#DIV/0!</v>
      </c>
      <c r="BA23" s="1219"/>
      <c r="BB23" s="156" t="e">
        <f t="shared" si="9"/>
        <v>#DIV/0!</v>
      </c>
      <c r="BC23" s="1219"/>
      <c r="BD23" s="156" t="e">
        <f t="shared" si="10"/>
        <v>#DIV/0!</v>
      </c>
    </row>
    <row r="24" spans="1:66" s="458" customFormat="1" ht="14.25" customHeight="1">
      <c r="A24" s="685"/>
      <c r="B24" s="681" t="s">
        <v>191</v>
      </c>
      <c r="C24" s="682" t="str">
        <f t="shared" ca="1" si="11"/>
        <v>{"lEvonDate":"04.11.2025","lEbisDate":"04.11.2026","checkStatus":"In Bearbeitung"}</v>
      </c>
      <c r="D24" s="546"/>
      <c r="E24" s="456" t="str">
        <f t="shared" ref="E24:E34" ca="1" si="14">F24&amp;G24&amp;H24&amp;I24&amp;J24&amp;K24&amp;L24&amp;M24&amp;N24&amp;O24&amp;P24&amp;Q24&amp;R24&amp;S24&amp;T24&amp;U24&amp;V24&amp;W24&amp;X24</f>
        <v>{"lEvonDate":"04.11.2025","lEbisDate":"04.11.2026","checkStatus":"In Bearbeitung"}</v>
      </c>
      <c r="F24" s="547" t="s">
        <v>192</v>
      </c>
      <c r="G24" s="555" t="str">
        <f ca="1">TEXT(TEXT(TODAY(),"DD")&amp;"."&amp;TEXT(TODAY(),"MM")&amp;"."&amp;TEXT(TODAY(),"YYYY"),"DD.MM.YYYY")</f>
        <v>04.11.2025</v>
      </c>
      <c r="H24" s="547" t="s">
        <v>193</v>
      </c>
      <c r="I24" s="555" t="str">
        <f ca="1">TEXT(TEXT(TODAY(),"DD")&amp;"."&amp;TEXT(TODAY(),"MM")&amp;"."&amp;TEXT(TODAY()+360,"YYYY"),"DD.MM.YYYY")</f>
        <v>04.11.2026</v>
      </c>
      <c r="J24" s="547" t="s">
        <v>132</v>
      </c>
      <c r="K24" s="458" t="s">
        <v>133</v>
      </c>
      <c r="L24" s="547" t="s">
        <v>37</v>
      </c>
      <c r="N24" s="547"/>
      <c r="P24" s="547"/>
      <c r="R24" s="547"/>
      <c r="T24" s="547"/>
      <c r="V24" s="547"/>
      <c r="Z24" s="456"/>
      <c r="AA24" s="456"/>
      <c r="AG24" s="458">
        <v>12207</v>
      </c>
      <c r="AH24" s="156">
        <f t="shared" si="2"/>
        <v>1</v>
      </c>
      <c r="AJ24" s="156">
        <f t="shared" si="3"/>
        <v>0</v>
      </c>
      <c r="AK24" s="458">
        <v>10837</v>
      </c>
      <c r="AL24" s="156">
        <f t="shared" si="3"/>
        <v>0.88776931268944048</v>
      </c>
      <c r="AM24" s="458">
        <v>13322</v>
      </c>
      <c r="AN24" s="156">
        <f t="shared" si="4"/>
        <v>1.0913410338330467</v>
      </c>
      <c r="AO24" s="458">
        <v>11939</v>
      </c>
      <c r="AP24" s="156">
        <f t="shared" si="5"/>
        <v>0.97804538379618255</v>
      </c>
      <c r="AQ24" s="458">
        <v>13352</v>
      </c>
      <c r="AR24" s="156">
        <f t="shared" si="6"/>
        <v>1.0937986401245188</v>
      </c>
      <c r="AS24" s="458">
        <v>11172</v>
      </c>
      <c r="AT24" s="156">
        <f t="shared" si="13"/>
        <v>0.91521258294421237</v>
      </c>
      <c r="AU24" s="1219"/>
      <c r="AV24" s="156">
        <f t="shared" si="13"/>
        <v>0</v>
      </c>
      <c r="AW24" s="1229">
        <v>0</v>
      </c>
      <c r="AX24" s="156">
        <f t="shared" si="13"/>
        <v>0</v>
      </c>
      <c r="AY24" s="1219"/>
      <c r="AZ24" s="156">
        <f t="shared" si="8"/>
        <v>0</v>
      </c>
      <c r="BA24" s="1219">
        <v>11129</v>
      </c>
      <c r="BB24" s="156">
        <f t="shared" si="9"/>
        <v>0.91169001392643567</v>
      </c>
      <c r="BC24" s="1219">
        <v>10850</v>
      </c>
      <c r="BD24" s="156">
        <f t="shared" si="10"/>
        <v>0.88883427541574511</v>
      </c>
      <c r="BE24" s="458">
        <v>9039</v>
      </c>
      <c r="BG24" s="458">
        <v>11360</v>
      </c>
      <c r="BI24" s="458">
        <v>10470</v>
      </c>
      <c r="BK24" s="458">
        <v>10259</v>
      </c>
      <c r="BM24" s="458">
        <v>313</v>
      </c>
    </row>
    <row r="25" spans="1:66" s="458" customFormat="1" ht="14.25" customHeight="1">
      <c r="A25" s="685"/>
      <c r="B25" s="681" t="s">
        <v>134</v>
      </c>
      <c r="C25" s="682" t="str">
        <f>E25</f>
        <v>{"username":"bern.sozialarbeiterin1a@diartis.ch","password":"SMze97-jkSJ59!F."}</v>
      </c>
      <c r="D25" s="546"/>
      <c r="E25" s="456" t="str">
        <f>F25&amp;G25&amp;H25&amp;I25&amp;J25&amp;K25&amp;L25&amp;M25&amp;N25&amp;O25&amp;P25&amp;Q25&amp;R25&amp;S25&amp;T25&amp;U25&amp;V25&amp;W25&amp;X25</f>
        <v>{"username":"bern.sozialarbeiterin1a@diartis.ch","password":"SMze97-jkSJ59!F."}</v>
      </c>
      <c r="F25" s="547" t="s">
        <v>29</v>
      </c>
      <c r="G25" s="546" t="s">
        <v>71</v>
      </c>
      <c r="H25" s="547" t="s">
        <v>31</v>
      </c>
      <c r="I25" s="546" t="s">
        <v>72</v>
      </c>
      <c r="J25" s="547" t="s">
        <v>37</v>
      </c>
      <c r="K25" s="555"/>
      <c r="L25" s="547"/>
      <c r="N25" s="547"/>
      <c r="P25" s="547"/>
      <c r="R25" s="547"/>
      <c r="T25" s="547"/>
      <c r="V25" s="547"/>
      <c r="Z25" s="456"/>
      <c r="AA25" s="456"/>
      <c r="AB25" s="456"/>
      <c r="AC25" s="456"/>
      <c r="AG25" s="458">
        <v>4010</v>
      </c>
      <c r="AH25" s="156">
        <f t="shared" si="2"/>
        <v>1</v>
      </c>
      <c r="AJ25" s="156">
        <f t="shared" si="3"/>
        <v>0</v>
      </c>
      <c r="AK25" s="458">
        <v>14086</v>
      </c>
      <c r="AL25" s="156">
        <f t="shared" si="3"/>
        <v>3.5127182044887779</v>
      </c>
      <c r="AM25" s="458">
        <v>12612</v>
      </c>
      <c r="AN25" s="156">
        <f t="shared" si="4"/>
        <v>3.1451371571072317</v>
      </c>
      <c r="AO25" s="458">
        <v>12407</v>
      </c>
      <c r="AP25" s="156">
        <f t="shared" si="5"/>
        <v>3.094014962593516</v>
      </c>
      <c r="AQ25" s="458">
        <v>12441</v>
      </c>
      <c r="AR25" s="156">
        <f t="shared" si="6"/>
        <v>3.102493765586035</v>
      </c>
      <c r="AS25" s="458">
        <v>11704</v>
      </c>
      <c r="AT25" s="156">
        <f t="shared" si="13"/>
        <v>2.9187032418952619</v>
      </c>
      <c r="AU25" s="1219"/>
      <c r="AV25" s="156">
        <f t="shared" si="13"/>
        <v>0</v>
      </c>
      <c r="AW25" s="1219">
        <v>577</v>
      </c>
      <c r="AX25" s="156">
        <f t="shared" si="13"/>
        <v>0.14389027431421447</v>
      </c>
      <c r="AY25" s="1219"/>
      <c r="AZ25" s="156">
        <f t="shared" si="8"/>
        <v>0</v>
      </c>
      <c r="BA25" s="1219">
        <v>11861</v>
      </c>
      <c r="BB25" s="156">
        <f t="shared" si="9"/>
        <v>2.9578553615960099</v>
      </c>
      <c r="BC25" s="1219">
        <v>11506</v>
      </c>
      <c r="BD25" s="156">
        <f t="shared" si="10"/>
        <v>2.8693266832917708</v>
      </c>
      <c r="BE25" s="458">
        <v>13848</v>
      </c>
      <c r="BG25" s="458">
        <v>12628</v>
      </c>
      <c r="BI25" s="458">
        <v>11561</v>
      </c>
      <c r="BK25" s="458">
        <v>11471</v>
      </c>
    </row>
    <row r="26" spans="1:66" s="458" customFormat="1" ht="14.25" customHeight="1">
      <c r="A26" s="685"/>
      <c r="B26" s="687" t="s">
        <v>197</v>
      </c>
      <c r="C26" s="682" t="str">
        <f ca="1">E26</f>
        <v>{"dossier":`SAR10_${p.AHVNumber5} 4-No19`,"buttonName":"Prüfung OK","checkStatus":"In Bearbeitung"}</v>
      </c>
      <c r="D26" s="546"/>
      <c r="E26" s="456" t="str">
        <f t="shared" ca="1" si="14"/>
        <v>{"dossier":`SAR10_${p.AHVNumber5} 4-No19`,"buttonName":"Prüfung OK","checkStatus":"In Bearbeitung"}</v>
      </c>
      <c r="F26" s="547" t="s">
        <v>348</v>
      </c>
      <c r="G26" s="557" t="str">
        <f ca="1">G21</f>
        <v>SAR10_${p.AHVNumber5} 4-No19</v>
      </c>
      <c r="H26" s="547" t="s">
        <v>476</v>
      </c>
      <c r="I26" s="458" t="s">
        <v>199</v>
      </c>
      <c r="J26" s="547" t="s">
        <v>132</v>
      </c>
      <c r="K26" s="458" t="s">
        <v>133</v>
      </c>
      <c r="L26" s="547" t="s">
        <v>37</v>
      </c>
      <c r="N26" s="547"/>
      <c r="P26" s="547"/>
      <c r="R26" s="547"/>
      <c r="T26" s="547"/>
      <c r="V26" s="547"/>
      <c r="Z26" s="456"/>
      <c r="AA26" s="456"/>
      <c r="AG26" s="458">
        <v>4009</v>
      </c>
      <c r="AH26" s="156">
        <f t="shared" si="2"/>
        <v>1</v>
      </c>
      <c r="AJ26" s="156">
        <f t="shared" si="3"/>
        <v>0</v>
      </c>
      <c r="AK26" s="458">
        <v>8402</v>
      </c>
      <c r="AL26" s="156">
        <f t="shared" si="3"/>
        <v>2.0957844849089549</v>
      </c>
      <c r="AM26" s="458">
        <v>8223</v>
      </c>
      <c r="AN26" s="156">
        <f t="shared" si="4"/>
        <v>2.0511349463706661</v>
      </c>
      <c r="AO26" s="458">
        <v>8325</v>
      </c>
      <c r="AP26" s="156">
        <f t="shared" si="5"/>
        <v>2.0765777001746071</v>
      </c>
      <c r="AQ26" s="458">
        <v>8293</v>
      </c>
      <c r="AR26" s="156">
        <f t="shared" si="6"/>
        <v>2.0685956597655277</v>
      </c>
      <c r="AS26" s="458">
        <v>8321</v>
      </c>
      <c r="AT26" s="156">
        <f t="shared" si="13"/>
        <v>2.0755799451234722</v>
      </c>
      <c r="AU26" s="1219"/>
      <c r="AV26" s="156">
        <f t="shared" si="13"/>
        <v>0</v>
      </c>
      <c r="AW26" s="1219"/>
      <c r="AX26" s="156">
        <f t="shared" si="13"/>
        <v>0</v>
      </c>
      <c r="AY26" s="1219"/>
      <c r="AZ26" s="156">
        <f t="shared" si="8"/>
        <v>0</v>
      </c>
      <c r="BA26" s="1219">
        <v>8588</v>
      </c>
      <c r="BB26" s="156">
        <f t="shared" si="9"/>
        <v>2.1421800947867298</v>
      </c>
      <c r="BC26" s="1219">
        <v>8261</v>
      </c>
      <c r="BD26" s="156">
        <f t="shared" si="10"/>
        <v>2.0606136193564479</v>
      </c>
      <c r="BE26" s="458">
        <v>37799</v>
      </c>
      <c r="BG26" s="458">
        <v>8273</v>
      </c>
      <c r="BI26" s="458">
        <v>8366</v>
      </c>
      <c r="BK26" s="458">
        <v>8415</v>
      </c>
    </row>
    <row r="27" spans="1:66" s="458" customFormat="1" ht="14.25" customHeight="1">
      <c r="A27" s="683"/>
      <c r="B27" s="681" t="s">
        <v>134</v>
      </c>
      <c r="C27" s="682" t="str">
        <f t="shared" si="11"/>
        <v>{"username":"aventis-gemeinde-ma@diartis.ch","password":"#xFymiADPk7wJG/FWMz"}</v>
      </c>
      <c r="D27" s="546"/>
      <c r="E27" s="456" t="str">
        <f t="shared" si="14"/>
        <v>{"username":"aventis-gemeinde-ma@diartis.ch","password":"#xFymiADPk7wJG/FWMz"}</v>
      </c>
      <c r="F27" s="547" t="s">
        <v>29</v>
      </c>
      <c r="G27" s="548" t="s">
        <v>195</v>
      </c>
      <c r="H27" s="547" t="s">
        <v>31</v>
      </c>
      <c r="I27" s="550" t="s">
        <v>196</v>
      </c>
      <c r="J27" s="547" t="s">
        <v>37</v>
      </c>
      <c r="K27" s="555"/>
      <c r="L27" s="547"/>
      <c r="N27" s="547"/>
      <c r="P27" s="547"/>
      <c r="R27" s="547"/>
      <c r="T27" s="547"/>
      <c r="V27" s="547"/>
      <c r="Z27" s="456"/>
      <c r="AA27" s="456"/>
      <c r="AG27" s="458">
        <v>8209</v>
      </c>
      <c r="AH27" s="156">
        <f t="shared" si="2"/>
        <v>1</v>
      </c>
      <c r="AJ27" s="156">
        <f t="shared" si="3"/>
        <v>0</v>
      </c>
      <c r="AK27" s="458">
        <v>9546</v>
      </c>
      <c r="AL27" s="156">
        <f t="shared" si="3"/>
        <v>1.1628700207089779</v>
      </c>
      <c r="AM27" s="458">
        <v>9476</v>
      </c>
      <c r="AN27" s="156">
        <f t="shared" si="4"/>
        <v>1.1543427944938482</v>
      </c>
      <c r="AO27" s="458">
        <v>9175</v>
      </c>
      <c r="AP27" s="156">
        <f t="shared" si="5"/>
        <v>1.1176757217687903</v>
      </c>
      <c r="AQ27" s="458">
        <v>9060</v>
      </c>
      <c r="AR27" s="156">
        <f t="shared" si="6"/>
        <v>1.1036667072725057</v>
      </c>
      <c r="AS27" s="458">
        <v>8796</v>
      </c>
      <c r="AT27" s="156">
        <f t="shared" si="13"/>
        <v>1.0715068826897307</v>
      </c>
      <c r="AU27" s="1219"/>
      <c r="AV27" s="156">
        <f t="shared" si="13"/>
        <v>0</v>
      </c>
      <c r="AW27" s="1219"/>
      <c r="AX27" s="156">
        <f t="shared" si="13"/>
        <v>0</v>
      </c>
      <c r="AY27" s="1219"/>
      <c r="AZ27" s="156">
        <f t="shared" si="8"/>
        <v>0</v>
      </c>
      <c r="BA27" s="1219">
        <v>9129</v>
      </c>
      <c r="BB27" s="156">
        <f t="shared" si="9"/>
        <v>1.1120721159702764</v>
      </c>
      <c r="BC27" s="1219">
        <v>9305</v>
      </c>
      <c r="BD27" s="156">
        <f t="shared" si="10"/>
        <v>1.1335119990254598</v>
      </c>
      <c r="BE27" s="458">
        <v>8363</v>
      </c>
      <c r="BG27" s="458">
        <v>6765</v>
      </c>
      <c r="BI27" s="458">
        <v>6727</v>
      </c>
      <c r="BK27" s="458">
        <v>6439</v>
      </c>
    </row>
    <row r="28" spans="1:66" s="458" customFormat="1" ht="14.25" customHeight="1">
      <c r="A28" s="683"/>
      <c r="B28" s="687" t="s">
        <v>197</v>
      </c>
      <c r="C28" s="682" t="str">
        <f t="shared" ca="1" si="11"/>
        <v>{"dossier":`SAR10_${p.AHVNumber5} 4-No19`,"buttonName":"Bewilligen","checkStatus":"Bewilligt"}</v>
      </c>
      <c r="D28" s="546"/>
      <c r="E28" s="456" t="str">
        <f t="shared" ca="1" si="14"/>
        <v>{"dossier":`SAR10_${p.AHVNumber5} 4-No19`,"buttonName":"Bewilligen","checkStatus":"Bewilligt"}</v>
      </c>
      <c r="F28" s="547" t="s">
        <v>348</v>
      </c>
      <c r="G28" s="557" t="str">
        <f ca="1">G26</f>
        <v>SAR10_${p.AHVNumber5} 4-No19</v>
      </c>
      <c r="H28" s="547" t="s">
        <v>476</v>
      </c>
      <c r="I28" s="458" t="s">
        <v>136</v>
      </c>
      <c r="J28" s="547" t="s">
        <v>132</v>
      </c>
      <c r="K28" s="547" t="s">
        <v>137</v>
      </c>
      <c r="L28" s="547" t="s">
        <v>37</v>
      </c>
      <c r="N28" s="547"/>
      <c r="P28" s="547"/>
      <c r="R28" s="547"/>
      <c r="T28" s="547"/>
      <c r="V28" s="547"/>
      <c r="Z28" s="456"/>
      <c r="AA28" s="456"/>
      <c r="AG28" s="458">
        <v>5007</v>
      </c>
      <c r="AH28" s="156">
        <f t="shared" si="2"/>
        <v>1</v>
      </c>
      <c r="AJ28" s="156">
        <f t="shared" si="3"/>
        <v>0</v>
      </c>
      <c r="AK28" s="458">
        <v>10071</v>
      </c>
      <c r="AL28" s="156">
        <f t="shared" si="3"/>
        <v>2.0113840623127621</v>
      </c>
      <c r="AM28" s="458">
        <v>10768</v>
      </c>
      <c r="AN28" s="156">
        <f t="shared" si="4"/>
        <v>2.1505891751547832</v>
      </c>
      <c r="AO28" s="458">
        <v>10698</v>
      </c>
      <c r="AP28" s="156">
        <f t="shared" si="5"/>
        <v>2.1366087477531455</v>
      </c>
      <c r="AQ28" s="458">
        <v>10676</v>
      </c>
      <c r="AR28" s="156">
        <f t="shared" si="6"/>
        <v>2.1322148991412022</v>
      </c>
      <c r="AS28" s="458">
        <v>10884</v>
      </c>
      <c r="AT28" s="156">
        <f t="shared" si="13"/>
        <v>2.1737567405632117</v>
      </c>
      <c r="AU28" s="1219"/>
      <c r="AV28" s="156">
        <f t="shared" si="13"/>
        <v>0</v>
      </c>
      <c r="AW28" s="1219"/>
      <c r="AX28" s="156">
        <f t="shared" si="13"/>
        <v>0</v>
      </c>
      <c r="AY28" s="1219"/>
      <c r="AZ28" s="156">
        <f t="shared" si="8"/>
        <v>0</v>
      </c>
      <c r="BA28" s="1219">
        <v>10787</v>
      </c>
      <c r="BB28" s="156">
        <f t="shared" si="9"/>
        <v>2.1543838625923706</v>
      </c>
      <c r="BC28" s="1219">
        <v>10668</v>
      </c>
      <c r="BD28" s="156">
        <f t="shared" si="10"/>
        <v>2.1306171360095867</v>
      </c>
      <c r="BE28" s="458">
        <v>9667</v>
      </c>
      <c r="BG28" s="458">
        <v>10651</v>
      </c>
      <c r="BI28" s="458">
        <v>9638</v>
      </c>
      <c r="BK28" s="458">
        <v>10413</v>
      </c>
    </row>
    <row r="29" spans="1:66" s="458" customFormat="1" ht="14.25" customHeight="1">
      <c r="A29" s="685"/>
      <c r="B29" s="681" t="s">
        <v>134</v>
      </c>
      <c r="C29" s="682" t="str">
        <f>E29</f>
        <v>{"username":"bern.sozialarbeiterin1a@diartis.ch","password":"SMze97-jkSJ59!F."}</v>
      </c>
      <c r="D29" s="546"/>
      <c r="E29" s="456" t="str">
        <f t="shared" si="14"/>
        <v>{"username":"bern.sozialarbeiterin1a@diartis.ch","password":"SMze97-jkSJ59!F."}</v>
      </c>
      <c r="F29" s="547" t="s">
        <v>29</v>
      </c>
      <c r="G29" s="546" t="s">
        <v>71</v>
      </c>
      <c r="H29" s="547" t="s">
        <v>31</v>
      </c>
      <c r="I29" s="546" t="s">
        <v>72</v>
      </c>
      <c r="J29" s="547" t="s">
        <v>37</v>
      </c>
      <c r="K29" s="555"/>
      <c r="L29" s="547"/>
      <c r="N29" s="547"/>
      <c r="P29" s="547"/>
      <c r="R29" s="547"/>
      <c r="T29" s="547"/>
      <c r="V29" s="547"/>
      <c r="Z29" s="456"/>
      <c r="AA29" s="456"/>
      <c r="AB29" s="456"/>
      <c r="AC29" s="456"/>
      <c r="AG29" s="458">
        <v>8422</v>
      </c>
      <c r="AH29" s="156">
        <f t="shared" si="2"/>
        <v>1</v>
      </c>
      <c r="AJ29" s="156">
        <f t="shared" si="3"/>
        <v>0</v>
      </c>
      <c r="AK29" s="458">
        <v>9171</v>
      </c>
      <c r="AL29" s="156">
        <f t="shared" si="3"/>
        <v>1.0889337449536927</v>
      </c>
      <c r="AM29" s="458">
        <v>9494</v>
      </c>
      <c r="AN29" s="156">
        <f t="shared" si="4"/>
        <v>1.1272856803609594</v>
      </c>
      <c r="AO29" s="458">
        <v>9669</v>
      </c>
      <c r="AP29" s="156">
        <f t="shared" si="5"/>
        <v>1.1480645927333175</v>
      </c>
      <c r="AQ29" s="458">
        <v>9423</v>
      </c>
      <c r="AR29" s="156">
        <f t="shared" si="6"/>
        <v>1.1188553787698885</v>
      </c>
      <c r="AS29" s="458">
        <v>9573</v>
      </c>
      <c r="AT29" s="156">
        <f t="shared" si="13"/>
        <v>1.1366658750890526</v>
      </c>
      <c r="AU29" s="1219"/>
      <c r="AV29" s="156">
        <f t="shared" si="13"/>
        <v>0</v>
      </c>
      <c r="AW29" s="1219"/>
      <c r="AX29" s="156">
        <f t="shared" si="13"/>
        <v>0</v>
      </c>
      <c r="AY29" s="1219"/>
      <c r="AZ29" s="156">
        <f t="shared" si="8"/>
        <v>0</v>
      </c>
      <c r="BA29" s="1219">
        <v>8964</v>
      </c>
      <c r="BB29" s="156">
        <f t="shared" si="9"/>
        <v>1.0643552600332462</v>
      </c>
      <c r="BC29" s="1219">
        <v>9008</v>
      </c>
      <c r="BD29" s="156">
        <f t="shared" si="10"/>
        <v>1.0695796722868678</v>
      </c>
      <c r="BE29" s="458">
        <v>8787</v>
      </c>
      <c r="BG29" s="458">
        <v>6270</v>
      </c>
      <c r="BI29" s="458">
        <v>6065</v>
      </c>
      <c r="BK29" s="458">
        <v>6310</v>
      </c>
    </row>
    <row r="30" spans="1:66" s="458" customFormat="1" ht="14.25" customHeight="1">
      <c r="A30" s="683"/>
      <c r="B30" s="681" t="s">
        <v>139</v>
      </c>
      <c r="C30" s="684" t="str">
        <f t="shared" ref="C30" ca="1" si="15">E30</f>
        <v>{"searchDossierOrKlient":`SAR10_${p.AHVNumber5} 4-No19`,"resultType":"Dossiers"}</v>
      </c>
      <c r="D30" s="546"/>
      <c r="E30" s="456" t="str">
        <f t="shared" ca="1" si="14"/>
        <v>{"searchDossierOrKlient":`SAR10_${p.AHVNumber5} 4-No19`,"resultType":"Dossiers"}</v>
      </c>
      <c r="F30" s="547" t="s">
        <v>407</v>
      </c>
      <c r="G30" s="458" t="str">
        <f ca="1">G28</f>
        <v>SAR10_${p.AHVNumber5} 4-No19</v>
      </c>
      <c r="H30" s="547" t="s">
        <v>408</v>
      </c>
      <c r="I30" s="458" t="s">
        <v>142</v>
      </c>
      <c r="J30" s="547" t="s">
        <v>37</v>
      </c>
      <c r="L30" s="547"/>
      <c r="N30" s="547"/>
      <c r="P30" s="547"/>
      <c r="R30" s="547"/>
      <c r="T30" s="547"/>
      <c r="V30" s="547"/>
      <c r="Z30" s="456"/>
      <c r="AA30" s="456"/>
      <c r="AB30" s="456"/>
      <c r="AC30" s="456"/>
      <c r="AG30" s="458">
        <v>10993</v>
      </c>
      <c r="AH30" s="156">
        <f t="shared" si="2"/>
        <v>1</v>
      </c>
      <c r="AJ30" s="156">
        <f t="shared" si="3"/>
        <v>0</v>
      </c>
      <c r="AK30" s="458">
        <v>10411</v>
      </c>
      <c r="AL30" s="156">
        <f t="shared" si="3"/>
        <v>0.94705721822978262</v>
      </c>
      <c r="AM30" s="458">
        <v>10367</v>
      </c>
      <c r="AN30" s="156">
        <f t="shared" si="4"/>
        <v>0.94305467115437092</v>
      </c>
      <c r="AO30" s="458">
        <v>10852</v>
      </c>
      <c r="AP30" s="156">
        <f t="shared" si="5"/>
        <v>0.98717365596288542</v>
      </c>
      <c r="AQ30" s="458">
        <v>10552</v>
      </c>
      <c r="AR30" s="156">
        <f t="shared" si="6"/>
        <v>0.95988356226689708</v>
      </c>
      <c r="AS30" s="458">
        <v>10594</v>
      </c>
      <c r="AT30" s="156">
        <f t="shared" si="13"/>
        <v>0.9637041753843355</v>
      </c>
      <c r="AU30" s="1219"/>
      <c r="AV30" s="156">
        <f t="shared" si="13"/>
        <v>0</v>
      </c>
      <c r="AW30" s="1219"/>
      <c r="AX30" s="156">
        <f t="shared" si="13"/>
        <v>0</v>
      </c>
      <c r="AY30" s="1219"/>
      <c r="AZ30" s="156">
        <f t="shared" si="8"/>
        <v>0</v>
      </c>
      <c r="BA30" s="1219">
        <v>10983</v>
      </c>
      <c r="BB30" s="156">
        <f t="shared" si="9"/>
        <v>0.99909033021013371</v>
      </c>
      <c r="BC30" s="1219">
        <v>10797</v>
      </c>
      <c r="BD30" s="156">
        <f t="shared" si="10"/>
        <v>0.98217047211862096</v>
      </c>
      <c r="BE30" s="458">
        <v>10445</v>
      </c>
      <c r="BG30" s="458">
        <v>11168</v>
      </c>
      <c r="BI30" s="458">
        <v>9969</v>
      </c>
      <c r="BK30" s="458">
        <v>10828</v>
      </c>
    </row>
    <row r="31" spans="1:66" s="458" customFormat="1" ht="14.25" customHeight="1">
      <c r="A31" s="688"/>
      <c r="B31" s="681" t="s">
        <v>200</v>
      </c>
      <c r="C31" s="679" t="str">
        <f ca="1">E31</f>
        <v xml:space="preserve">{"verwendungPeriode":"November 2025,Dezember 2025,Januar 2026,Februar 2026,März 2026,April 2026,Mai 2026","status":"Zu bezahlen"}																				
</v>
      </c>
      <c r="D31" s="546"/>
      <c r="E31" s="456" t="str">
        <f t="shared" ca="1" si="14"/>
        <v xml:space="preserve">{"verwendungPeriode":"November 2025,Dezember 2025,Januar 2026,Februar 2026,März 2026,April 2026,Mai 2026","status":"Zu bezahlen"}																				
</v>
      </c>
      <c r="F31" s="547" t="s">
        <v>201</v>
      </c>
      <c r="G31" s="458" t="str">
        <f ca="1">D56&amp;","&amp;D57&amp;","&amp;D58&amp;","&amp;D59&amp;","&amp;D60&amp;","&amp;D61&amp;","&amp;D62</f>
        <v>November 2025,Dezember 2025,Januar 2026,Februar 2026,März 2026,April 2026,Mai 2026</v>
      </c>
      <c r="H31" s="547"/>
      <c r="I31" s="554"/>
      <c r="J31" s="547" t="s">
        <v>202</v>
      </c>
      <c r="K31" s="555" t="s">
        <v>203</v>
      </c>
      <c r="L31" s="563" t="s">
        <v>204</v>
      </c>
      <c r="N31" s="547"/>
      <c r="O31" s="547"/>
      <c r="Z31" s="456"/>
      <c r="AA31" s="456"/>
      <c r="AG31" s="458">
        <v>6062</v>
      </c>
      <c r="AH31" s="156">
        <f t="shared" si="2"/>
        <v>1</v>
      </c>
      <c r="AJ31" s="156">
        <f t="shared" si="3"/>
        <v>0</v>
      </c>
      <c r="AK31" s="458">
        <v>6156</v>
      </c>
      <c r="AL31" s="156">
        <f t="shared" si="3"/>
        <v>1.0155064335202904</v>
      </c>
      <c r="AM31" s="458">
        <v>6132</v>
      </c>
      <c r="AN31" s="156">
        <f t="shared" si="4"/>
        <v>1.0115473441108545</v>
      </c>
      <c r="AO31" s="458">
        <v>6104</v>
      </c>
      <c r="AP31" s="156">
        <f t="shared" si="5"/>
        <v>1.0069284064665127</v>
      </c>
      <c r="AQ31" s="458">
        <v>6226</v>
      </c>
      <c r="AR31" s="156">
        <f t="shared" si="6"/>
        <v>1.0270537776311448</v>
      </c>
      <c r="AS31" s="458">
        <v>6026</v>
      </c>
      <c r="AT31" s="156">
        <f t="shared" si="13"/>
        <v>0.99406136588584626</v>
      </c>
      <c r="AU31" s="1219"/>
      <c r="AV31" s="156">
        <f t="shared" si="13"/>
        <v>0</v>
      </c>
      <c r="AW31" s="1219"/>
      <c r="AX31" s="156">
        <f t="shared" si="13"/>
        <v>0</v>
      </c>
      <c r="AY31" s="1219"/>
      <c r="AZ31" s="156">
        <f t="shared" si="8"/>
        <v>0</v>
      </c>
      <c r="BA31" s="1219">
        <v>6014</v>
      </c>
      <c r="BB31" s="156">
        <f t="shared" si="9"/>
        <v>0.99208182118112831</v>
      </c>
      <c r="BC31" s="1219">
        <v>5940</v>
      </c>
      <c r="BD31" s="156">
        <f t="shared" si="10"/>
        <v>0.97987462883536791</v>
      </c>
      <c r="BE31" s="458">
        <v>5841</v>
      </c>
      <c r="BG31" s="458">
        <v>2733</v>
      </c>
      <c r="BI31" s="458">
        <v>2879</v>
      </c>
      <c r="BK31" s="458">
        <v>3400</v>
      </c>
    </row>
    <row r="32" spans="1:66" s="564" customFormat="1" ht="17.25" customHeight="1">
      <c r="A32" s="683"/>
      <c r="B32" s="689" t="s">
        <v>217</v>
      </c>
      <c r="C32" s="690" t="str">
        <f ca="1">E32</f>
        <v>{"dossierInstitution":`SAR10_${p.AHVNumber5} 4-No19`,"freigegebeneZahlungen":""}</v>
      </c>
      <c r="E32" s="546" t="str">
        <f t="shared" ca="1" si="14"/>
        <v>{"dossierInstitution":`SAR10_${p.AHVNumber5} 4-No19`,"freigegebeneZahlungen":""}</v>
      </c>
      <c r="F32" s="565" t="s">
        <v>335</v>
      </c>
      <c r="G32" s="566" t="str">
        <f ca="1">G30</f>
        <v>SAR10_${p.AHVNumber5} 4-No19</v>
      </c>
      <c r="H32" s="567" t="s">
        <v>479</v>
      </c>
      <c r="I32" s="568"/>
      <c r="J32" s="567" t="s">
        <v>37</v>
      </c>
      <c r="L32" s="567"/>
      <c r="N32" s="567"/>
      <c r="P32" s="567"/>
      <c r="R32" s="567"/>
      <c r="T32" s="567"/>
      <c r="V32" s="567"/>
      <c r="Z32" s="546"/>
      <c r="AA32" s="546"/>
      <c r="AG32" s="546">
        <v>6113</v>
      </c>
      <c r="AH32" s="156">
        <f t="shared" si="2"/>
        <v>1</v>
      </c>
      <c r="AJ32" s="156">
        <f t="shared" si="3"/>
        <v>0</v>
      </c>
      <c r="AK32" s="564">
        <v>5970</v>
      </c>
      <c r="AL32" s="156">
        <f t="shared" si="3"/>
        <v>0.97660723049239329</v>
      </c>
      <c r="AM32" s="564">
        <v>6480</v>
      </c>
      <c r="AN32" s="156">
        <f t="shared" si="4"/>
        <v>1.0600359888761655</v>
      </c>
      <c r="AO32" s="564">
        <v>6218</v>
      </c>
      <c r="AP32" s="156">
        <f t="shared" si="5"/>
        <v>1.0171765090790119</v>
      </c>
      <c r="AQ32" s="564">
        <v>5629</v>
      </c>
      <c r="AR32" s="156">
        <f t="shared" si="6"/>
        <v>0.92082447243579257</v>
      </c>
      <c r="AS32" s="564">
        <v>5381</v>
      </c>
      <c r="AT32" s="156">
        <f t="shared" si="13"/>
        <v>0.88025519384917394</v>
      </c>
      <c r="AU32" s="1221"/>
      <c r="AV32" s="156">
        <f t="shared" si="13"/>
        <v>0</v>
      </c>
      <c r="AW32" s="1221"/>
      <c r="AX32" s="156">
        <f t="shared" si="13"/>
        <v>0</v>
      </c>
      <c r="AY32" s="1221"/>
      <c r="AZ32" s="156">
        <f t="shared" si="8"/>
        <v>0</v>
      </c>
      <c r="BA32" s="1221">
        <v>5425</v>
      </c>
      <c r="BB32" s="156">
        <f t="shared" si="9"/>
        <v>0.88745296908228366</v>
      </c>
      <c r="BC32" s="1221">
        <v>5058</v>
      </c>
      <c r="BD32" s="156">
        <f t="shared" si="10"/>
        <v>0.82741698020611809</v>
      </c>
      <c r="BE32" s="564">
        <v>5417</v>
      </c>
      <c r="BG32" s="564">
        <v>6496</v>
      </c>
      <c r="BI32" s="564">
        <v>6024</v>
      </c>
      <c r="BK32" s="564">
        <v>5979</v>
      </c>
    </row>
    <row r="33" spans="1:88" s="570" customFormat="1" ht="17.25" customHeight="1">
      <c r="A33" s="688"/>
      <c r="B33" s="691" t="s">
        <v>221</v>
      </c>
      <c r="C33" s="690" t="str">
        <f ca="1">E33</f>
        <v>{"bisValutaDatum":"31.12.2026","dossier":`SAR10_${p.AHVNumber5} 4-No19`,"checkZahlungTotal":"","buchhaltung":"Regionaler Sozialdienst","zustGemeinde":""}</v>
      </c>
      <c r="D33" s="564"/>
      <c r="E33" s="546" t="str">
        <f t="shared" ca="1" si="14"/>
        <v>{"bisValutaDatum":"31.12.2026","dossier":`SAR10_${p.AHVNumber5} 4-No19`,"checkZahlungTotal":"","buchhaltung":"Regionaler Sozialdienst","zustGemeinde":""}</v>
      </c>
      <c r="F33" s="567" t="s">
        <v>222</v>
      </c>
      <c r="G33" s="564" t="str">
        <f ca="1">"31.12."&amp;YEAR(TODAY())+1</f>
        <v>31.12.2026</v>
      </c>
      <c r="H33" s="567" t="s">
        <v>480</v>
      </c>
      <c r="I33" s="566" t="str">
        <f ca="1">G30</f>
        <v>SAR10_${p.AHVNumber5} 4-No19</v>
      </c>
      <c r="J33" s="567" t="s">
        <v>481</v>
      </c>
      <c r="K33" s="569"/>
      <c r="L33" s="567" t="s">
        <v>482</v>
      </c>
      <c r="M33" s="564" t="s">
        <v>483</v>
      </c>
      <c r="N33" s="567" t="s">
        <v>484</v>
      </c>
      <c r="O33" s="564"/>
      <c r="P33" s="567" t="s">
        <v>37</v>
      </c>
      <c r="Q33" s="564"/>
      <c r="R33" s="567"/>
      <c r="S33" s="564"/>
      <c r="T33" s="567"/>
      <c r="U33" s="564"/>
      <c r="V33" s="567"/>
      <c r="W33" s="564"/>
      <c r="X33" s="564"/>
      <c r="AG33" s="570">
        <v>7943</v>
      </c>
      <c r="AH33" s="156">
        <f t="shared" si="2"/>
        <v>1</v>
      </c>
      <c r="AJ33" s="156">
        <f t="shared" si="3"/>
        <v>0</v>
      </c>
      <c r="AK33" s="570">
        <v>8024</v>
      </c>
      <c r="AL33" s="156">
        <f t="shared" si="3"/>
        <v>1.0101976583154979</v>
      </c>
      <c r="AM33" s="570">
        <v>8008</v>
      </c>
      <c r="AN33" s="156">
        <f t="shared" si="4"/>
        <v>1.0081833060556464</v>
      </c>
      <c r="AO33" s="570">
        <v>7941</v>
      </c>
      <c r="AP33" s="156">
        <f t="shared" si="5"/>
        <v>0.99974820596751857</v>
      </c>
      <c r="AQ33" s="570">
        <v>7999</v>
      </c>
      <c r="AR33" s="156">
        <f t="shared" si="6"/>
        <v>1.0070502329094801</v>
      </c>
      <c r="AS33" s="570">
        <v>7624</v>
      </c>
      <c r="AT33" s="156">
        <f t="shared" si="13"/>
        <v>0.95983885181921191</v>
      </c>
      <c r="AU33" s="1222"/>
      <c r="AV33" s="156">
        <f t="shared" si="13"/>
        <v>0</v>
      </c>
      <c r="AW33" s="1222"/>
      <c r="AX33" s="156">
        <f t="shared" si="13"/>
        <v>0</v>
      </c>
      <c r="AY33" s="1222"/>
      <c r="AZ33" s="156">
        <f t="shared" si="8"/>
        <v>0</v>
      </c>
      <c r="BA33" s="1222">
        <v>7889</v>
      </c>
      <c r="BB33" s="156">
        <f t="shared" si="9"/>
        <v>0.9932015611230014</v>
      </c>
      <c r="BC33" s="1222">
        <v>7704</v>
      </c>
      <c r="BD33" s="156">
        <f t="shared" si="10"/>
        <v>0.96991061311846904</v>
      </c>
      <c r="BE33" s="570">
        <v>7879</v>
      </c>
      <c r="BG33" s="570">
        <v>4932</v>
      </c>
      <c r="BI33" s="570">
        <v>4979</v>
      </c>
      <c r="BK33" s="570">
        <v>4982</v>
      </c>
    </row>
    <row r="34" spans="1:88" s="458" customFormat="1" ht="14.25" customHeight="1" thickBot="1">
      <c r="A34" s="1235">
        <v>24</v>
      </c>
      <c r="B34" s="1236" t="s">
        <v>139</v>
      </c>
      <c r="C34" s="1237" t="str">
        <f t="shared" ref="C34" ca="1" si="16">E34</f>
        <v>{"searchDossierOrKlient":`SAR10_${p.AHVNumber5}_4-No17`,"resultType":"Dossiers"}</v>
      </c>
      <c r="D34" s="546"/>
      <c r="E34" s="456" t="str">
        <f t="shared" ca="1" si="14"/>
        <v>{"searchDossierOrKlient":`SAR10_${p.AHVNumber5}_4-No17`,"resultType":"Dossiers"}</v>
      </c>
      <c r="F34" s="547" t="s">
        <v>407</v>
      </c>
      <c r="G34" s="458" t="str">
        <f ca="1">AW01a!G34</f>
        <v>SAR10_${p.AHVNumber5}_4-No17</v>
      </c>
      <c r="H34" s="547" t="s">
        <v>408</v>
      </c>
      <c r="I34" s="458" t="s">
        <v>142</v>
      </c>
      <c r="J34" s="547" t="s">
        <v>37</v>
      </c>
      <c r="L34" s="547"/>
      <c r="N34" s="547"/>
      <c r="P34" s="547"/>
      <c r="R34" s="547"/>
      <c r="T34" s="547"/>
      <c r="V34" s="547"/>
      <c r="Z34" s="456"/>
      <c r="AA34" s="456"/>
      <c r="AB34" s="456"/>
      <c r="AC34" s="456"/>
      <c r="AG34" s="458">
        <v>10993</v>
      </c>
      <c r="AH34" s="156">
        <f t="shared" si="2"/>
        <v>1</v>
      </c>
      <c r="AJ34" s="156">
        <f t="shared" si="3"/>
        <v>0</v>
      </c>
      <c r="AK34" s="458">
        <v>10411</v>
      </c>
      <c r="AL34" s="156">
        <f t="shared" si="3"/>
        <v>0.94705721822978262</v>
      </c>
      <c r="AM34" s="458">
        <v>10367</v>
      </c>
      <c r="AN34" s="156">
        <f t="shared" si="4"/>
        <v>0.94305467115437092</v>
      </c>
      <c r="AO34" s="458">
        <v>10852</v>
      </c>
      <c r="AP34" s="156">
        <f t="shared" si="5"/>
        <v>0.98717365596288542</v>
      </c>
      <c r="AQ34" s="458">
        <v>10552</v>
      </c>
      <c r="AR34" s="156">
        <f t="shared" si="6"/>
        <v>0.95988356226689708</v>
      </c>
      <c r="AS34" s="458">
        <v>10594</v>
      </c>
      <c r="AT34" s="156">
        <f t="shared" si="13"/>
        <v>0.9637041753843355</v>
      </c>
      <c r="AU34" s="1219"/>
      <c r="AV34" s="156">
        <f t="shared" si="13"/>
        <v>0</v>
      </c>
      <c r="AW34" s="1219"/>
      <c r="AX34" s="156">
        <f t="shared" si="13"/>
        <v>0</v>
      </c>
      <c r="AY34" s="1219"/>
      <c r="AZ34" s="156">
        <f t="shared" si="8"/>
        <v>0</v>
      </c>
      <c r="BA34" s="1219">
        <v>10983</v>
      </c>
      <c r="BB34" s="156">
        <f t="shared" si="9"/>
        <v>0.99909033021013371</v>
      </c>
      <c r="BC34" s="1219">
        <v>6590</v>
      </c>
      <c r="BD34" s="156">
        <f t="shared" si="10"/>
        <v>0.59947239152187759</v>
      </c>
      <c r="BE34" s="458">
        <v>6069</v>
      </c>
      <c r="BG34" s="458">
        <v>7469</v>
      </c>
      <c r="BI34" s="458">
        <v>7616</v>
      </c>
      <c r="BK34" s="458">
        <v>7439</v>
      </c>
      <c r="BO34" s="458">
        <v>5443</v>
      </c>
      <c r="BQ34" s="458">
        <v>5412</v>
      </c>
      <c r="BS34" s="458">
        <v>5390</v>
      </c>
      <c r="BU34" s="458">
        <v>4970</v>
      </c>
      <c r="BW34" s="458">
        <v>4576</v>
      </c>
      <c r="BY34" s="458">
        <v>4478</v>
      </c>
      <c r="CA34" s="458">
        <v>4525</v>
      </c>
      <c r="CC34" s="458">
        <v>4857</v>
      </c>
      <c r="CE34" s="458">
        <v>4463</v>
      </c>
      <c r="CG34" s="458">
        <v>5701</v>
      </c>
      <c r="CI34" s="458">
        <v>4572</v>
      </c>
      <c r="CJ34" s="458" t="s">
        <v>1718</v>
      </c>
    </row>
    <row r="35" spans="1:88" s="472" customFormat="1" ht="90" customHeight="1" thickBot="1">
      <c r="A35" s="464">
        <v>25</v>
      </c>
      <c r="B35" s="571" t="s">
        <v>1293</v>
      </c>
      <c r="C35" s="463" t="str">
        <f ca="1">E35</f>
        <v>{"dossier":`SAR10_${p.AHVNumber5}_4-No17`,"zeitRaumVon":"07.12.2024","zeitRaumBis":"04.11.2025","zeitRaum":"","Buchungsdatum":"","bezAnInstPerson":"Person","zahlEmpfaenger":`${p.FamilyName18}, ${p.ManFirstName18}`,"option":"Keine Details","totalAusgaben":997,"totalEinahmen":0,"kontoauszugHerunterladenX":"x","downLoadName":"Kontoauszug(1)"}</v>
      </c>
      <c r="D35" s="465"/>
      <c r="E35" s="456" t="str">
        <f ca="1">F35&amp;G35&amp;H35&amp;I35&amp;J35&amp;K35&amp;L35&amp;M35&amp;N35&amp;O35&amp;P35&amp;Q35&amp;R35&amp;S35&amp;T35&amp;U35&amp;V35&amp;W35&amp;X35&amp;Y35&amp;Z35&amp;AA35&amp;AB35</f>
        <v>{"dossier":`SAR10_${p.AHVNumber5}_4-No17`,"zeitRaumVon":"07.12.2024","zeitRaumBis":"04.11.2025","zeitRaum":"","Buchungsdatum":"","bezAnInstPerson":"Person","zahlEmpfaenger":`${p.FamilyName18}, ${p.ManFirstName18}`,"option":"Keine Details","totalAusgaben":997,"totalEinahmen":0,"kontoauszugHerunterladenX":"x","downLoadName":"Kontoauszug(1)"}</v>
      </c>
      <c r="F35" s="467" t="s">
        <v>348</v>
      </c>
      <c r="G35" s="466" t="str">
        <f ca="1">AW01a!G11</f>
        <v>SAR10_${p.AHVNumber5}_4-No17</v>
      </c>
      <c r="H35" s="467" t="s">
        <v>1452</v>
      </c>
      <c r="I35" s="468" t="s">
        <v>1294</v>
      </c>
      <c r="J35" s="469" t="s">
        <v>589</v>
      </c>
      <c r="K35" s="470" t="str">
        <f ca="1">TEXT(TODAY(),"DD.MM.YYYY")</f>
        <v>04.11.2025</v>
      </c>
      <c r="L35" s="469" t="s">
        <v>590</v>
      </c>
      <c r="M35" s="471" t="s">
        <v>1295</v>
      </c>
      <c r="N35" s="469" t="s">
        <v>1296</v>
      </c>
      <c r="O35" s="472" t="s">
        <v>593</v>
      </c>
      <c r="P35" s="469" t="s">
        <v>1297</v>
      </c>
      <c r="Q35" s="472" t="str">
        <f ca="1">AW01a!I14</f>
        <v>${p.FamilyName18}, ${p.ManFirstName18}</v>
      </c>
      <c r="R35" s="469" t="s">
        <v>1298</v>
      </c>
      <c r="S35" s="472" t="s">
        <v>596</v>
      </c>
      <c r="T35" s="469" t="s">
        <v>599</v>
      </c>
      <c r="U35" s="472">
        <v>997</v>
      </c>
      <c r="V35" s="469" t="s">
        <v>600</v>
      </c>
      <c r="W35" s="472">
        <v>0</v>
      </c>
      <c r="X35" s="469" t="s">
        <v>601</v>
      </c>
      <c r="Y35" s="472" t="s">
        <v>170</v>
      </c>
      <c r="Z35" s="472" t="s">
        <v>1299</v>
      </c>
      <c r="AA35" s="472" t="s">
        <v>1300</v>
      </c>
      <c r="AB35" s="466" t="s">
        <v>37</v>
      </c>
      <c r="AG35" s="472">
        <v>7199</v>
      </c>
      <c r="AH35" s="156">
        <f t="shared" si="2"/>
        <v>1</v>
      </c>
      <c r="AJ35" s="156">
        <f t="shared" si="3"/>
        <v>0</v>
      </c>
      <c r="AK35" s="472">
        <v>7543</v>
      </c>
      <c r="AL35" s="156">
        <f t="shared" si="3"/>
        <v>1.0477844145020141</v>
      </c>
      <c r="AM35" s="472">
        <v>7108</v>
      </c>
      <c r="AN35" s="156">
        <f t="shared" si="4"/>
        <v>0.98735935546603693</v>
      </c>
      <c r="AO35" s="472">
        <v>7693</v>
      </c>
      <c r="AP35" s="156">
        <f t="shared" si="5"/>
        <v>1.0686206417557995</v>
      </c>
      <c r="AQ35" s="472">
        <v>7845</v>
      </c>
      <c r="AR35" s="156">
        <f t="shared" si="6"/>
        <v>1.0897346853729684</v>
      </c>
      <c r="AS35" s="472">
        <v>6463</v>
      </c>
      <c r="AT35" s="156">
        <f t="shared" ref="AT35:AX35" si="17">AS35/($AG35)</f>
        <v>0.89776357827476039</v>
      </c>
      <c r="AU35" s="1223"/>
      <c r="AV35" s="156">
        <f t="shared" si="17"/>
        <v>0</v>
      </c>
      <c r="AW35" s="1223"/>
      <c r="AX35" s="156">
        <f t="shared" si="17"/>
        <v>0</v>
      </c>
      <c r="AY35" s="1223"/>
      <c r="AZ35" s="156">
        <f t="shared" si="8"/>
        <v>0</v>
      </c>
      <c r="BA35" s="1223">
        <v>7456</v>
      </c>
      <c r="BB35" s="156">
        <f t="shared" si="9"/>
        <v>1.0356994026948187</v>
      </c>
      <c r="BC35" s="1223">
        <v>8583</v>
      </c>
      <c r="BD35" s="156">
        <f t="shared" si="10"/>
        <v>1.1922489234615918</v>
      </c>
      <c r="BE35" s="472">
        <f>SUM(BE2:BE34)</f>
        <v>194663</v>
      </c>
      <c r="BG35" s="472">
        <v>3537</v>
      </c>
      <c r="BI35" s="472">
        <v>3479</v>
      </c>
      <c r="BK35" s="472">
        <v>3837</v>
      </c>
      <c r="BU35" s="472">
        <v>8632</v>
      </c>
      <c r="CG35" s="472">
        <v>6356</v>
      </c>
      <c r="CI35" s="472">
        <v>6074</v>
      </c>
      <c r="CJ35" s="472" t="s">
        <v>1718</v>
      </c>
    </row>
    <row r="36" spans="1:88" s="477" customFormat="1" ht="14.25" customHeight="1">
      <c r="A36" s="473"/>
      <c r="B36" s="474" t="s">
        <v>235</v>
      </c>
      <c r="C36" s="461" t="s">
        <v>486</v>
      </c>
      <c r="D36" s="475">
        <v>60000</v>
      </c>
      <c r="E36" s="461"/>
      <c r="F36" s="476"/>
      <c r="H36" s="476"/>
      <c r="J36" s="476"/>
      <c r="L36" s="476"/>
      <c r="N36" s="476"/>
      <c r="P36" s="476"/>
      <c r="R36" s="476"/>
      <c r="T36" s="476"/>
      <c r="V36" s="476"/>
      <c r="AH36" s="12"/>
      <c r="AJ36" s="12"/>
      <c r="AL36" s="12"/>
      <c r="AN36" s="12"/>
      <c r="AP36" s="12"/>
      <c r="AR36" s="12"/>
      <c r="AT36" s="12"/>
      <c r="AU36" s="1224"/>
      <c r="AV36" s="12"/>
      <c r="AW36" s="1224"/>
      <c r="AX36" s="12"/>
      <c r="AY36" s="1224"/>
      <c r="AZ36" s="12"/>
      <c r="BA36" s="1224"/>
      <c r="BB36" s="12"/>
      <c r="BC36" s="1224"/>
      <c r="BD36" s="12"/>
    </row>
    <row r="37" spans="1:88" s="477" customFormat="1" ht="14.25" customHeight="1">
      <c r="A37" s="473"/>
      <c r="B37" s="460" t="s">
        <v>487</v>
      </c>
      <c r="C37" s="461"/>
      <c r="D37" s="477">
        <v>60000</v>
      </c>
      <c r="E37" s="461"/>
      <c r="F37" s="476"/>
      <c r="H37" s="476"/>
      <c r="J37" s="476"/>
      <c r="L37" s="476"/>
      <c r="N37" s="476"/>
      <c r="P37" s="476"/>
      <c r="R37" s="476"/>
      <c r="T37" s="476"/>
      <c r="V37" s="476"/>
      <c r="AH37" s="12"/>
      <c r="AJ37" s="12"/>
      <c r="AL37" s="12"/>
      <c r="AN37" s="12"/>
      <c r="AP37" s="12"/>
      <c r="AR37" s="12"/>
      <c r="AT37" s="12"/>
      <c r="AU37" s="1224"/>
      <c r="AV37" s="12"/>
      <c r="AW37" s="1224"/>
      <c r="AX37" s="12"/>
      <c r="AY37" s="1224"/>
      <c r="AZ37" s="12"/>
      <c r="BA37" s="1224"/>
      <c r="BB37" s="12"/>
      <c r="BC37" s="1224"/>
      <c r="BD37" s="12"/>
    </row>
    <row r="38" spans="1:88" s="477" customFormat="1" ht="14.25" customHeight="1">
      <c r="A38" s="473"/>
      <c r="B38" s="474" t="e">
        <f>#REF!</f>
        <v>#REF!</v>
      </c>
      <c r="C38" s="461"/>
      <c r="E38" s="461"/>
      <c r="F38" s="476"/>
      <c r="H38" s="476"/>
      <c r="J38" s="476"/>
      <c r="L38" s="476"/>
      <c r="N38" s="476"/>
      <c r="P38" s="476"/>
      <c r="R38" s="476"/>
      <c r="T38" s="476"/>
      <c r="V38" s="476"/>
      <c r="AH38" s="12"/>
      <c r="AJ38" s="12"/>
      <c r="AL38" s="12"/>
      <c r="AN38" s="12"/>
      <c r="AP38" s="12"/>
      <c r="AR38" s="12"/>
      <c r="AT38" s="12"/>
      <c r="AU38" s="1224"/>
      <c r="AV38" s="12"/>
      <c r="AW38" s="1224"/>
      <c r="AX38" s="12"/>
      <c r="AY38" s="1224"/>
      <c r="AZ38" s="12"/>
      <c r="BA38" s="1224"/>
      <c r="BB38" s="12"/>
      <c r="BC38" s="1224"/>
      <c r="BD38" s="12"/>
    </row>
    <row r="39" spans="1:88" s="477" customFormat="1" ht="14.25" customHeight="1">
      <c r="A39" s="473"/>
      <c r="B39" s="460" t="s">
        <v>231</v>
      </c>
      <c r="C39" s="461"/>
      <c r="E39" s="461"/>
      <c r="F39" s="476"/>
      <c r="H39" s="476"/>
      <c r="J39" s="476"/>
      <c r="L39" s="476"/>
      <c r="N39" s="476"/>
      <c r="P39" s="476"/>
      <c r="R39" s="476"/>
      <c r="T39" s="476"/>
      <c r="V39" s="476"/>
      <c r="AH39" s="12"/>
      <c r="AJ39" s="12"/>
      <c r="AL39" s="12"/>
      <c r="AN39" s="12"/>
      <c r="AP39" s="12"/>
      <c r="AR39" s="12"/>
      <c r="AT39" s="12"/>
      <c r="AU39" s="1224"/>
      <c r="AV39" s="12"/>
      <c r="AW39" s="1224"/>
      <c r="AX39" s="12"/>
      <c r="AY39" s="1224"/>
      <c r="AZ39" s="12"/>
      <c r="BA39" s="1224"/>
      <c r="BB39" s="12"/>
      <c r="BC39" s="1224"/>
      <c r="BD39" s="12"/>
    </row>
    <row r="40" spans="1:88" s="477" customFormat="1" ht="14.25" customHeight="1">
      <c r="A40" s="473"/>
      <c r="B40" s="461" t="s">
        <v>1301</v>
      </c>
      <c r="C40" s="461"/>
      <c r="E40" s="461"/>
      <c r="F40" s="476"/>
      <c r="H40" s="476"/>
      <c r="J40" s="476"/>
      <c r="L40" s="476"/>
      <c r="N40" s="476"/>
      <c r="P40" s="476"/>
      <c r="R40" s="476"/>
      <c r="T40" s="476"/>
      <c r="V40" s="476"/>
      <c r="AH40" s="12"/>
      <c r="AJ40" s="12"/>
      <c r="AL40" s="12"/>
      <c r="AN40" s="12"/>
      <c r="AP40" s="12"/>
      <c r="AR40" s="12"/>
      <c r="AT40" s="12"/>
      <c r="AU40" s="1224"/>
      <c r="AV40" s="12"/>
      <c r="AW40" s="1224"/>
      <c r="AX40" s="12"/>
      <c r="AY40" s="1224"/>
      <c r="AZ40" s="12"/>
      <c r="BA40" s="1224"/>
      <c r="BB40" s="12"/>
      <c r="BC40" s="1224"/>
      <c r="BD40" s="12"/>
    </row>
    <row r="41" spans="1:88" s="477" customFormat="1" ht="14.25" customHeight="1">
      <c r="A41" s="473"/>
      <c r="B41" s="474" t="s">
        <v>233</v>
      </c>
      <c r="C41" s="461"/>
      <c r="E41" s="461"/>
      <c r="F41" s="476" t="s">
        <v>236</v>
      </c>
      <c r="G41" s="477" t="str">
        <f ca="1">"p.DossierName"&amp;G46</f>
        <v>p.DossierName20</v>
      </c>
      <c r="H41" s="477" t="str">
        <f ca="1">"p.ManFirstName"&amp;G46</f>
        <v>p.ManFirstName20</v>
      </c>
      <c r="I41" s="477" t="str">
        <f ca="1">"p.AHVNumber"&amp;G48</f>
        <v>p.AHVNumber77</v>
      </c>
      <c r="J41" s="478" t="str">
        <f ca="1">"p.BirthdayAdult"&amp;G46</f>
        <v>p.BirthdayAdult20</v>
      </c>
      <c r="L41" s="476"/>
      <c r="N41" s="476"/>
      <c r="P41" s="476"/>
      <c r="R41" s="476"/>
      <c r="T41" s="476"/>
      <c r="V41" s="476"/>
      <c r="AH41" s="12"/>
      <c r="AJ41" s="12"/>
      <c r="AL41" s="12"/>
      <c r="AN41" s="12"/>
      <c r="AP41" s="12"/>
      <c r="AR41" s="12"/>
      <c r="AT41" s="12"/>
      <c r="AU41" s="1224"/>
      <c r="AV41" s="12"/>
      <c r="AW41" s="1224"/>
      <c r="AX41" s="12"/>
      <c r="AY41" s="1224"/>
      <c r="AZ41" s="12"/>
      <c r="BA41" s="1224"/>
      <c r="BB41" s="12"/>
      <c r="BC41" s="1224"/>
      <c r="BD41" s="12"/>
    </row>
    <row r="42" spans="1:88" s="477" customFormat="1" ht="14.25" customHeight="1">
      <c r="A42" s="473"/>
      <c r="B42" s="460" t="s">
        <v>234</v>
      </c>
      <c r="C42" s="461"/>
      <c r="E42" s="461"/>
      <c r="F42" s="476" t="s">
        <v>237</v>
      </c>
      <c r="G42" s="477" t="str">
        <f ca="1">"p.FamilyName"&amp;G46</f>
        <v>p.FamilyName20</v>
      </c>
      <c r="H42" s="477" t="str">
        <f ca="1">"p.WomanFirstName"&amp;G46</f>
        <v>p.WomanFirstName20</v>
      </c>
      <c r="I42" s="477" t="str">
        <f ca="1">"p.AHVNumber"&amp;G48+1</f>
        <v>p.AHVNumber78</v>
      </c>
      <c r="J42" s="478" t="str">
        <f ca="1">"p.BirthdayAdult"&amp;G47</f>
        <v>p.BirthdayAdult21</v>
      </c>
      <c r="L42" s="476"/>
      <c r="N42" s="476"/>
      <c r="P42" s="476"/>
      <c r="R42" s="476"/>
      <c r="T42" s="476"/>
      <c r="V42" s="476"/>
      <c r="AH42" s="12"/>
      <c r="AJ42" s="12"/>
      <c r="AL42" s="12"/>
      <c r="AN42" s="12"/>
      <c r="AP42" s="12"/>
      <c r="AR42" s="12"/>
      <c r="AT42" s="12"/>
      <c r="AU42" s="1224"/>
      <c r="AV42" s="12"/>
      <c r="AW42" s="1224"/>
      <c r="AX42" s="12"/>
      <c r="AY42" s="1224"/>
      <c r="AZ42" s="12"/>
      <c r="BA42" s="1224"/>
      <c r="BB42" s="12"/>
      <c r="BC42" s="1224"/>
      <c r="BD42" s="12"/>
    </row>
    <row r="43" spans="1:88" s="477" customFormat="1" ht="14.25" customHeight="1">
      <c r="A43" s="473"/>
      <c r="B43" s="460" t="s">
        <v>231</v>
      </c>
      <c r="C43" s="461"/>
      <c r="E43" s="461"/>
      <c r="F43" s="476" t="s">
        <v>238</v>
      </c>
      <c r="G43" s="477" t="str">
        <f ca="1">G42</f>
        <v>p.FamilyName20</v>
      </c>
      <c r="H43" s="477" t="str">
        <f ca="1">"p.GirlFirstName"&amp;G46</f>
        <v>p.GirlFirstName20</v>
      </c>
      <c r="I43" s="477" t="str">
        <f ca="1">"p.AHVNumber"&amp;G48+2</f>
        <v>p.AHVNumber79</v>
      </c>
      <c r="J43" s="478" t="str">
        <f ca="1">"p.BirthdayKid"&amp;G46</f>
        <v>p.BirthdayKid20</v>
      </c>
      <c r="L43" s="476"/>
      <c r="N43" s="476"/>
      <c r="P43" s="476"/>
      <c r="R43" s="476"/>
      <c r="T43" s="476"/>
      <c r="V43" s="476"/>
      <c r="AH43" s="12"/>
      <c r="AJ43" s="12"/>
      <c r="AL43" s="12"/>
      <c r="AN43" s="12"/>
      <c r="AP43" s="12"/>
      <c r="AR43" s="12"/>
      <c r="AT43" s="12"/>
      <c r="AU43" s="1224"/>
      <c r="AV43" s="12"/>
      <c r="AW43" s="1224"/>
      <c r="AX43" s="12"/>
      <c r="AY43" s="1224"/>
      <c r="AZ43" s="12"/>
      <c r="BA43" s="1224"/>
      <c r="BB43" s="12"/>
      <c r="BC43" s="1224"/>
      <c r="BD43" s="12"/>
    </row>
    <row r="44" spans="1:88" s="477" customFormat="1" ht="14.25" customHeight="1">
      <c r="A44" s="473"/>
      <c r="B44" s="474" t="s">
        <v>233</v>
      </c>
      <c r="C44" s="479"/>
      <c r="E44" s="461"/>
      <c r="F44" s="476"/>
      <c r="H44" s="477" t="str">
        <f ca="1">"p.ManFirstName"&amp;G47</f>
        <v>p.ManFirstName21</v>
      </c>
      <c r="I44" s="477" t="str">
        <f ca="1">"p.AHVNumber"&amp;G48+3</f>
        <v>p.AHVNumber80</v>
      </c>
      <c r="J44" s="478" t="str">
        <f ca="1">"p.BirthdayKid"&amp;G47</f>
        <v>p.BirthdayKid21</v>
      </c>
      <c r="L44" s="476"/>
      <c r="N44" s="476"/>
      <c r="P44" s="476"/>
      <c r="R44" s="476"/>
      <c r="T44" s="476"/>
      <c r="V44" s="476"/>
      <c r="AH44" s="12"/>
      <c r="AJ44" s="12"/>
      <c r="AL44" s="12"/>
      <c r="AN44" s="12"/>
      <c r="AP44" s="12"/>
      <c r="AR44" s="12"/>
      <c r="AT44" s="12"/>
      <c r="AU44" s="1224"/>
      <c r="AV44" s="12"/>
      <c r="AW44" s="1224"/>
      <c r="AX44" s="12"/>
      <c r="AY44" s="1224"/>
      <c r="AZ44" s="12"/>
      <c r="BA44" s="1224"/>
      <c r="BB44" s="12"/>
      <c r="BC44" s="1224"/>
      <c r="BD44" s="12"/>
    </row>
    <row r="45" spans="1:88" s="477" customFormat="1" ht="14.25" customHeight="1">
      <c r="A45" s="473"/>
      <c r="B45" s="480"/>
      <c r="E45" s="461"/>
      <c r="F45" s="476"/>
      <c r="H45" s="476"/>
      <c r="J45" s="476"/>
      <c r="L45" s="476"/>
      <c r="N45" s="476"/>
      <c r="P45" s="476"/>
      <c r="R45" s="476"/>
      <c r="T45" s="476"/>
      <c r="V45" s="476"/>
      <c r="AH45" s="12"/>
      <c r="AJ45" s="12"/>
      <c r="AL45" s="12"/>
      <c r="AN45" s="12"/>
      <c r="AP45" s="12"/>
      <c r="AR45" s="12"/>
      <c r="AT45" s="12"/>
      <c r="AU45" s="1224"/>
      <c r="AV45" s="12"/>
      <c r="AW45" s="1224"/>
      <c r="AX45" s="12"/>
      <c r="AY45" s="1224"/>
      <c r="AZ45" s="12"/>
      <c r="BA45" s="1224"/>
      <c r="BB45" s="12"/>
      <c r="BC45" s="1224"/>
      <c r="BD45" s="12"/>
    </row>
    <row r="46" spans="1:88" s="477" customFormat="1" ht="14.25" customHeight="1">
      <c r="A46" s="473"/>
      <c r="B46" s="480"/>
      <c r="E46" s="461"/>
      <c r="F46" s="476"/>
      <c r="G46" s="481">
        <f ca="1">_xlfn.SHEET()</f>
        <v>20</v>
      </c>
      <c r="H46" s="476"/>
      <c r="J46" s="476"/>
      <c r="L46" s="476"/>
      <c r="N46" s="476"/>
      <c r="P46" s="476"/>
      <c r="R46" s="476"/>
      <c r="T46" s="476"/>
      <c r="V46" s="476"/>
      <c r="AH46" s="12"/>
      <c r="AJ46" s="12"/>
      <c r="AL46" s="12"/>
      <c r="AN46" s="12"/>
      <c r="AP46" s="12"/>
      <c r="AR46" s="12"/>
      <c r="AT46" s="12"/>
      <c r="AU46" s="1224"/>
      <c r="AV46" s="12"/>
      <c r="AW46" s="1224"/>
      <c r="AX46" s="12"/>
      <c r="AY46" s="1224"/>
      <c r="AZ46" s="12"/>
      <c r="BA46" s="1224"/>
      <c r="BB46" s="12"/>
      <c r="BC46" s="1224"/>
      <c r="BD46" s="12"/>
    </row>
    <row r="47" spans="1:88" s="477" customFormat="1" ht="14.25" customHeight="1">
      <c r="A47" s="473"/>
      <c r="B47" s="474" t="s">
        <v>1302</v>
      </c>
      <c r="E47" s="461"/>
      <c r="F47" s="476"/>
      <c r="G47" s="477">
        <f ca="1">G46+1</f>
        <v>21</v>
      </c>
      <c r="H47" s="476"/>
      <c r="J47" s="476"/>
      <c r="L47" s="476"/>
      <c r="N47" s="476"/>
      <c r="P47" s="476"/>
      <c r="R47" s="476"/>
      <c r="T47" s="476"/>
      <c r="V47" s="476"/>
      <c r="AH47" s="12"/>
      <c r="AJ47" s="12"/>
      <c r="AL47" s="12"/>
      <c r="AN47" s="12"/>
      <c r="AP47" s="12"/>
      <c r="AR47" s="12"/>
      <c r="AT47" s="12"/>
      <c r="AU47" s="1224"/>
      <c r="AV47" s="12"/>
      <c r="AW47" s="1224"/>
      <c r="AX47" s="12"/>
      <c r="AY47" s="1224"/>
      <c r="AZ47" s="12"/>
      <c r="BA47" s="1224"/>
      <c r="BB47" s="12"/>
      <c r="BC47" s="1224"/>
      <c r="BD47" s="12"/>
    </row>
    <row r="48" spans="1:88" s="477" customFormat="1" ht="14.25" customHeight="1">
      <c r="A48" s="473"/>
      <c r="B48" s="480"/>
      <c r="C48" s="479"/>
      <c r="E48" s="461"/>
      <c r="F48" s="476"/>
      <c r="G48" s="477">
        <f ca="1">G46*4-4+1</f>
        <v>77</v>
      </c>
      <c r="H48" s="476"/>
      <c r="J48" s="476"/>
      <c r="L48" s="476"/>
      <c r="N48" s="476"/>
      <c r="P48" s="476"/>
      <c r="R48" s="476"/>
      <c r="T48" s="476"/>
      <c r="V48" s="476"/>
      <c r="AH48" s="12"/>
      <c r="AJ48" s="12"/>
      <c r="AL48" s="12"/>
      <c r="AN48" s="12"/>
      <c r="AP48" s="12"/>
      <c r="AR48" s="12"/>
      <c r="AT48" s="12"/>
      <c r="AU48" s="1224"/>
      <c r="AV48" s="12"/>
      <c r="AW48" s="1224"/>
      <c r="AX48" s="12"/>
      <c r="AY48" s="1224"/>
      <c r="AZ48" s="12"/>
      <c r="BA48" s="1224"/>
      <c r="BB48" s="12"/>
      <c r="BC48" s="1224"/>
      <c r="BD48" s="12"/>
    </row>
    <row r="49" spans="1:56" s="477" customFormat="1" ht="14.25" customHeight="1">
      <c r="A49" s="473"/>
      <c r="B49" s="480"/>
      <c r="C49" s="479"/>
      <c r="E49" s="461"/>
      <c r="F49" s="476"/>
      <c r="H49" s="476"/>
      <c r="J49" s="476"/>
      <c r="L49" s="476"/>
      <c r="N49" s="476"/>
      <c r="P49" s="476"/>
      <c r="R49" s="476"/>
      <c r="T49" s="476"/>
      <c r="V49" s="476"/>
      <c r="AH49" s="12"/>
      <c r="AJ49" s="12"/>
      <c r="AL49" s="12"/>
      <c r="AN49" s="12"/>
      <c r="AP49" s="12"/>
      <c r="AR49" s="12"/>
      <c r="AT49" s="12"/>
      <c r="AU49" s="1224"/>
      <c r="AV49" s="12"/>
      <c r="AW49" s="1224"/>
      <c r="AX49" s="12"/>
      <c r="AY49" s="1224"/>
      <c r="AZ49" s="12"/>
      <c r="BA49" s="1224"/>
      <c r="BB49" s="12"/>
      <c r="BC49" s="1224"/>
      <c r="BD49" s="12"/>
    </row>
    <row r="50" spans="1:56" s="477" customFormat="1" ht="14.25" customHeight="1">
      <c r="A50" s="473"/>
      <c r="B50" s="480"/>
      <c r="C50" s="479"/>
      <c r="E50" s="461"/>
      <c r="F50" s="476"/>
      <c r="H50" s="476"/>
      <c r="J50" s="476"/>
      <c r="L50" s="476"/>
      <c r="N50" s="476"/>
      <c r="P50" s="476"/>
      <c r="R50" s="476"/>
      <c r="T50" s="476"/>
      <c r="V50" s="476"/>
      <c r="AH50" s="12"/>
      <c r="AJ50" s="12"/>
      <c r="AL50" s="12"/>
      <c r="AN50" s="12"/>
      <c r="AP50" s="12"/>
      <c r="AR50" s="12"/>
      <c r="AT50" s="12"/>
      <c r="AU50" s="1224"/>
      <c r="AV50" s="12"/>
      <c r="AW50" s="1224"/>
      <c r="AX50" s="12"/>
      <c r="AY50" s="1224"/>
      <c r="AZ50" s="12"/>
      <c r="BA50" s="1224"/>
      <c r="BB50" s="12"/>
      <c r="BC50" s="1224"/>
      <c r="BD50" s="12"/>
    </row>
    <row r="51" spans="1:56" s="477" customFormat="1" ht="14.25" customHeight="1">
      <c r="A51" s="473"/>
      <c r="B51" s="461"/>
      <c r="C51" s="461"/>
      <c r="E51" s="461"/>
      <c r="F51" s="476"/>
      <c r="H51" s="476"/>
      <c r="J51" s="476"/>
      <c r="L51" s="476"/>
      <c r="N51" s="476"/>
      <c r="P51" s="476"/>
      <c r="R51" s="476"/>
      <c r="T51" s="476"/>
      <c r="V51" s="476"/>
      <c r="AH51" s="12"/>
      <c r="AJ51" s="12"/>
      <c r="AL51" s="12"/>
      <c r="AN51" s="12"/>
      <c r="AP51" s="12"/>
      <c r="AR51" s="12"/>
      <c r="AT51" s="12"/>
      <c r="AU51" s="1224"/>
      <c r="AV51" s="12"/>
      <c r="AW51" s="1224"/>
      <c r="AX51" s="12"/>
      <c r="AY51" s="1224"/>
      <c r="AZ51" s="12"/>
      <c r="BA51" s="1224"/>
      <c r="BB51" s="12"/>
      <c r="BC51" s="1224"/>
      <c r="BD51" s="12"/>
    </row>
    <row r="52" spans="1:56" s="477" customFormat="1" ht="14.25" customHeight="1">
      <c r="A52" s="473"/>
      <c r="B52" s="461"/>
      <c r="C52" s="461"/>
      <c r="E52" s="461"/>
      <c r="F52" s="476"/>
      <c r="H52" s="476"/>
      <c r="J52" s="476"/>
      <c r="L52" s="476"/>
      <c r="N52" s="476"/>
      <c r="P52" s="476"/>
      <c r="R52" s="476"/>
      <c r="T52" s="476"/>
      <c r="V52" s="476"/>
      <c r="AH52" s="12"/>
      <c r="AJ52" s="12"/>
      <c r="AL52" s="12"/>
      <c r="AN52" s="12"/>
      <c r="AP52" s="12"/>
      <c r="AR52" s="12"/>
      <c r="AT52" s="12"/>
      <c r="AU52" s="1224"/>
      <c r="AV52" s="12"/>
      <c r="AW52" s="1224"/>
      <c r="AX52" s="12"/>
      <c r="AY52" s="1224"/>
      <c r="AZ52" s="12"/>
      <c r="BA52" s="1224"/>
      <c r="BB52" s="12"/>
      <c r="BC52" s="1224"/>
      <c r="BD52" s="12"/>
    </row>
    <row r="53" spans="1:56" s="477" customFormat="1" ht="14.25" customHeight="1">
      <c r="A53" s="473"/>
      <c r="B53" s="461"/>
      <c r="C53" s="461"/>
      <c r="E53" s="461"/>
      <c r="F53" s="476"/>
      <c r="H53" s="476"/>
      <c r="J53" s="476"/>
      <c r="L53" s="476"/>
      <c r="N53" s="476"/>
      <c r="P53" s="476"/>
      <c r="R53" s="476"/>
      <c r="T53" s="476"/>
      <c r="V53" s="476"/>
      <c r="AH53" s="12"/>
      <c r="AJ53" s="12"/>
      <c r="AL53" s="12"/>
      <c r="AN53" s="12"/>
      <c r="AP53" s="12"/>
      <c r="AR53" s="12"/>
      <c r="AT53" s="12"/>
      <c r="AU53" s="1224"/>
      <c r="AV53" s="12"/>
      <c r="AW53" s="1224"/>
      <c r="AX53" s="12"/>
      <c r="AY53" s="1224"/>
      <c r="AZ53" s="12"/>
      <c r="BA53" s="1224"/>
      <c r="BB53" s="12"/>
      <c r="BC53" s="1224"/>
      <c r="BD53" s="12"/>
    </row>
    <row r="54" spans="1:56" s="477" customFormat="1" ht="14.25" customHeight="1">
      <c r="A54" s="473"/>
      <c r="B54" s="461"/>
      <c r="C54" s="461"/>
      <c r="E54" s="461"/>
      <c r="F54" s="476"/>
      <c r="H54" s="476"/>
      <c r="J54" s="476"/>
      <c r="L54" s="476"/>
      <c r="N54" s="476"/>
      <c r="P54" s="476"/>
      <c r="R54" s="476"/>
      <c r="T54" s="476"/>
      <c r="V54" s="476"/>
      <c r="AH54" s="12"/>
      <c r="AJ54" s="12"/>
      <c r="AL54" s="12"/>
      <c r="AN54" s="12"/>
      <c r="AP54" s="12"/>
      <c r="AR54" s="12"/>
      <c r="AT54" s="12"/>
      <c r="AU54" s="1224"/>
      <c r="AV54" s="12"/>
      <c r="AW54" s="1224"/>
      <c r="AX54" s="12"/>
      <c r="AY54" s="1224"/>
      <c r="AZ54" s="12"/>
      <c r="BA54" s="1224"/>
      <c r="BB54" s="12"/>
      <c r="BC54" s="1224"/>
      <c r="BD54" s="12"/>
    </row>
    <row r="55" spans="1:56" s="456" customFormat="1" ht="14.25" customHeight="1">
      <c r="A55" s="473"/>
      <c r="B55" s="462"/>
      <c r="C55" s="102"/>
      <c r="D55" s="103" t="s">
        <v>240</v>
      </c>
      <c r="E55" s="104">
        <v>1</v>
      </c>
      <c r="F55" s="102" t="s">
        <v>249</v>
      </c>
      <c r="G55" s="104">
        <v>2025</v>
      </c>
      <c r="H55" s="457"/>
      <c r="J55" s="457"/>
      <c r="L55" s="457"/>
      <c r="N55" s="457"/>
      <c r="P55" s="457"/>
      <c r="R55" s="457"/>
      <c r="T55" s="457"/>
      <c r="V55" s="457"/>
      <c r="AH55" s="12"/>
      <c r="AJ55" s="12"/>
      <c r="AL55" s="12"/>
      <c r="AN55" s="12"/>
      <c r="AP55" s="12"/>
      <c r="AR55" s="12"/>
      <c r="AT55" s="12"/>
      <c r="AU55" s="1225"/>
      <c r="AV55" s="12"/>
      <c r="AW55" s="1225"/>
      <c r="AX55" s="12"/>
      <c r="AY55" s="1225"/>
      <c r="AZ55" s="12"/>
      <c r="BA55" s="1225"/>
      <c r="BB55" s="12"/>
      <c r="BC55" s="1225"/>
      <c r="BD55" s="12"/>
    </row>
    <row r="56" spans="1:56" s="456" customFormat="1" ht="14.25" customHeight="1">
      <c r="A56" s="473"/>
      <c r="B56" s="462"/>
      <c r="C56" s="102">
        <f ca="1">MONTH(TODAY())</f>
        <v>11</v>
      </c>
      <c r="D56" s="482" t="str" cm="1">
        <f t="array" aca="1" ref="D56" ca="1">_xlfn.CHOOSEROWS(F$55:F$91,C56)&amp;" "&amp;_xlfn.CHOOSEROWS($G$55:$G$91,C56)</f>
        <v>November 2025</v>
      </c>
      <c r="E56" s="104">
        <v>2</v>
      </c>
      <c r="F56" s="102" t="s">
        <v>250</v>
      </c>
      <c r="G56" s="104">
        <v>2025</v>
      </c>
      <c r="H56" s="457"/>
      <c r="J56" s="457"/>
      <c r="L56" s="457"/>
      <c r="N56" s="457"/>
      <c r="P56" s="457"/>
      <c r="R56" s="457"/>
      <c r="T56" s="457"/>
      <c r="V56" s="457"/>
      <c r="AH56" s="12"/>
      <c r="AJ56" s="12"/>
      <c r="AL56" s="12"/>
      <c r="AN56" s="12"/>
      <c r="AP56" s="12"/>
      <c r="AR56" s="12"/>
      <c r="AT56" s="12"/>
      <c r="AU56" s="1225"/>
      <c r="AV56" s="12"/>
      <c r="AW56" s="1225"/>
      <c r="AX56" s="12"/>
      <c r="AY56" s="1225"/>
      <c r="AZ56" s="12"/>
      <c r="BA56" s="1225"/>
      <c r="BB56" s="12"/>
      <c r="BC56" s="1225"/>
      <c r="BD56" s="12"/>
    </row>
    <row r="57" spans="1:56" s="456" customFormat="1" ht="14.25" customHeight="1">
      <c r="A57" s="473"/>
      <c r="B57" s="462"/>
      <c r="C57" s="102">
        <f ca="1">C56+1</f>
        <v>12</v>
      </c>
      <c r="D57" s="482" t="str" cm="1">
        <f t="array" aca="1" ref="D57" ca="1">_xlfn.CHOOSEROWS(F$55:F$91,C57)&amp;" "&amp;_xlfn.CHOOSEROWS($G$55:$G$91,C57)</f>
        <v>Dezember 2025</v>
      </c>
      <c r="E57" s="104">
        <v>3</v>
      </c>
      <c r="F57" s="102" t="s">
        <v>251</v>
      </c>
      <c r="G57" s="104">
        <v>2025</v>
      </c>
      <c r="H57" s="457"/>
      <c r="J57" s="457"/>
      <c r="L57" s="457"/>
      <c r="N57" s="457"/>
      <c r="P57" s="457"/>
      <c r="R57" s="457"/>
      <c r="T57" s="457"/>
      <c r="V57" s="457"/>
      <c r="AH57" s="12"/>
      <c r="AJ57" s="12"/>
      <c r="AL57" s="12"/>
      <c r="AN57" s="12"/>
      <c r="AP57" s="12"/>
      <c r="AR57" s="12"/>
      <c r="AT57" s="12"/>
      <c r="AU57" s="1225"/>
      <c r="AV57" s="12"/>
      <c r="AW57" s="1225"/>
      <c r="AX57" s="12"/>
      <c r="AY57" s="1225"/>
      <c r="AZ57" s="12"/>
      <c r="BA57" s="1225"/>
      <c r="BB57" s="12"/>
      <c r="BC57" s="1225"/>
      <c r="BD57" s="12"/>
    </row>
    <row r="58" spans="1:56" s="456" customFormat="1" ht="14.25" customHeight="1">
      <c r="A58" s="473"/>
      <c r="B58" s="462"/>
      <c r="C58" s="102">
        <f t="shared" ref="C58:C73" ca="1" si="18">C57+1</f>
        <v>13</v>
      </c>
      <c r="D58" s="482" t="str" cm="1">
        <f t="array" aca="1" ref="D58" ca="1">_xlfn.CHOOSEROWS(F$55:F$91,C58)&amp;" "&amp;_xlfn.CHOOSEROWS($G$55:$G$91,C58)</f>
        <v>Januar 2026</v>
      </c>
      <c r="E58" s="104">
        <v>4</v>
      </c>
      <c r="F58" s="102" t="s">
        <v>252</v>
      </c>
      <c r="G58" s="104">
        <v>2025</v>
      </c>
      <c r="H58" s="457"/>
      <c r="J58" s="457"/>
      <c r="L58" s="457"/>
      <c r="N58" s="457"/>
      <c r="P58" s="457"/>
      <c r="R58" s="457"/>
      <c r="T58" s="457"/>
      <c r="V58" s="457"/>
      <c r="AH58" s="12"/>
      <c r="AJ58" s="12"/>
      <c r="AL58" s="12"/>
      <c r="AN58" s="12"/>
      <c r="AP58" s="12"/>
      <c r="AR58" s="12"/>
      <c r="AT58" s="12"/>
      <c r="AU58" s="1225"/>
      <c r="AV58" s="12"/>
      <c r="AW58" s="1225"/>
      <c r="AX58" s="12"/>
      <c r="AY58" s="1225"/>
      <c r="AZ58" s="12"/>
      <c r="BA58" s="1225"/>
      <c r="BB58" s="12"/>
      <c r="BC58" s="1225"/>
      <c r="BD58" s="12"/>
    </row>
    <row r="59" spans="1:56" s="456" customFormat="1" ht="14.25" customHeight="1">
      <c r="A59" s="473"/>
      <c r="B59" s="462"/>
      <c r="C59" s="102">
        <f t="shared" ca="1" si="18"/>
        <v>14</v>
      </c>
      <c r="D59" s="482" t="str" cm="1">
        <f t="array" aca="1" ref="D59" ca="1">_xlfn.CHOOSEROWS(F$55:F$91,C59)&amp;" "&amp;_xlfn.CHOOSEROWS($G$55:$G$91,C59)</f>
        <v>Februar 2026</v>
      </c>
      <c r="E59" s="104">
        <v>5</v>
      </c>
      <c r="F59" s="102" t="s">
        <v>253</v>
      </c>
      <c r="G59" s="104">
        <v>2025</v>
      </c>
      <c r="H59" s="457"/>
      <c r="J59" s="457"/>
      <c r="L59" s="457"/>
      <c r="N59" s="457"/>
      <c r="P59" s="457"/>
      <c r="R59" s="457"/>
      <c r="T59" s="457"/>
      <c r="V59" s="457"/>
      <c r="AH59" s="12"/>
      <c r="AJ59" s="12"/>
      <c r="AL59" s="12"/>
      <c r="AN59" s="12"/>
      <c r="AP59" s="12"/>
      <c r="AR59" s="12"/>
      <c r="AT59" s="12"/>
      <c r="AU59" s="1225"/>
      <c r="AV59" s="12"/>
      <c r="AW59" s="1225"/>
      <c r="AX59" s="12"/>
      <c r="AY59" s="1225"/>
      <c r="AZ59" s="12"/>
      <c r="BA59" s="1225"/>
      <c r="BB59" s="12"/>
      <c r="BC59" s="1225"/>
      <c r="BD59" s="12"/>
    </row>
    <row r="60" spans="1:56" s="456" customFormat="1" ht="14.25" customHeight="1">
      <c r="A60" s="473"/>
      <c r="B60" s="462"/>
      <c r="C60" s="102">
        <f t="shared" ca="1" si="18"/>
        <v>15</v>
      </c>
      <c r="D60" s="482" t="str" cm="1">
        <f t="array" aca="1" ref="D60" ca="1">_xlfn.CHOOSEROWS(F$55:F$91,C60)&amp;" "&amp;_xlfn.CHOOSEROWS($G$55:$G$91,C60)</f>
        <v>März 2026</v>
      </c>
      <c r="E60" s="104">
        <v>6</v>
      </c>
      <c r="F60" s="102" t="s">
        <v>254</v>
      </c>
      <c r="G60" s="104">
        <v>2025</v>
      </c>
      <c r="H60" s="457"/>
      <c r="J60" s="457"/>
      <c r="L60" s="457"/>
      <c r="N60" s="457"/>
      <c r="P60" s="457"/>
      <c r="R60" s="457"/>
      <c r="T60" s="457"/>
      <c r="V60" s="457"/>
      <c r="AH60" s="12"/>
      <c r="AJ60" s="12"/>
      <c r="AL60" s="12"/>
      <c r="AN60" s="12"/>
      <c r="AP60" s="12"/>
      <c r="AR60" s="12"/>
      <c r="AT60" s="12"/>
      <c r="AU60" s="1225"/>
      <c r="AV60" s="12"/>
      <c r="AW60" s="1225"/>
      <c r="AX60" s="12"/>
      <c r="AY60" s="1225"/>
      <c r="AZ60" s="12"/>
      <c r="BA60" s="1225"/>
      <c r="BB60" s="12"/>
      <c r="BC60" s="1225"/>
      <c r="BD60" s="12"/>
    </row>
    <row r="61" spans="1:56" s="456" customFormat="1" ht="14.25" customHeight="1">
      <c r="A61" s="473"/>
      <c r="B61" s="462"/>
      <c r="C61" s="102">
        <f t="shared" ca="1" si="18"/>
        <v>16</v>
      </c>
      <c r="D61" s="482" t="str" cm="1">
        <f t="array" aca="1" ref="D61" ca="1">_xlfn.CHOOSEROWS(F$55:F$91,C61)&amp;" "&amp;_xlfn.CHOOSEROWS($G$55:$G$91,C61)</f>
        <v>April 2026</v>
      </c>
      <c r="E61" s="104">
        <v>7</v>
      </c>
      <c r="F61" s="102" t="s">
        <v>255</v>
      </c>
      <c r="G61" s="104">
        <v>2025</v>
      </c>
      <c r="H61" s="457"/>
      <c r="J61" s="457"/>
      <c r="L61" s="457"/>
      <c r="N61" s="457"/>
      <c r="P61" s="457"/>
      <c r="R61" s="457"/>
      <c r="T61" s="457"/>
      <c r="V61" s="457"/>
      <c r="AH61" s="12"/>
      <c r="AJ61" s="12"/>
      <c r="AL61" s="12"/>
      <c r="AN61" s="12"/>
      <c r="AP61" s="12"/>
      <c r="AR61" s="12"/>
      <c r="AT61" s="12"/>
      <c r="AU61" s="1225"/>
      <c r="AV61" s="12"/>
      <c r="AW61" s="1225"/>
      <c r="AX61" s="12"/>
      <c r="AY61" s="1225"/>
      <c r="AZ61" s="12"/>
      <c r="BA61" s="1225"/>
      <c r="BB61" s="12"/>
      <c r="BC61" s="1225"/>
      <c r="BD61" s="12"/>
    </row>
    <row r="62" spans="1:56" s="456" customFormat="1" ht="14.25" customHeight="1">
      <c r="A62" s="473"/>
      <c r="B62" s="462"/>
      <c r="C62" s="102">
        <f t="shared" ca="1" si="18"/>
        <v>17</v>
      </c>
      <c r="D62" s="482" t="str" cm="1">
        <f t="array" aca="1" ref="D62" ca="1">_xlfn.CHOOSEROWS(F$55:F$91,C62)&amp;" "&amp;_xlfn.CHOOSEROWS($G$55:$G$91,C62)</f>
        <v>Mai 2026</v>
      </c>
      <c r="E62" s="104">
        <v>8</v>
      </c>
      <c r="F62" s="102" t="s">
        <v>256</v>
      </c>
      <c r="G62" s="104">
        <v>2025</v>
      </c>
      <c r="H62" s="457"/>
      <c r="J62" s="457"/>
      <c r="L62" s="457"/>
      <c r="N62" s="457"/>
      <c r="P62" s="457"/>
      <c r="R62" s="457"/>
      <c r="T62" s="457"/>
      <c r="V62" s="457"/>
      <c r="AH62" s="12"/>
      <c r="AJ62" s="12"/>
      <c r="AL62" s="12"/>
      <c r="AN62" s="12"/>
      <c r="AP62" s="12"/>
      <c r="AR62" s="12"/>
      <c r="AT62" s="12"/>
      <c r="AU62" s="1225"/>
      <c r="AV62" s="12"/>
      <c r="AW62" s="1225"/>
      <c r="AX62" s="12"/>
      <c r="AY62" s="1225"/>
      <c r="AZ62" s="12"/>
      <c r="BA62" s="1225"/>
      <c r="BB62" s="12"/>
      <c r="BC62" s="1225"/>
      <c r="BD62" s="12"/>
    </row>
    <row r="63" spans="1:56" s="456" customFormat="1" ht="14.25" customHeight="1">
      <c r="A63" s="473"/>
      <c r="B63" s="462"/>
      <c r="C63" s="102">
        <f t="shared" ca="1" si="18"/>
        <v>18</v>
      </c>
      <c r="D63" s="482" t="str" cm="1">
        <f t="array" aca="1" ref="D63" ca="1">_xlfn.CHOOSEROWS(F$55:F$91,C63)&amp;" "&amp;_xlfn.CHOOSEROWS($G$55:$G$91,C63)</f>
        <v>Juni 2026</v>
      </c>
      <c r="E63" s="104">
        <v>9</v>
      </c>
      <c r="F63" s="102" t="s">
        <v>257</v>
      </c>
      <c r="G63" s="104">
        <v>2025</v>
      </c>
      <c r="H63" s="457"/>
      <c r="J63" s="457"/>
      <c r="L63" s="457"/>
      <c r="N63" s="457"/>
      <c r="P63" s="457"/>
      <c r="R63" s="457"/>
      <c r="T63" s="457"/>
      <c r="V63" s="457"/>
      <c r="AH63" s="12"/>
      <c r="AJ63" s="12"/>
      <c r="AL63" s="12"/>
      <c r="AN63" s="12"/>
      <c r="AP63" s="12"/>
      <c r="AR63" s="12"/>
      <c r="AT63" s="12"/>
      <c r="AU63" s="1225"/>
      <c r="AV63" s="12"/>
      <c r="AW63" s="1225"/>
      <c r="AX63" s="12"/>
      <c r="AY63" s="1225"/>
      <c r="AZ63" s="12"/>
      <c r="BA63" s="1225"/>
      <c r="BB63" s="12"/>
      <c r="BC63" s="1225"/>
      <c r="BD63" s="12"/>
    </row>
    <row r="64" spans="1:56" s="456" customFormat="1" ht="14.25" customHeight="1">
      <c r="A64" s="473"/>
      <c r="B64" s="462"/>
      <c r="C64" s="102">
        <f t="shared" ca="1" si="18"/>
        <v>19</v>
      </c>
      <c r="D64" s="482" t="str" cm="1">
        <f t="array" aca="1" ref="D64" ca="1">_xlfn.CHOOSEROWS(F$55:F$91,C64)&amp;" "&amp;_xlfn.CHOOSEROWS($G$55:$G$91,C64)</f>
        <v>Juli 2026</v>
      </c>
      <c r="E64" s="104">
        <v>10</v>
      </c>
      <c r="F64" s="102" t="s">
        <v>258</v>
      </c>
      <c r="G64" s="104">
        <v>2025</v>
      </c>
      <c r="H64" s="457"/>
      <c r="J64" s="457"/>
      <c r="L64" s="457"/>
      <c r="N64" s="457"/>
      <c r="P64" s="457"/>
      <c r="R64" s="457"/>
      <c r="T64" s="457"/>
      <c r="V64" s="457"/>
      <c r="AH64" s="12"/>
      <c r="AJ64" s="12"/>
      <c r="AL64" s="12"/>
      <c r="AN64" s="12"/>
      <c r="AP64" s="12"/>
      <c r="AR64" s="12"/>
      <c r="AT64" s="12"/>
      <c r="AU64" s="1225"/>
      <c r="AV64" s="12"/>
      <c r="AW64" s="1225"/>
      <c r="AX64" s="12"/>
      <c r="AY64" s="1225"/>
      <c r="AZ64" s="12"/>
      <c r="BA64" s="1225"/>
      <c r="BB64" s="12"/>
      <c r="BC64" s="1225"/>
      <c r="BD64" s="12"/>
    </row>
    <row r="65" spans="1:56" ht="14.25" customHeight="1">
      <c r="C65" s="102">
        <f t="shared" ca="1" si="18"/>
        <v>20</v>
      </c>
      <c r="D65" s="482" t="str" cm="1">
        <f t="array" aca="1" ref="D65" ca="1">_xlfn.CHOOSEROWS(F$55:F$91,C65)&amp;" "&amp;_xlfn.CHOOSEROWS($G$55:$G$91,C65)</f>
        <v>August 2026</v>
      </c>
      <c r="E65" s="104">
        <v>11</v>
      </c>
      <c r="F65" s="105" t="s">
        <v>259</v>
      </c>
      <c r="G65" s="104">
        <v>2025</v>
      </c>
    </row>
    <row r="66" spans="1:56" ht="14.25" customHeight="1">
      <c r="C66" s="102">
        <f t="shared" ca="1" si="18"/>
        <v>21</v>
      </c>
      <c r="D66" s="482" t="str" cm="1">
        <f t="array" aca="1" ref="D66" ca="1">_xlfn.CHOOSEROWS(F$55:F$91,C66)&amp;" "&amp;_xlfn.CHOOSEROWS($G$55:$G$91,C66)</f>
        <v>September 2026</v>
      </c>
      <c r="E66" s="104">
        <v>12</v>
      </c>
      <c r="F66" s="105" t="s">
        <v>260</v>
      </c>
      <c r="G66" s="104">
        <v>2025</v>
      </c>
    </row>
    <row r="67" spans="1:56" ht="14.25" customHeight="1">
      <c r="C67" s="102">
        <f t="shared" ca="1" si="18"/>
        <v>22</v>
      </c>
      <c r="D67" s="482" t="str" cm="1">
        <f t="array" aca="1" ref="D67" ca="1">_xlfn.CHOOSEROWS(F$55:F$91,C67)&amp;" "&amp;_xlfn.CHOOSEROWS($G$55:$G$91,C67)</f>
        <v>Oktober 2026</v>
      </c>
      <c r="E67" s="104">
        <v>13</v>
      </c>
      <c r="F67" s="102" t="s">
        <v>249</v>
      </c>
      <c r="G67" s="105">
        <v>2026</v>
      </c>
    </row>
    <row r="68" spans="1:56" ht="14.25" customHeight="1">
      <c r="C68" s="102">
        <f t="shared" ca="1" si="18"/>
        <v>23</v>
      </c>
      <c r="D68" s="482" t="str" cm="1">
        <f t="array" aca="1" ref="D68" ca="1">_xlfn.CHOOSEROWS(F$55:F$91,C68)&amp;" "&amp;_xlfn.CHOOSEROWS($G$55:$G$91,C68)</f>
        <v>November 2026</v>
      </c>
      <c r="E68" s="104">
        <v>14</v>
      </c>
      <c r="F68" s="102" t="s">
        <v>250</v>
      </c>
      <c r="G68" s="105">
        <v>2026</v>
      </c>
    </row>
    <row r="69" spans="1:56" ht="14.25" customHeight="1">
      <c r="C69" s="102">
        <f t="shared" ca="1" si="18"/>
        <v>24</v>
      </c>
      <c r="D69" s="482" t="str" cm="1">
        <f t="array" aca="1" ref="D69" ca="1">_xlfn.CHOOSEROWS(F$55:F$91,C69)&amp;" "&amp;_xlfn.CHOOSEROWS($G$55:$G$91,C69)</f>
        <v>Dezember 2026</v>
      </c>
      <c r="E69" s="104">
        <v>15</v>
      </c>
      <c r="F69" s="102" t="s">
        <v>251</v>
      </c>
      <c r="G69" s="105">
        <v>2026</v>
      </c>
    </row>
    <row r="70" spans="1:56" s="485" customFormat="1" ht="14.25" customHeight="1">
      <c r="A70" s="483"/>
      <c r="B70" s="484"/>
      <c r="C70" s="102">
        <f t="shared" ca="1" si="18"/>
        <v>25</v>
      </c>
      <c r="D70" s="482" t="str" cm="1">
        <f t="array" aca="1" ref="D70" ca="1">_xlfn.CHOOSEROWS(F$55:F$91,C70)&amp;" "&amp;_xlfn.CHOOSEROWS($G$55:$G$91,C70)</f>
        <v xml:space="preserve"> </v>
      </c>
      <c r="E70" s="104">
        <v>16</v>
      </c>
      <c r="F70" s="102" t="s">
        <v>252</v>
      </c>
      <c r="G70" s="105">
        <v>2026</v>
      </c>
      <c r="I70" s="486"/>
      <c r="K70" s="486"/>
      <c r="M70" s="486"/>
      <c r="O70" s="486"/>
      <c r="Q70" s="486"/>
      <c r="S70" s="486"/>
      <c r="U70" s="486"/>
      <c r="W70" s="486"/>
      <c r="X70" s="486"/>
      <c r="Y70" s="486"/>
      <c r="Z70" s="486"/>
      <c r="AA70" s="486"/>
      <c r="AB70" s="486"/>
      <c r="AC70" s="486"/>
      <c r="AD70" s="486"/>
      <c r="AE70" s="486"/>
      <c r="AF70" s="486"/>
      <c r="AH70" s="12"/>
      <c r="AJ70" s="12"/>
      <c r="AL70" s="12"/>
      <c r="AN70" s="12"/>
      <c r="AP70" s="12"/>
      <c r="AR70" s="12"/>
      <c r="AT70" s="12"/>
      <c r="AU70" s="1227"/>
      <c r="AV70" s="12"/>
      <c r="AW70" s="1227"/>
      <c r="AX70" s="12"/>
      <c r="AY70" s="1227"/>
      <c r="AZ70" s="12"/>
      <c r="BA70" s="1227"/>
      <c r="BB70" s="12"/>
      <c r="BC70" s="1227"/>
      <c r="BD70" s="12"/>
    </row>
    <row r="71" spans="1:56" s="485" customFormat="1" ht="14.25" customHeight="1">
      <c r="A71" s="483"/>
      <c r="B71" s="484"/>
      <c r="C71" s="102">
        <f t="shared" ca="1" si="18"/>
        <v>26</v>
      </c>
      <c r="D71" s="482" t="str" cm="1">
        <f t="array" aca="1" ref="D71" ca="1">_xlfn.CHOOSEROWS(F$55:F$91,C71)&amp;" "&amp;_xlfn.CHOOSEROWS($G$55:$G$91,C71)</f>
        <v xml:space="preserve"> </v>
      </c>
      <c r="E71" s="104">
        <v>17</v>
      </c>
      <c r="F71" s="102" t="s">
        <v>253</v>
      </c>
      <c r="G71" s="105">
        <v>2026</v>
      </c>
      <c r="I71" s="486"/>
      <c r="K71" s="486"/>
      <c r="M71" s="486"/>
      <c r="O71" s="486"/>
      <c r="Q71" s="486"/>
      <c r="S71" s="486"/>
      <c r="U71" s="486"/>
      <c r="W71" s="486"/>
      <c r="X71" s="486"/>
      <c r="Y71" s="486"/>
      <c r="Z71" s="486"/>
      <c r="AA71" s="486"/>
      <c r="AB71" s="486"/>
      <c r="AC71" s="486"/>
      <c r="AD71" s="486"/>
      <c r="AE71" s="486"/>
      <c r="AF71" s="486"/>
      <c r="AH71" s="12"/>
      <c r="AJ71" s="12"/>
      <c r="AL71" s="12"/>
      <c r="AN71" s="12"/>
      <c r="AP71" s="12"/>
      <c r="AR71" s="12"/>
      <c r="AT71" s="12"/>
      <c r="AU71" s="1227"/>
      <c r="AV71" s="12"/>
      <c r="AW71" s="1227"/>
      <c r="AX71" s="12"/>
      <c r="AY71" s="1227"/>
      <c r="AZ71" s="12"/>
      <c r="BA71" s="1227"/>
      <c r="BB71" s="12"/>
      <c r="BC71" s="1227"/>
      <c r="BD71" s="12"/>
    </row>
    <row r="72" spans="1:56" s="485" customFormat="1" ht="14.25" customHeight="1">
      <c r="A72" s="483"/>
      <c r="B72" s="484"/>
      <c r="C72" s="102">
        <f t="shared" ca="1" si="18"/>
        <v>27</v>
      </c>
      <c r="D72" s="482" t="str" cm="1">
        <f t="array" aca="1" ref="D72" ca="1">_xlfn.CHOOSEROWS(F$55:F$91,C72)&amp;" "&amp;_xlfn.CHOOSEROWS($G$55:$G$91,C72)</f>
        <v xml:space="preserve"> </v>
      </c>
      <c r="E72" s="104">
        <v>18</v>
      </c>
      <c r="F72" s="102" t="s">
        <v>254</v>
      </c>
      <c r="G72" s="105">
        <v>2026</v>
      </c>
      <c r="I72" s="486"/>
      <c r="K72" s="486"/>
      <c r="M72" s="486"/>
      <c r="O72" s="486"/>
      <c r="Q72" s="486"/>
      <c r="S72" s="486"/>
      <c r="U72" s="486"/>
      <c r="W72" s="486"/>
      <c r="X72" s="486"/>
      <c r="Y72" s="486"/>
      <c r="Z72" s="486"/>
      <c r="AA72" s="486"/>
      <c r="AB72" s="486"/>
      <c r="AC72" s="486"/>
      <c r="AD72" s="486"/>
      <c r="AE72" s="486"/>
      <c r="AF72" s="486"/>
      <c r="AH72" s="12"/>
      <c r="AJ72" s="12"/>
      <c r="AL72" s="12"/>
      <c r="AN72" s="12"/>
      <c r="AP72" s="12"/>
      <c r="AR72" s="12"/>
      <c r="AT72" s="12"/>
      <c r="AU72" s="1227"/>
      <c r="AV72" s="12"/>
      <c r="AW72" s="1227"/>
      <c r="AX72" s="12"/>
      <c r="AY72" s="1227"/>
      <c r="AZ72" s="12"/>
      <c r="BA72" s="1227"/>
      <c r="BB72" s="12"/>
      <c r="BC72" s="1227"/>
      <c r="BD72" s="12"/>
    </row>
    <row r="73" spans="1:56" s="485" customFormat="1" ht="14.25" customHeight="1">
      <c r="A73" s="483"/>
      <c r="B73" s="484"/>
      <c r="C73" s="102">
        <f t="shared" ca="1" si="18"/>
        <v>28</v>
      </c>
      <c r="D73" s="482" t="str" cm="1">
        <f t="array" aca="1" ref="D73" ca="1">_xlfn.CHOOSEROWS(F$55:F$91,C73)&amp;" "&amp;_xlfn.CHOOSEROWS($G$55:$G$91,C73)</f>
        <v xml:space="preserve"> </v>
      </c>
      <c r="E73" s="104">
        <v>19</v>
      </c>
      <c r="F73" s="102" t="s">
        <v>255</v>
      </c>
      <c r="G73" s="105">
        <v>2026</v>
      </c>
      <c r="I73" s="486"/>
      <c r="K73" s="486"/>
      <c r="M73" s="486"/>
      <c r="O73" s="486"/>
      <c r="Q73" s="486"/>
      <c r="S73" s="486"/>
      <c r="U73" s="486"/>
      <c r="W73" s="486"/>
      <c r="X73" s="486"/>
      <c r="Y73" s="486"/>
      <c r="Z73" s="486"/>
      <c r="AA73" s="486"/>
      <c r="AB73" s="486"/>
      <c r="AC73" s="486"/>
      <c r="AD73" s="486"/>
      <c r="AE73" s="486"/>
      <c r="AF73" s="486"/>
      <c r="AH73" s="12"/>
      <c r="AJ73" s="12"/>
      <c r="AL73" s="12"/>
      <c r="AN73" s="12"/>
      <c r="AP73" s="12"/>
      <c r="AR73" s="12"/>
      <c r="AT73" s="12"/>
      <c r="AU73" s="1227"/>
      <c r="AV73" s="12"/>
      <c r="AW73" s="1227"/>
      <c r="AX73" s="12"/>
      <c r="AY73" s="1227"/>
      <c r="AZ73" s="12"/>
      <c r="BA73" s="1227"/>
      <c r="BB73" s="12"/>
      <c r="BC73" s="1227"/>
      <c r="BD73" s="12"/>
    </row>
    <row r="74" spans="1:56" s="485" customFormat="1" ht="14.25" customHeight="1">
      <c r="A74" s="483"/>
      <c r="B74" s="484"/>
      <c r="C74" s="105"/>
      <c r="D74" s="487"/>
      <c r="E74" s="104">
        <v>20</v>
      </c>
      <c r="F74" s="102" t="s">
        <v>256</v>
      </c>
      <c r="G74" s="105">
        <v>2026</v>
      </c>
      <c r="I74" s="486"/>
      <c r="K74" s="486"/>
      <c r="M74" s="486"/>
      <c r="O74" s="486"/>
      <c r="Q74" s="486"/>
      <c r="S74" s="486"/>
      <c r="U74" s="486"/>
      <c r="W74" s="486"/>
      <c r="X74" s="486"/>
      <c r="Y74" s="486"/>
      <c r="Z74" s="486"/>
      <c r="AA74" s="486"/>
      <c r="AB74" s="486"/>
      <c r="AC74" s="486"/>
      <c r="AD74" s="486"/>
      <c r="AE74" s="486"/>
      <c r="AF74" s="486"/>
      <c r="AH74" s="12"/>
      <c r="AJ74" s="12"/>
      <c r="AL74" s="12"/>
      <c r="AN74" s="12"/>
      <c r="AP74" s="12"/>
      <c r="AR74" s="12"/>
      <c r="AT74" s="12"/>
      <c r="AU74" s="1227"/>
      <c r="AV74" s="12"/>
      <c r="AW74" s="1227"/>
      <c r="AX74" s="12"/>
      <c r="AY74" s="1227"/>
      <c r="AZ74" s="12"/>
      <c r="BA74" s="1227"/>
      <c r="BB74" s="12"/>
      <c r="BC74" s="1227"/>
      <c r="BD74" s="12"/>
    </row>
    <row r="75" spans="1:56" s="485" customFormat="1" ht="14.25" customHeight="1">
      <c r="A75" s="483"/>
      <c r="B75" s="484"/>
      <c r="C75" s="105"/>
      <c r="D75" s="487"/>
      <c r="E75" s="104">
        <v>21</v>
      </c>
      <c r="F75" s="102" t="s">
        <v>257</v>
      </c>
      <c r="G75" s="105">
        <v>2026</v>
      </c>
      <c r="I75" s="486"/>
      <c r="K75" s="486"/>
      <c r="M75" s="486"/>
      <c r="O75" s="486"/>
      <c r="Q75" s="486"/>
      <c r="S75" s="486"/>
      <c r="U75" s="486"/>
      <c r="W75" s="486"/>
      <c r="X75" s="486"/>
      <c r="Y75" s="486"/>
      <c r="Z75" s="486"/>
      <c r="AA75" s="486"/>
      <c r="AB75" s="486"/>
      <c r="AC75" s="486"/>
      <c r="AD75" s="486"/>
      <c r="AE75" s="486"/>
      <c r="AF75" s="486"/>
      <c r="AH75" s="12"/>
      <c r="AJ75" s="12"/>
      <c r="AL75" s="12"/>
      <c r="AN75" s="12"/>
      <c r="AP75" s="12"/>
      <c r="AR75" s="12"/>
      <c r="AT75" s="12"/>
      <c r="AU75" s="1227"/>
      <c r="AV75" s="12"/>
      <c r="AW75" s="1227"/>
      <c r="AX75" s="12"/>
      <c r="AY75" s="1227"/>
      <c r="AZ75" s="12"/>
      <c r="BA75" s="1227"/>
      <c r="BB75" s="12"/>
      <c r="BC75" s="1227"/>
      <c r="BD75" s="12"/>
    </row>
    <row r="76" spans="1:56" s="485" customFormat="1" ht="14.25" customHeight="1">
      <c r="A76" s="483"/>
      <c r="B76" s="484"/>
      <c r="C76" s="105"/>
      <c r="D76" s="487"/>
      <c r="E76" s="104">
        <v>22</v>
      </c>
      <c r="F76" s="102" t="s">
        <v>258</v>
      </c>
      <c r="G76" s="105">
        <v>2026</v>
      </c>
      <c r="I76" s="486"/>
      <c r="K76" s="486"/>
      <c r="M76" s="486"/>
      <c r="O76" s="486"/>
      <c r="Q76" s="486"/>
      <c r="S76" s="486"/>
      <c r="U76" s="486"/>
      <c r="W76" s="486"/>
      <c r="X76" s="486"/>
      <c r="Y76" s="486"/>
      <c r="Z76" s="486"/>
      <c r="AA76" s="486"/>
      <c r="AB76" s="486"/>
      <c r="AC76" s="486"/>
      <c r="AD76" s="486"/>
      <c r="AE76" s="486"/>
      <c r="AF76" s="486"/>
      <c r="AH76" s="12"/>
      <c r="AJ76" s="12"/>
      <c r="AL76" s="12"/>
      <c r="AN76" s="12"/>
      <c r="AP76" s="12"/>
      <c r="AR76" s="12"/>
      <c r="AT76" s="12"/>
      <c r="AU76" s="1227"/>
      <c r="AV76" s="12"/>
      <c r="AW76" s="1227"/>
      <c r="AX76" s="12"/>
      <c r="AY76" s="1227"/>
      <c r="AZ76" s="12"/>
      <c r="BA76" s="1227"/>
      <c r="BB76" s="12"/>
      <c r="BC76" s="1227"/>
      <c r="BD76" s="12"/>
    </row>
    <row r="77" spans="1:56" s="485" customFormat="1" ht="14.25" customHeight="1">
      <c r="A77" s="483"/>
      <c r="B77" s="484"/>
      <c r="C77" s="105"/>
      <c r="D77" s="487"/>
      <c r="E77" s="104">
        <v>23</v>
      </c>
      <c r="F77" s="105" t="s">
        <v>259</v>
      </c>
      <c r="G77" s="105">
        <v>2026</v>
      </c>
      <c r="I77" s="486"/>
      <c r="K77" s="486"/>
      <c r="M77" s="486"/>
      <c r="O77" s="486"/>
      <c r="Q77" s="486"/>
      <c r="S77" s="486"/>
      <c r="U77" s="486"/>
      <c r="W77" s="486"/>
      <c r="X77" s="486"/>
      <c r="Y77" s="486"/>
      <c r="Z77" s="486"/>
      <c r="AA77" s="486"/>
      <c r="AB77" s="486"/>
      <c r="AC77" s="486"/>
      <c r="AD77" s="486"/>
      <c r="AE77" s="486"/>
      <c r="AF77" s="486"/>
      <c r="AH77" s="12"/>
      <c r="AJ77" s="12"/>
      <c r="AL77" s="12"/>
      <c r="AN77" s="12"/>
      <c r="AP77" s="12"/>
      <c r="AR77" s="12"/>
      <c r="AT77" s="12"/>
      <c r="AU77" s="1227"/>
      <c r="AV77" s="12"/>
      <c r="AW77" s="1227"/>
      <c r="AX77" s="12"/>
      <c r="AY77" s="1227"/>
      <c r="AZ77" s="12"/>
      <c r="BA77" s="1227"/>
      <c r="BB77" s="12"/>
      <c r="BC77" s="1227"/>
      <c r="BD77" s="12"/>
    </row>
    <row r="78" spans="1:56" s="485" customFormat="1" ht="14.25" customHeight="1">
      <c r="A78" s="483"/>
      <c r="B78" s="484"/>
      <c r="C78" s="105"/>
      <c r="D78" s="487"/>
      <c r="E78" s="104">
        <v>24</v>
      </c>
      <c r="F78" s="105" t="s">
        <v>260</v>
      </c>
      <c r="G78" s="105">
        <v>2026</v>
      </c>
      <c r="I78" s="486"/>
      <c r="K78" s="486"/>
      <c r="M78" s="486"/>
      <c r="O78" s="486"/>
      <c r="Q78" s="486"/>
      <c r="S78" s="486"/>
      <c r="U78" s="486"/>
      <c r="W78" s="486"/>
      <c r="X78" s="486"/>
      <c r="Y78" s="486"/>
      <c r="Z78" s="486"/>
      <c r="AA78" s="486"/>
      <c r="AB78" s="486"/>
      <c r="AC78" s="486"/>
      <c r="AD78" s="486"/>
      <c r="AE78" s="486"/>
      <c r="AF78" s="486"/>
      <c r="AH78" s="12"/>
      <c r="AJ78" s="12"/>
      <c r="AL78" s="12"/>
      <c r="AN78" s="12"/>
      <c r="AP78" s="12"/>
      <c r="AR78" s="12"/>
      <c r="AT78" s="12"/>
      <c r="AU78" s="1227"/>
      <c r="AV78" s="12"/>
      <c r="AW78" s="1227"/>
      <c r="AX78" s="12"/>
      <c r="AY78" s="1227"/>
      <c r="AZ78" s="12"/>
      <c r="BA78" s="1227"/>
      <c r="BB78" s="12"/>
      <c r="BC78" s="1227"/>
      <c r="BD78" s="12"/>
    </row>
    <row r="79" spans="1:56" s="485" customFormat="1" ht="14.25" customHeight="1">
      <c r="A79" s="483"/>
      <c r="B79" s="484"/>
      <c r="C79" s="486"/>
      <c r="D79" s="486"/>
      <c r="E79" s="105"/>
      <c r="F79" s="105"/>
      <c r="G79" s="105"/>
      <c r="I79" s="486"/>
      <c r="K79" s="486"/>
      <c r="M79" s="486"/>
      <c r="O79" s="486"/>
      <c r="Q79" s="486"/>
      <c r="S79" s="486"/>
      <c r="U79" s="486"/>
      <c r="W79" s="486"/>
      <c r="X79" s="486"/>
      <c r="Y79" s="486"/>
      <c r="Z79" s="486"/>
      <c r="AA79" s="486"/>
      <c r="AB79" s="486"/>
      <c r="AC79" s="486"/>
      <c r="AD79" s="486"/>
      <c r="AE79" s="486"/>
      <c r="AF79" s="486"/>
      <c r="AH79" s="12"/>
      <c r="AJ79" s="12"/>
      <c r="AL79" s="12"/>
      <c r="AN79" s="12"/>
      <c r="AP79" s="12"/>
      <c r="AR79" s="12"/>
      <c r="AT79" s="12"/>
      <c r="AU79" s="1227"/>
      <c r="AV79" s="12"/>
      <c r="AW79" s="1227"/>
      <c r="AX79" s="12"/>
      <c r="AY79" s="1227"/>
      <c r="AZ79" s="12"/>
      <c r="BA79" s="1227"/>
      <c r="BB79" s="12"/>
      <c r="BC79" s="1227"/>
      <c r="BD79" s="12"/>
    </row>
    <row r="80" spans="1:56" s="485" customFormat="1" ht="14.25" customHeight="1">
      <c r="A80" s="483"/>
      <c r="B80" s="484"/>
      <c r="C80" s="486"/>
      <c r="D80" s="486"/>
      <c r="E80" s="105"/>
      <c r="F80" s="105"/>
      <c r="G80" s="105"/>
      <c r="I80" s="486"/>
      <c r="K80" s="486"/>
      <c r="M80" s="486"/>
      <c r="O80" s="486"/>
      <c r="Q80" s="486"/>
      <c r="S80" s="486"/>
      <c r="U80" s="486"/>
      <c r="W80" s="486"/>
      <c r="X80" s="486"/>
      <c r="Y80" s="486"/>
      <c r="Z80" s="486"/>
      <c r="AA80" s="486"/>
      <c r="AB80" s="486"/>
      <c r="AC80" s="486"/>
      <c r="AD80" s="486"/>
      <c r="AE80" s="486"/>
      <c r="AF80" s="486"/>
      <c r="AH80" s="12"/>
      <c r="AJ80" s="12"/>
      <c r="AL80" s="12"/>
      <c r="AN80" s="12"/>
      <c r="AP80" s="12"/>
      <c r="AR80" s="12"/>
      <c r="AT80" s="12"/>
      <c r="AU80" s="1227"/>
      <c r="AV80" s="12"/>
      <c r="AW80" s="1227"/>
      <c r="AX80" s="12"/>
      <c r="AY80" s="1227"/>
      <c r="AZ80" s="12"/>
      <c r="BA80" s="1227"/>
      <c r="BB80" s="12"/>
      <c r="BC80" s="1227"/>
      <c r="BD80" s="12"/>
    </row>
    <row r="81" spans="1:56" s="485" customFormat="1" ht="14.25" customHeight="1">
      <c r="A81" s="483"/>
      <c r="B81" s="484"/>
      <c r="C81" s="486"/>
      <c r="D81" s="486"/>
      <c r="E81" s="105"/>
      <c r="F81" s="105"/>
      <c r="G81" s="105"/>
      <c r="I81" s="486"/>
      <c r="K81" s="486"/>
      <c r="M81" s="486"/>
      <c r="O81" s="486"/>
      <c r="Q81" s="486"/>
      <c r="S81" s="486"/>
      <c r="U81" s="486"/>
      <c r="W81" s="486"/>
      <c r="X81" s="486"/>
      <c r="Y81" s="486"/>
      <c r="Z81" s="486"/>
      <c r="AA81" s="486"/>
      <c r="AB81" s="486"/>
      <c r="AC81" s="486"/>
      <c r="AD81" s="486"/>
      <c r="AE81" s="486"/>
      <c r="AF81" s="486"/>
      <c r="AH81" s="12"/>
      <c r="AJ81" s="12"/>
      <c r="AL81" s="12"/>
      <c r="AN81" s="12"/>
      <c r="AP81" s="12"/>
      <c r="AR81" s="12"/>
      <c r="AT81" s="12"/>
      <c r="AU81" s="1227"/>
      <c r="AV81" s="12"/>
      <c r="AW81" s="1227"/>
      <c r="AX81" s="12"/>
      <c r="AY81" s="1227"/>
      <c r="AZ81" s="12"/>
      <c r="BA81" s="1227"/>
      <c r="BB81" s="12"/>
      <c r="BC81" s="1227"/>
      <c r="BD81" s="12"/>
    </row>
    <row r="82" spans="1:56" s="485" customFormat="1" ht="14.25" customHeight="1">
      <c r="A82" s="483"/>
      <c r="B82" s="484"/>
      <c r="C82" s="486"/>
      <c r="D82" s="486"/>
      <c r="E82" s="105"/>
      <c r="F82" s="105"/>
      <c r="G82" s="105"/>
      <c r="I82" s="486"/>
      <c r="K82" s="486"/>
      <c r="M82" s="486"/>
      <c r="O82" s="486"/>
      <c r="Q82" s="486"/>
      <c r="S82" s="486"/>
      <c r="U82" s="486"/>
      <c r="W82" s="486"/>
      <c r="X82" s="486"/>
      <c r="Y82" s="486"/>
      <c r="Z82" s="486"/>
      <c r="AA82" s="486"/>
      <c r="AB82" s="486"/>
      <c r="AC82" s="486"/>
      <c r="AD82" s="486"/>
      <c r="AE82" s="486"/>
      <c r="AF82" s="486"/>
      <c r="AH82" s="12"/>
      <c r="AJ82" s="12"/>
      <c r="AL82" s="12"/>
      <c r="AN82" s="12"/>
      <c r="AP82" s="12"/>
      <c r="AR82" s="12"/>
      <c r="AT82" s="12"/>
      <c r="AU82" s="1227"/>
      <c r="AV82" s="12"/>
      <c r="AW82" s="1227"/>
      <c r="AX82" s="12"/>
      <c r="AY82" s="1227"/>
      <c r="AZ82" s="12"/>
      <c r="BA82" s="1227"/>
      <c r="BB82" s="12"/>
      <c r="BC82" s="1227"/>
      <c r="BD82" s="12"/>
    </row>
    <row r="83" spans="1:56" s="485" customFormat="1" ht="14.25" customHeight="1">
      <c r="A83" s="483"/>
      <c r="B83" s="484"/>
      <c r="C83" s="486"/>
      <c r="D83" s="486"/>
      <c r="E83" s="105"/>
      <c r="F83" s="105"/>
      <c r="G83" s="105"/>
      <c r="I83" s="486"/>
      <c r="K83" s="486"/>
      <c r="M83" s="486"/>
      <c r="O83" s="486"/>
      <c r="Q83" s="486"/>
      <c r="S83" s="486"/>
      <c r="U83" s="486"/>
      <c r="W83" s="486"/>
      <c r="X83" s="486"/>
      <c r="Y83" s="486"/>
      <c r="Z83" s="486"/>
      <c r="AA83" s="486"/>
      <c r="AB83" s="486"/>
      <c r="AC83" s="486"/>
      <c r="AD83" s="486"/>
      <c r="AE83" s="486"/>
      <c r="AF83" s="486"/>
      <c r="AH83" s="12"/>
      <c r="AJ83" s="12"/>
      <c r="AL83" s="12"/>
      <c r="AN83" s="12"/>
      <c r="AP83" s="12"/>
      <c r="AR83" s="12"/>
      <c r="AT83" s="12"/>
      <c r="AU83" s="1227"/>
      <c r="AV83" s="12"/>
      <c r="AW83" s="1227"/>
      <c r="AX83" s="12"/>
      <c r="AY83" s="1227"/>
      <c r="AZ83" s="12"/>
      <c r="BA83" s="1227"/>
      <c r="BB83" s="12"/>
      <c r="BC83" s="1227"/>
      <c r="BD83" s="12"/>
    </row>
    <row r="84" spans="1:56" s="485" customFormat="1" ht="14.25" customHeight="1">
      <c r="A84" s="483"/>
      <c r="B84" s="484"/>
      <c r="C84" s="486"/>
      <c r="D84" s="486"/>
      <c r="E84" s="105"/>
      <c r="F84" s="105"/>
      <c r="G84" s="105"/>
      <c r="I84" s="486"/>
      <c r="K84" s="486"/>
      <c r="M84" s="486"/>
      <c r="O84" s="486"/>
      <c r="Q84" s="486"/>
      <c r="S84" s="486"/>
      <c r="U84" s="486"/>
      <c r="W84" s="486"/>
      <c r="X84" s="486"/>
      <c r="Y84" s="486"/>
      <c r="Z84" s="486"/>
      <c r="AA84" s="486"/>
      <c r="AB84" s="486"/>
      <c r="AC84" s="486"/>
      <c r="AD84" s="486"/>
      <c r="AE84" s="486"/>
      <c r="AF84" s="486"/>
      <c r="AH84" s="12"/>
      <c r="AJ84" s="12"/>
      <c r="AL84" s="12"/>
      <c r="AN84" s="12"/>
      <c r="AP84" s="12"/>
      <c r="AR84" s="12"/>
      <c r="AT84" s="12"/>
      <c r="AU84" s="1227"/>
      <c r="AV84" s="12"/>
      <c r="AW84" s="1227"/>
      <c r="AX84" s="12"/>
      <c r="AY84" s="1227"/>
      <c r="AZ84" s="12"/>
      <c r="BA84" s="1227"/>
      <c r="BB84" s="12"/>
      <c r="BC84" s="1227"/>
      <c r="BD84" s="12"/>
    </row>
    <row r="85" spans="1:56" s="485" customFormat="1" ht="14.25" customHeight="1">
      <c r="A85" s="483"/>
      <c r="B85" s="484"/>
      <c r="C85" s="486"/>
      <c r="D85" s="486"/>
      <c r="E85" s="105"/>
      <c r="F85" s="105"/>
      <c r="G85" s="105"/>
      <c r="I85" s="486"/>
      <c r="K85" s="486"/>
      <c r="M85" s="486"/>
      <c r="O85" s="486"/>
      <c r="Q85" s="486"/>
      <c r="S85" s="486"/>
      <c r="U85" s="486"/>
      <c r="W85" s="486"/>
      <c r="X85" s="486"/>
      <c r="Y85" s="486"/>
      <c r="Z85" s="486"/>
      <c r="AA85" s="486"/>
      <c r="AB85" s="486"/>
      <c r="AC85" s="486"/>
      <c r="AD85" s="486"/>
      <c r="AE85" s="486"/>
      <c r="AF85" s="486"/>
      <c r="AH85" s="12"/>
      <c r="AJ85" s="12"/>
      <c r="AL85" s="12"/>
      <c r="AN85" s="12"/>
      <c r="AP85" s="12"/>
      <c r="AR85" s="12"/>
      <c r="AT85" s="12"/>
      <c r="AU85" s="1227"/>
      <c r="AV85" s="12"/>
      <c r="AW85" s="1227"/>
      <c r="AX85" s="12"/>
      <c r="AY85" s="1227"/>
      <c r="AZ85" s="12"/>
      <c r="BA85" s="1227"/>
      <c r="BB85" s="12"/>
      <c r="BC85" s="1227"/>
      <c r="BD85" s="12"/>
    </row>
    <row r="86" spans="1:56" s="485" customFormat="1" ht="14.25" customHeight="1">
      <c r="A86" s="483"/>
      <c r="B86" s="484"/>
      <c r="C86" s="486"/>
      <c r="D86" s="486"/>
      <c r="E86" s="105"/>
      <c r="F86" s="105"/>
      <c r="G86" s="105"/>
      <c r="I86" s="486"/>
      <c r="K86" s="486"/>
      <c r="M86" s="486"/>
      <c r="O86" s="486"/>
      <c r="Q86" s="486"/>
      <c r="S86" s="486"/>
      <c r="U86" s="486"/>
      <c r="W86" s="486"/>
      <c r="X86" s="486"/>
      <c r="Y86" s="486"/>
      <c r="Z86" s="486"/>
      <c r="AA86" s="486"/>
      <c r="AB86" s="486"/>
      <c r="AC86" s="486"/>
      <c r="AD86" s="486"/>
      <c r="AE86" s="486"/>
      <c r="AF86" s="486"/>
      <c r="AH86" s="12"/>
      <c r="AJ86" s="12"/>
      <c r="AL86" s="12"/>
      <c r="AN86" s="12"/>
      <c r="AP86" s="12"/>
      <c r="AR86" s="12"/>
      <c r="AT86" s="12"/>
      <c r="AU86" s="1227"/>
      <c r="AV86" s="12"/>
      <c r="AW86" s="1227"/>
      <c r="AX86" s="12"/>
      <c r="AY86" s="1227"/>
      <c r="AZ86" s="12"/>
      <c r="BA86" s="1227"/>
      <c r="BB86" s="12"/>
      <c r="BC86" s="1227"/>
      <c r="BD86" s="12"/>
    </row>
    <row r="87" spans="1:56" s="485" customFormat="1" ht="14.25" customHeight="1">
      <c r="A87" s="483"/>
      <c r="B87" s="484"/>
      <c r="C87" s="486"/>
      <c r="D87" s="486"/>
      <c r="E87" s="105"/>
      <c r="F87" s="105"/>
      <c r="G87" s="105"/>
      <c r="I87" s="486"/>
      <c r="K87" s="486"/>
      <c r="M87" s="486"/>
      <c r="O87" s="486"/>
      <c r="Q87" s="486"/>
      <c r="S87" s="486"/>
      <c r="U87" s="486"/>
      <c r="W87" s="486"/>
      <c r="X87" s="486"/>
      <c r="Y87" s="486"/>
      <c r="Z87" s="486"/>
      <c r="AA87" s="486"/>
      <c r="AB87" s="486"/>
      <c r="AC87" s="486"/>
      <c r="AD87" s="486"/>
      <c r="AE87" s="486"/>
      <c r="AF87" s="486"/>
      <c r="AH87" s="12"/>
      <c r="AJ87" s="12"/>
      <c r="AL87" s="12"/>
      <c r="AN87" s="12"/>
      <c r="AP87" s="12"/>
      <c r="AR87" s="12"/>
      <c r="AT87" s="12"/>
      <c r="AU87" s="1227"/>
      <c r="AV87" s="12"/>
      <c r="AW87" s="1227"/>
      <c r="AX87" s="12"/>
      <c r="AY87" s="1227"/>
      <c r="AZ87" s="12"/>
      <c r="BA87" s="1227"/>
      <c r="BB87" s="12"/>
      <c r="BC87" s="1227"/>
      <c r="BD87" s="12"/>
    </row>
    <row r="88" spans="1:56" s="485" customFormat="1" ht="14.25" customHeight="1">
      <c r="A88" s="483"/>
      <c r="B88" s="484"/>
      <c r="C88" s="486"/>
      <c r="D88" s="486"/>
      <c r="E88" s="105"/>
      <c r="F88" s="105"/>
      <c r="G88" s="105"/>
      <c r="I88" s="486"/>
      <c r="K88" s="486"/>
      <c r="M88" s="486"/>
      <c r="O88" s="486"/>
      <c r="Q88" s="486"/>
      <c r="S88" s="486"/>
      <c r="U88" s="486"/>
      <c r="W88" s="486"/>
      <c r="X88" s="486"/>
      <c r="Y88" s="486"/>
      <c r="Z88" s="486"/>
      <c r="AA88" s="486"/>
      <c r="AB88" s="486"/>
      <c r="AC88" s="486"/>
      <c r="AD88" s="486"/>
      <c r="AE88" s="486"/>
      <c r="AF88" s="486"/>
      <c r="AH88" s="12"/>
      <c r="AJ88" s="12"/>
      <c r="AL88" s="12"/>
      <c r="AN88" s="12"/>
      <c r="AP88" s="12"/>
      <c r="AR88" s="12"/>
      <c r="AT88" s="12"/>
      <c r="AU88" s="1227"/>
      <c r="AV88" s="12"/>
      <c r="AW88" s="1227"/>
      <c r="AX88" s="12"/>
      <c r="AY88" s="1227"/>
      <c r="AZ88" s="12"/>
      <c r="BA88" s="1227"/>
      <c r="BB88" s="12"/>
      <c r="BC88" s="1227"/>
      <c r="BD88" s="12"/>
    </row>
    <row r="89" spans="1:56" s="485" customFormat="1" ht="14.25" customHeight="1">
      <c r="A89" s="483"/>
      <c r="B89" s="484"/>
      <c r="C89" s="486"/>
      <c r="D89" s="486"/>
      <c r="E89" s="105"/>
      <c r="F89" s="105"/>
      <c r="G89" s="105"/>
      <c r="I89" s="486"/>
      <c r="K89" s="486"/>
      <c r="M89" s="486"/>
      <c r="O89" s="486"/>
      <c r="Q89" s="486"/>
      <c r="S89" s="486"/>
      <c r="U89" s="486"/>
      <c r="W89" s="486"/>
      <c r="X89" s="486"/>
      <c r="Y89" s="486"/>
      <c r="Z89" s="486"/>
      <c r="AA89" s="486"/>
      <c r="AB89" s="486"/>
      <c r="AC89" s="486"/>
      <c r="AD89" s="486"/>
      <c r="AE89" s="486"/>
      <c r="AF89" s="486"/>
      <c r="AH89" s="12"/>
      <c r="AJ89" s="12"/>
      <c r="AL89" s="12"/>
      <c r="AN89" s="12"/>
      <c r="AP89" s="12"/>
      <c r="AR89" s="12"/>
      <c r="AT89" s="12"/>
      <c r="AU89" s="1227"/>
      <c r="AV89" s="12"/>
      <c r="AW89" s="1227"/>
      <c r="AX89" s="12"/>
      <c r="AY89" s="1227"/>
      <c r="AZ89" s="12"/>
      <c r="BA89" s="1227"/>
      <c r="BB89" s="12"/>
      <c r="BC89" s="1227"/>
      <c r="BD89" s="12"/>
    </row>
    <row r="90" spans="1:56" s="485" customFormat="1" ht="14.25" customHeight="1">
      <c r="A90" s="483"/>
      <c r="B90" s="484"/>
      <c r="C90" s="486"/>
      <c r="D90" s="486"/>
      <c r="E90" s="105"/>
      <c r="F90" s="105"/>
      <c r="G90" s="105"/>
      <c r="I90" s="486"/>
      <c r="K90" s="486"/>
      <c r="M90" s="486"/>
      <c r="O90" s="486"/>
      <c r="Q90" s="486"/>
      <c r="S90" s="486"/>
      <c r="U90" s="486"/>
      <c r="W90" s="486"/>
      <c r="X90" s="486"/>
      <c r="Y90" s="486"/>
      <c r="Z90" s="486"/>
      <c r="AA90" s="486"/>
      <c r="AB90" s="486"/>
      <c r="AC90" s="486"/>
      <c r="AD90" s="486"/>
      <c r="AE90" s="486"/>
      <c r="AF90" s="486"/>
      <c r="AH90" s="12"/>
      <c r="AJ90" s="12"/>
      <c r="AL90" s="12"/>
      <c r="AN90" s="12"/>
      <c r="AP90" s="12"/>
      <c r="AR90" s="12"/>
      <c r="AT90" s="12"/>
      <c r="AU90" s="1227"/>
      <c r="AV90" s="12"/>
      <c r="AW90" s="1227"/>
      <c r="AX90" s="12"/>
      <c r="AY90" s="1227"/>
      <c r="AZ90" s="12"/>
      <c r="BA90" s="1227"/>
      <c r="BB90" s="12"/>
      <c r="BC90" s="1227"/>
      <c r="BD90" s="12"/>
    </row>
    <row r="91" spans="1:56" s="485" customFormat="1" ht="14.25" customHeight="1">
      <c r="A91" s="483"/>
      <c r="B91" s="484"/>
      <c r="C91" s="486"/>
      <c r="D91" s="486"/>
      <c r="E91" s="105"/>
      <c r="F91" s="105"/>
      <c r="G91" s="105"/>
      <c r="I91" s="486"/>
      <c r="K91" s="486"/>
      <c r="M91" s="486"/>
      <c r="O91" s="486"/>
      <c r="Q91" s="486"/>
      <c r="S91" s="486"/>
      <c r="U91" s="486"/>
      <c r="W91" s="486"/>
      <c r="X91" s="486"/>
      <c r="Y91" s="486"/>
      <c r="Z91" s="486"/>
      <c r="AA91" s="486"/>
      <c r="AB91" s="486"/>
      <c r="AC91" s="486"/>
      <c r="AD91" s="486"/>
      <c r="AE91" s="486"/>
      <c r="AF91" s="486"/>
      <c r="AH91" s="12"/>
      <c r="AJ91" s="12"/>
      <c r="AL91" s="12"/>
      <c r="AN91" s="12"/>
      <c r="AP91" s="12"/>
      <c r="AR91" s="12"/>
      <c r="AT91" s="12"/>
      <c r="AU91" s="1227"/>
      <c r="AV91" s="12"/>
      <c r="AW91" s="1227"/>
      <c r="AX91" s="12"/>
      <c r="AY91" s="1227"/>
      <c r="AZ91" s="12"/>
      <c r="BA91" s="1227"/>
      <c r="BB91" s="12"/>
      <c r="BC91" s="1227"/>
      <c r="BD91" s="12"/>
    </row>
  </sheetData>
  <conditionalFormatting sqref="AH2:AH34 AH36:AH147">
    <cfRule type="colorScale" priority="2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H35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J2:AJ34 AJ36:AJ147">
    <cfRule type="colorScale" priority="2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J35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L2:AL34 AL36:AL147">
    <cfRule type="colorScale" priority="2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L35">
    <cfRule type="colorScale" priority="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N2:AN34 AN36:AN147">
    <cfRule type="colorScale" priority="2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N35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P2:AP34 AP36:AP147">
    <cfRule type="colorScale" priority="2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P35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R2:AR34 AR36:AR147">
    <cfRule type="colorScale" priority="1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R35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T2:AT34 AT36:AT147">
    <cfRule type="colorScale" priority="1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T35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V2:AV34 AV36:AV147">
    <cfRule type="colorScale" priority="1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V35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X2:AX34 AX36:AX147">
    <cfRule type="colorScale" priority="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X35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2:AZ34 AZ36:AZ147">
    <cfRule type="colorScale" priority="1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35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34 BB36:BB147">
    <cfRule type="colorScale" priority="1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35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34 BD36:BD147">
    <cfRule type="colorScale" priority="1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35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G2" r:id="rId1" xr:uid="{C53DB784-F30F-4685-97D6-BE16436CCD5D}"/>
    <hyperlink ref="K6" r:id="rId2" xr:uid="{206B9EF8-65E5-4A16-A1CD-56522E0D048F}"/>
    <hyperlink ref="G27" r:id="rId3" xr:uid="{D07698C7-8611-4679-9409-23C051D60D10}"/>
    <hyperlink ref="I27" r:id="rId4" xr:uid="{E11FD7E3-7B8C-474E-857C-4A9349FD9110}"/>
    <hyperlink ref="G3" r:id="rId5" xr:uid="{389DAF71-6E22-4BF2-A1D7-7183F2078D5A}"/>
    <hyperlink ref="I3" r:id="rId6" xr:uid="{01F5660B-5325-43A5-85F6-371CC13E85E9}"/>
    <hyperlink ref="G15" r:id="rId7" xr:uid="{C769DE84-DD24-465C-A216-1D81E301AA64}"/>
    <hyperlink ref="I15" r:id="rId8" xr:uid="{6999AEE2-A216-46EC-B6C4-3BC99CF38C70}"/>
  </hyperlinks>
  <pageMargins left="0.7" right="0.7" top="0.75" bottom="0.75" header="0.3" footer="0.3"/>
  <pageSetup paperSize="9" orientation="portrait" useFirstPageNumber="1" horizontalDpi="4294967295" verticalDpi="4294967295" r:id="rId9"/>
  <legacyDrawing r:id="rId1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ED63-C7B6-4193-9E6C-0976EB6BFCDB}">
  <sheetPr>
    <tabColor rgb="FF92D050"/>
  </sheetPr>
  <dimension ref="A1:DN112"/>
  <sheetViews>
    <sheetView zoomScale="85" zoomScaleNormal="85" workbookViewId="0">
      <pane xSplit="2" ySplit="1" topLeftCell="D2" activePane="bottomRight" state="frozen"/>
      <selection activeCell="H1" sqref="H1"/>
      <selection pane="topRight" activeCell="H1" sqref="H1"/>
      <selection pane="bottomLeft" activeCell="H1" sqref="H1"/>
      <selection pane="bottomRight" activeCell="M43" sqref="M43"/>
    </sheetView>
  </sheetViews>
  <sheetFormatPr defaultColWidth="9.140625" defaultRowHeight="15.75" customHeight="1"/>
  <cols>
    <col min="1" max="1" width="9.140625" style="1" customWidth="1"/>
    <col min="2" max="2" width="64.7109375" style="2" customWidth="1"/>
    <col min="3" max="3" width="137.28515625" style="12" customWidth="1"/>
    <col min="4" max="4" width="7.140625" style="2" customWidth="1"/>
    <col min="5" max="5" width="9.7109375" style="12" customWidth="1"/>
    <col min="6" max="6" width="30" style="609" customWidth="1"/>
    <col min="7" max="7" width="37.85546875" style="611" customWidth="1"/>
    <col min="8" max="8" width="22" style="609" customWidth="1"/>
    <col min="9" max="9" width="52.5703125" style="611" customWidth="1"/>
    <col min="10" max="10" width="10.5703125" style="609" customWidth="1"/>
    <col min="11" max="11" width="23.5703125" style="611" customWidth="1"/>
    <col min="12" max="12" width="9.28515625" style="609" customWidth="1"/>
    <col min="13" max="13" width="24.42578125" style="611" customWidth="1"/>
    <col min="14" max="14" width="9.140625" style="609" customWidth="1"/>
    <col min="15" max="15" width="36.85546875" style="611" customWidth="1"/>
    <col min="16" max="16" width="9.140625" style="609" customWidth="1"/>
    <col min="17" max="17" width="16.140625" style="611" customWidth="1"/>
    <col min="18" max="18" width="9.140625" style="609" customWidth="1"/>
    <col min="19" max="19" width="9.140625" style="611" customWidth="1"/>
    <col min="20" max="20" width="9.140625" style="609" customWidth="1"/>
    <col min="21" max="21" width="9.140625" style="611" customWidth="1"/>
    <col min="22" max="22" width="9.140625" style="609" customWidth="1"/>
    <col min="23" max="23" width="9.140625" style="611" customWidth="1"/>
    <col min="24" max="24" width="9.140625" style="2" customWidth="1"/>
    <col min="25" max="25" width="14.42578125" style="2" customWidth="1"/>
    <col min="26" max="28" width="9.140625" style="2" customWidth="1"/>
    <col min="29" max="29" width="13" style="2" customWidth="1"/>
    <col min="30" max="30" width="9.140625" style="2" customWidth="1"/>
    <col min="31" max="31" width="13" style="2" customWidth="1"/>
    <col min="32" max="33" width="9.140625" style="2" customWidth="1"/>
    <col min="34" max="34" width="12.5703125" style="3" customWidth="1"/>
    <col min="35" max="35" width="11.140625" style="3" customWidth="1"/>
    <col min="36" max="36" width="5.85546875" style="12" customWidth="1"/>
    <col min="37" max="37" width="8.140625" style="3" customWidth="1"/>
    <col min="38" max="38" width="5.85546875" style="12" customWidth="1"/>
    <col min="39" max="39" width="10" style="3" customWidth="1"/>
    <col min="40" max="40" width="5.85546875" style="12" customWidth="1"/>
    <col min="41" max="41" width="10" style="2" customWidth="1"/>
    <col min="42" max="42" width="5.85546875" style="12" customWidth="1"/>
    <col min="43" max="43" width="10" style="2" customWidth="1"/>
    <col min="44" max="44" width="5.85546875" style="12" customWidth="1"/>
    <col min="45" max="45" width="9.85546875" style="2" customWidth="1"/>
    <col min="46" max="46" width="5.85546875" style="12" customWidth="1"/>
    <col min="47" max="47" width="10.5703125" style="2" customWidth="1"/>
    <col min="48" max="48" width="5.85546875" style="12" customWidth="1"/>
    <col min="49" max="49" width="30" style="2" customWidth="1"/>
    <col min="50" max="50" width="5.85546875" style="12" customWidth="1"/>
    <col min="51" max="51" width="30" style="2" customWidth="1"/>
    <col min="52" max="52" width="5.85546875" style="12" customWidth="1"/>
    <col min="53" max="53" width="30" style="2" customWidth="1"/>
    <col min="54" max="54" width="5.85546875" style="12" customWidth="1"/>
    <col min="55" max="55" width="30" style="2" customWidth="1"/>
    <col min="56" max="56" width="50" style="2" customWidth="1"/>
    <col min="57" max="57" width="3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95" width="20" style="2" customWidth="1"/>
    <col min="96" max="96" width="50" style="2" customWidth="1"/>
    <col min="97" max="97" width="20" style="2" customWidth="1"/>
    <col min="98" max="98" width="50" style="2" customWidth="1"/>
    <col min="99" max="99" width="20" style="2" customWidth="1"/>
    <col min="100" max="100" width="50" style="2" customWidth="1"/>
    <col min="101" max="101" width="20" style="2" customWidth="1"/>
    <col min="102" max="102" width="50" style="2" customWidth="1"/>
    <col min="103" max="103" width="20" style="2" customWidth="1"/>
    <col min="104" max="104" width="50" style="2" customWidth="1"/>
    <col min="105" max="105" width="20" style="2" customWidth="1"/>
    <col min="106" max="106" width="50" style="2" customWidth="1"/>
    <col min="107" max="107" width="20" style="2" customWidth="1"/>
    <col min="108" max="108" width="50" style="2" customWidth="1"/>
    <col min="109" max="109" width="20" style="2" customWidth="1"/>
    <col min="110" max="110" width="50" style="2" customWidth="1"/>
    <col min="111" max="111" width="20" style="2" customWidth="1"/>
    <col min="112" max="112" width="50" style="2" customWidth="1"/>
    <col min="113" max="113" width="20" style="2" customWidth="1"/>
    <col min="114" max="114" width="50" style="2" customWidth="1"/>
    <col min="115" max="115" width="20" style="2" customWidth="1"/>
    <col min="116" max="116" width="50" style="2" customWidth="1"/>
    <col min="117" max="117" width="20" style="2" customWidth="1"/>
    <col min="118" max="118" width="50" style="2" customWidth="1"/>
    <col min="119" max="16384" width="9.140625" style="2"/>
  </cols>
  <sheetData>
    <row r="1" spans="1:118" ht="15.75" customHeight="1">
      <c r="A1" s="5" t="s">
        <v>0</v>
      </c>
      <c r="B1" s="37" t="s">
        <v>60</v>
      </c>
      <c r="C1" s="38" t="s">
        <v>61</v>
      </c>
      <c r="D1" s="39" t="s">
        <v>3</v>
      </c>
      <c r="E1" s="40"/>
      <c r="F1" s="609" t="s">
        <v>4</v>
      </c>
      <c r="G1" s="2558">
        <f>8*60*1000*SpeedFaktor</f>
        <v>480000</v>
      </c>
      <c r="H1" s="609">
        <v>50</v>
      </c>
      <c r="AH1" s="3" t="s">
        <v>5</v>
      </c>
      <c r="AI1" s="150" t="s">
        <v>281</v>
      </c>
      <c r="AJ1" s="24" t="s">
        <v>8</v>
      </c>
      <c r="AK1" s="2" t="s">
        <v>282</v>
      </c>
      <c r="AL1" s="24" t="s">
        <v>8</v>
      </c>
      <c r="AM1" s="2" t="s">
        <v>9</v>
      </c>
      <c r="AN1" s="24" t="s">
        <v>8</v>
      </c>
      <c r="AO1" s="2" t="s">
        <v>10</v>
      </c>
      <c r="AP1" s="24" t="s">
        <v>8</v>
      </c>
      <c r="AQ1" s="2" t="s">
        <v>11</v>
      </c>
      <c r="AR1" s="24" t="s">
        <v>8</v>
      </c>
      <c r="AS1" s="2" t="s">
        <v>12</v>
      </c>
      <c r="AT1" s="24" t="s">
        <v>8</v>
      </c>
      <c r="AU1" s="2" t="s">
        <v>13</v>
      </c>
      <c r="AV1" s="24" t="s">
        <v>8</v>
      </c>
      <c r="AW1" s="2" t="s">
        <v>65</v>
      </c>
      <c r="AX1" s="24" t="s">
        <v>8</v>
      </c>
      <c r="AY1" s="2" t="s">
        <v>15</v>
      </c>
      <c r="AZ1" s="24" t="s">
        <v>8</v>
      </c>
      <c r="BA1" s="2" t="s">
        <v>17</v>
      </c>
      <c r="BB1" s="24" t="s">
        <v>8</v>
      </c>
      <c r="BC1" s="2" t="s">
        <v>1285</v>
      </c>
      <c r="BD1" s="2" t="s">
        <v>19</v>
      </c>
      <c r="BE1" s="2" t="s">
        <v>1286</v>
      </c>
      <c r="BF1" s="2" t="s">
        <v>20</v>
      </c>
      <c r="BG1" s="492" t="s">
        <v>1303</v>
      </c>
      <c r="BH1" s="493" t="s">
        <v>572</v>
      </c>
      <c r="BI1" s="575" t="s">
        <v>1306</v>
      </c>
      <c r="BJ1" s="576" t="s">
        <v>572</v>
      </c>
      <c r="BK1" s="792" t="s">
        <v>1311</v>
      </c>
      <c r="BL1" s="793" t="s">
        <v>572</v>
      </c>
      <c r="BM1" s="918" t="s">
        <v>1318</v>
      </c>
      <c r="BN1" s="919" t="s">
        <v>572</v>
      </c>
      <c r="BO1" s="1043" t="s">
        <v>1322</v>
      </c>
      <c r="BP1" s="1044" t="s">
        <v>572</v>
      </c>
      <c r="BQ1" s="1065" t="s">
        <v>1324</v>
      </c>
      <c r="BR1" s="1066" t="s">
        <v>572</v>
      </c>
      <c r="BS1" s="1187" t="s">
        <v>1327</v>
      </c>
      <c r="BT1" s="1188" t="s">
        <v>572</v>
      </c>
      <c r="BU1" s="1244" t="s">
        <v>1335</v>
      </c>
      <c r="BV1" s="1245" t="s">
        <v>572</v>
      </c>
      <c r="BW1" s="1251" t="s">
        <v>1338</v>
      </c>
      <c r="BX1" s="1252" t="s">
        <v>572</v>
      </c>
      <c r="BY1" s="1265" t="s">
        <v>1341</v>
      </c>
      <c r="BZ1" s="1266" t="s">
        <v>572</v>
      </c>
      <c r="CA1" s="1462" t="s">
        <v>1348</v>
      </c>
      <c r="CB1" s="1463" t="s">
        <v>572</v>
      </c>
      <c r="CC1" s="1464" t="s">
        <v>1350</v>
      </c>
      <c r="CD1" s="1465" t="s">
        <v>572</v>
      </c>
      <c r="CE1" s="1466" t="s">
        <v>1351</v>
      </c>
      <c r="CF1" s="1467" t="s">
        <v>572</v>
      </c>
      <c r="CG1" s="1468" t="s">
        <v>1352</v>
      </c>
      <c r="CH1" s="1469" t="s">
        <v>572</v>
      </c>
      <c r="CI1" s="1474" t="s">
        <v>1355</v>
      </c>
      <c r="CJ1" s="1475" t="s">
        <v>572</v>
      </c>
      <c r="CK1" s="1522" t="s">
        <v>1363</v>
      </c>
      <c r="CL1" s="1523" t="s">
        <v>572</v>
      </c>
      <c r="CM1" s="1668" t="s">
        <v>1368</v>
      </c>
      <c r="CN1" s="1669" t="s">
        <v>572</v>
      </c>
      <c r="CO1" s="1809" t="s">
        <v>1371</v>
      </c>
      <c r="CP1" s="1810" t="s">
        <v>572</v>
      </c>
      <c r="CQ1" s="1973" t="s">
        <v>1375</v>
      </c>
      <c r="CR1" s="1974" t="s">
        <v>572</v>
      </c>
      <c r="CS1" s="2077" t="s">
        <v>1397</v>
      </c>
      <c r="CT1" s="2078" t="s">
        <v>572</v>
      </c>
      <c r="CU1" s="2267" t="s">
        <v>1421</v>
      </c>
      <c r="CV1" s="2268" t="s">
        <v>572</v>
      </c>
      <c r="CW1" s="2430" t="s">
        <v>1430</v>
      </c>
      <c r="CX1" s="2431" t="s">
        <v>572</v>
      </c>
      <c r="CY1" s="2591" t="s">
        <v>1442</v>
      </c>
      <c r="CZ1" s="2592" t="s">
        <v>572</v>
      </c>
      <c r="DA1" s="2778" t="s">
        <v>1460</v>
      </c>
      <c r="DB1" s="2779" t="s">
        <v>572</v>
      </c>
      <c r="DC1" s="2956" t="s">
        <v>1472</v>
      </c>
      <c r="DD1" s="2957" t="s">
        <v>572</v>
      </c>
      <c r="DE1" s="3146" t="s">
        <v>1492</v>
      </c>
      <c r="DF1" s="3147" t="s">
        <v>572</v>
      </c>
      <c r="DG1" s="3324" t="s">
        <v>1503</v>
      </c>
      <c r="DH1" s="3325" t="s">
        <v>572</v>
      </c>
      <c r="DI1" s="3502" t="s">
        <v>1519</v>
      </c>
      <c r="DJ1" s="3503" t="s">
        <v>572</v>
      </c>
      <c r="DK1" s="3788" t="s">
        <v>1666</v>
      </c>
      <c r="DL1" s="3789" t="s">
        <v>572</v>
      </c>
      <c r="DM1" s="4013" t="s">
        <v>1717</v>
      </c>
      <c r="DN1" s="4014" t="s">
        <v>572</v>
      </c>
    </row>
    <row r="2" spans="1:118" s="10" customFormat="1" ht="15.75" customHeight="1">
      <c r="A2" s="119">
        <v>1</v>
      </c>
      <c r="B2" s="122" t="s">
        <v>21</v>
      </c>
      <c r="C2" s="590" t="str">
        <f>'001a'!B59</f>
        <v>{"url":p.aventisURL}</v>
      </c>
      <c r="D2" s="13"/>
      <c r="E2" s="45" t="str">
        <f>F2&amp;G2&amp;H2&amp;I2&amp;J2&amp;K2&amp;L2&amp;M2&amp;N2&amp;O2&amp;P2&amp;Q2&amp;R2&amp;S2&amp;T2&amp;U2&amp;V2&amp;W2&amp;X2</f>
        <v>{"url":"https://dev.aventis.swiss"}</v>
      </c>
      <c r="F2" s="611" t="s">
        <v>67</v>
      </c>
      <c r="G2" s="612" t="s">
        <v>68</v>
      </c>
      <c r="H2" s="611" t="s">
        <v>37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54">
        <v>1980</v>
      </c>
      <c r="AJ2" s="156">
        <f>AI2/($AI2)</f>
        <v>1</v>
      </c>
      <c r="AK2" s="154">
        <v>465</v>
      </c>
      <c r="AL2" s="156">
        <f>AK2/($AI2)</f>
        <v>0.23484848484848486</v>
      </c>
      <c r="AM2" s="154">
        <v>381</v>
      </c>
      <c r="AN2" s="156">
        <f>AM2/($AI2)</f>
        <v>0.19242424242424241</v>
      </c>
      <c r="AO2" s="13">
        <v>490</v>
      </c>
      <c r="AP2" s="156">
        <f>AO2/($AI2)</f>
        <v>0.24747474747474749</v>
      </c>
      <c r="AQ2" s="13">
        <v>393</v>
      </c>
      <c r="AR2" s="156">
        <f>AQ2/($AI2)</f>
        <v>0.19848484848484849</v>
      </c>
      <c r="AS2" s="13">
        <v>556</v>
      </c>
      <c r="AT2" s="156">
        <f>AS2/($AI2)</f>
        <v>0.28080808080808078</v>
      </c>
      <c r="AU2" s="13">
        <v>383</v>
      </c>
      <c r="AV2" s="156">
        <f>AU2/($AI2)</f>
        <v>0.19343434343434343</v>
      </c>
      <c r="AW2" s="13">
        <v>426</v>
      </c>
      <c r="AX2" s="156">
        <f>AW2/($AI2)</f>
        <v>0.21515151515151515</v>
      </c>
      <c r="AY2" s="2">
        <v>387</v>
      </c>
      <c r="AZ2" s="156">
        <f>AY2/($AI2)</f>
        <v>0.19545454545454546</v>
      </c>
      <c r="BA2" s="2">
        <v>985</v>
      </c>
      <c r="BB2" s="156">
        <f>BA2/($AI2)</f>
        <v>0.49747474747474746</v>
      </c>
      <c r="BC2" s="2">
        <v>1065</v>
      </c>
      <c r="BD2" s="2"/>
      <c r="BE2" s="2">
        <v>520</v>
      </c>
      <c r="BF2" s="2"/>
      <c r="BG2" s="10">
        <v>1178</v>
      </c>
      <c r="BI2" s="10">
        <v>1246</v>
      </c>
      <c r="BK2" s="10">
        <v>348</v>
      </c>
      <c r="BM2" s="10">
        <v>303</v>
      </c>
      <c r="BO2" s="10">
        <v>314</v>
      </c>
      <c r="BQ2" s="10">
        <v>325</v>
      </c>
      <c r="BS2" s="10">
        <v>330</v>
      </c>
      <c r="BU2" s="10">
        <v>316</v>
      </c>
      <c r="BW2" s="10">
        <v>275</v>
      </c>
      <c r="BY2" s="10">
        <v>384</v>
      </c>
      <c r="CA2" s="10">
        <v>242</v>
      </c>
      <c r="CC2" s="10">
        <v>234</v>
      </c>
      <c r="CE2" s="10">
        <v>205</v>
      </c>
      <c r="CG2" s="10">
        <v>221</v>
      </c>
      <c r="CI2" s="10">
        <v>270</v>
      </c>
      <c r="CK2" s="10">
        <v>446</v>
      </c>
      <c r="CM2" s="10">
        <v>419</v>
      </c>
      <c r="CO2" s="10">
        <v>373</v>
      </c>
      <c r="CQ2" s="10">
        <v>1466</v>
      </c>
      <c r="CS2" s="10">
        <v>975</v>
      </c>
      <c r="CU2" s="10">
        <v>756</v>
      </c>
      <c r="CW2" s="10">
        <v>698</v>
      </c>
      <c r="CY2" s="10">
        <v>454</v>
      </c>
      <c r="DA2" s="10">
        <v>461</v>
      </c>
      <c r="DC2" s="10">
        <v>693</v>
      </c>
      <c r="DE2" s="10">
        <v>396</v>
      </c>
      <c r="DG2" s="10">
        <v>389</v>
      </c>
      <c r="DI2" s="10">
        <v>398</v>
      </c>
      <c r="DK2" s="10">
        <v>233</v>
      </c>
      <c r="DM2" s="10">
        <v>132</v>
      </c>
      <c r="DN2" s="10" t="s">
        <v>1718</v>
      </c>
    </row>
    <row r="3" spans="1:118" s="10" customFormat="1" ht="15.75" customHeight="1">
      <c r="A3" s="119">
        <v>2</v>
      </c>
      <c r="B3" s="120" t="s">
        <v>25</v>
      </c>
      <c r="C3" s="121" t="str">
        <f t="shared" ref="C3:C8" si="0">E3</f>
        <v>{"username":"bern.sozialarbeiterin1a@diartis.ch","password":"SMze97-jkSJ59!F.","fullname":"Sozialarbeiterin 1A Bern","team":"Sozialarbeit Bern 1"}</v>
      </c>
      <c r="D3" s="13"/>
      <c r="E3" s="45" t="str">
        <f t="shared" ref="E3:E8" si="1"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611" t="s">
        <v>29</v>
      </c>
      <c r="G3" s="624" t="s">
        <v>71</v>
      </c>
      <c r="H3" s="611" t="s">
        <v>31</v>
      </c>
      <c r="I3" s="611" t="s">
        <v>72</v>
      </c>
      <c r="J3" s="611" t="s">
        <v>73</v>
      </c>
      <c r="K3" s="611" t="s">
        <v>74</v>
      </c>
      <c r="L3" s="611" t="s">
        <v>75</v>
      </c>
      <c r="M3" s="611" t="s">
        <v>76</v>
      </c>
      <c r="N3" s="611" t="s">
        <v>37</v>
      </c>
      <c r="O3" s="611"/>
      <c r="P3" s="611"/>
      <c r="Q3" s="611"/>
      <c r="R3" s="611"/>
      <c r="S3" s="611"/>
      <c r="T3" s="611"/>
      <c r="U3" s="611"/>
      <c r="V3" s="611"/>
      <c r="W3" s="611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54">
        <v>421</v>
      </c>
      <c r="AJ3" s="156">
        <f t="shared" ref="AJ3:AJ49" si="2">AI3/($AI3)</f>
        <v>1</v>
      </c>
      <c r="AK3" s="154">
        <v>418</v>
      </c>
      <c r="AL3" s="156">
        <f t="shared" ref="AL3:AL49" si="3">AK3/($AI3)</f>
        <v>0.99287410926365793</v>
      </c>
      <c r="AM3" s="154">
        <v>408</v>
      </c>
      <c r="AN3" s="156">
        <f t="shared" ref="AN3:AZ46" si="4">AM3/($AI3)</f>
        <v>0.96912114014251782</v>
      </c>
      <c r="AO3" s="13">
        <v>410</v>
      </c>
      <c r="AP3" s="156">
        <f t="shared" si="4"/>
        <v>0.97387173396674587</v>
      </c>
      <c r="AQ3" s="13">
        <v>417</v>
      </c>
      <c r="AR3" s="156">
        <f t="shared" si="4"/>
        <v>0.99049881235154391</v>
      </c>
      <c r="AS3" s="13">
        <v>421</v>
      </c>
      <c r="AT3" s="156">
        <f t="shared" si="4"/>
        <v>1</v>
      </c>
      <c r="AU3" s="13">
        <v>409</v>
      </c>
      <c r="AV3" s="156">
        <f t="shared" si="4"/>
        <v>0.97149643705463185</v>
      </c>
      <c r="AW3" s="13">
        <v>406</v>
      </c>
      <c r="AX3" s="156">
        <f t="shared" ref="AX3:AZ26" si="5">AW3/($AI3)</f>
        <v>0.96437054631828978</v>
      </c>
      <c r="AY3" s="2">
        <v>417</v>
      </c>
      <c r="AZ3" s="156">
        <f t="shared" si="5"/>
        <v>0.99049881235154391</v>
      </c>
      <c r="BA3" s="2">
        <v>406</v>
      </c>
      <c r="BB3" s="156">
        <f t="shared" ref="BB3:BB49" si="6">BA3/($AI3)</f>
        <v>0.96437054631828978</v>
      </c>
      <c r="BC3" s="2">
        <v>417</v>
      </c>
      <c r="BD3" s="2"/>
      <c r="BE3" s="2">
        <v>402</v>
      </c>
      <c r="BF3" s="2"/>
      <c r="BG3" s="10">
        <v>418</v>
      </c>
      <c r="BI3" s="10">
        <v>418</v>
      </c>
      <c r="BK3" s="10">
        <v>1302</v>
      </c>
      <c r="BM3" s="10">
        <v>1256</v>
      </c>
      <c r="BO3" s="10">
        <v>1257</v>
      </c>
      <c r="BQ3" s="10">
        <v>1455</v>
      </c>
      <c r="BS3" s="10">
        <v>1276</v>
      </c>
      <c r="BU3" s="10">
        <v>1252</v>
      </c>
      <c r="BW3" s="10">
        <v>793</v>
      </c>
      <c r="BY3" s="10">
        <v>1129</v>
      </c>
      <c r="CA3" s="10">
        <v>837</v>
      </c>
      <c r="CC3" s="10">
        <v>857</v>
      </c>
      <c r="CE3" s="10">
        <v>830</v>
      </c>
      <c r="CG3" s="10">
        <v>781</v>
      </c>
      <c r="CI3" s="10">
        <v>850</v>
      </c>
      <c r="CK3" s="10">
        <v>1263</v>
      </c>
      <c r="CM3" s="10">
        <v>1277</v>
      </c>
      <c r="CO3" s="10">
        <v>1093</v>
      </c>
      <c r="CQ3" s="10">
        <v>1984</v>
      </c>
      <c r="CS3" s="10">
        <v>1739</v>
      </c>
      <c r="CU3" s="10">
        <v>1520</v>
      </c>
      <c r="CW3" s="10">
        <v>1422</v>
      </c>
      <c r="CY3" s="10">
        <v>1217</v>
      </c>
      <c r="DA3" s="10">
        <v>1196</v>
      </c>
      <c r="DC3" s="10">
        <v>1515</v>
      </c>
      <c r="DE3" s="10">
        <v>1071</v>
      </c>
      <c r="DG3" s="10">
        <v>1099</v>
      </c>
      <c r="DI3" s="10">
        <v>1105</v>
      </c>
      <c r="DK3" s="10">
        <v>909</v>
      </c>
      <c r="DM3" s="10">
        <v>557</v>
      </c>
      <c r="DN3" s="10" t="s">
        <v>1718</v>
      </c>
    </row>
    <row r="4" spans="1:118" s="10" customFormat="1" ht="15.75" customHeight="1">
      <c r="A4" s="119"/>
      <c r="B4" s="122" t="s">
        <v>77</v>
      </c>
      <c r="C4" s="120" t="str">
        <f t="shared" si="0"/>
        <v>{"name":p.FamilyName12,"vorname":p.ManFirstName12,"ahvNumber":"","geburtsdatum":""}</v>
      </c>
      <c r="D4" s="13"/>
      <c r="E4" s="45" t="str">
        <f t="shared" si="1"/>
        <v>{"name":p.FamilyName12,"vorname":p.ManFirstName12,"ahvNumber":"","geburtsdatum":""}</v>
      </c>
      <c r="F4" s="146" t="s">
        <v>78</v>
      </c>
      <c r="G4" s="611" t="str">
        <f>G$57</f>
        <v>p.FamilyName12</v>
      </c>
      <c r="H4" s="611" t="s">
        <v>79</v>
      </c>
      <c r="I4" s="611" t="str">
        <f>H$56</f>
        <v>p.ManFirstName12</v>
      </c>
      <c r="J4" s="611" t="s">
        <v>80</v>
      </c>
      <c r="K4" s="611"/>
      <c r="L4" s="611" t="s">
        <v>81</v>
      </c>
      <c r="M4" s="613"/>
      <c r="N4" s="611" t="s">
        <v>37</v>
      </c>
      <c r="O4" s="611"/>
      <c r="P4" s="611"/>
      <c r="Q4" s="611"/>
      <c r="R4" s="611"/>
      <c r="S4" s="611"/>
      <c r="T4" s="611"/>
      <c r="U4" s="611"/>
      <c r="V4" s="611"/>
      <c r="W4" s="611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54">
        <v>8548</v>
      </c>
      <c r="AJ4" s="156">
        <f t="shared" si="2"/>
        <v>1</v>
      </c>
      <c r="AK4" s="154">
        <v>8637</v>
      </c>
      <c r="AL4" s="156">
        <f t="shared" si="3"/>
        <v>1.010411792232101</v>
      </c>
      <c r="AM4" s="154">
        <v>9835</v>
      </c>
      <c r="AN4" s="156">
        <f t="shared" si="4"/>
        <v>1.150561534861956</v>
      </c>
      <c r="AO4" s="13">
        <v>9773</v>
      </c>
      <c r="AP4" s="156">
        <f t="shared" si="4"/>
        <v>1.1433083762283576</v>
      </c>
      <c r="AQ4" s="13">
        <v>8895</v>
      </c>
      <c r="AR4" s="156">
        <f t="shared" si="4"/>
        <v>1.0405942910622368</v>
      </c>
      <c r="AS4" s="13">
        <v>8841</v>
      </c>
      <c r="AT4" s="156">
        <f t="shared" si="4"/>
        <v>1.0342770238652317</v>
      </c>
      <c r="AU4" s="13">
        <v>9188</v>
      </c>
      <c r="AV4" s="156">
        <f t="shared" si="4"/>
        <v>1.0748713149274685</v>
      </c>
      <c r="AW4" s="13">
        <v>9058</v>
      </c>
      <c r="AX4" s="156">
        <f t="shared" si="5"/>
        <v>1.0596630790828263</v>
      </c>
      <c r="AY4" s="2">
        <v>8611</v>
      </c>
      <c r="AZ4" s="156">
        <f t="shared" si="5"/>
        <v>1.0073701450631727</v>
      </c>
      <c r="BA4" s="2">
        <v>6082</v>
      </c>
      <c r="BB4" s="156">
        <f t="shared" si="6"/>
        <v>0.71151146467009829</v>
      </c>
      <c r="BC4" s="2">
        <v>6346</v>
      </c>
      <c r="BD4" s="2"/>
      <c r="BE4" s="2">
        <v>5220</v>
      </c>
      <c r="BF4" s="2"/>
      <c r="BG4" s="10">
        <v>7417</v>
      </c>
      <c r="BI4" s="10">
        <v>7453</v>
      </c>
      <c r="BK4" s="10">
        <v>8081</v>
      </c>
      <c r="BM4" s="10">
        <v>7083</v>
      </c>
      <c r="BO4" s="10">
        <v>7814</v>
      </c>
      <c r="BQ4" s="10">
        <v>7953</v>
      </c>
      <c r="BS4" s="10">
        <v>8275</v>
      </c>
      <c r="BU4" s="10">
        <v>7572</v>
      </c>
      <c r="BW4" s="10">
        <v>8337</v>
      </c>
      <c r="BY4" s="10">
        <v>7188</v>
      </c>
      <c r="CA4" s="10">
        <v>5859</v>
      </c>
      <c r="CC4" s="10">
        <v>5885</v>
      </c>
      <c r="CE4" s="10">
        <v>5823</v>
      </c>
      <c r="CG4" s="10">
        <v>6561</v>
      </c>
      <c r="CI4" s="10">
        <v>5897</v>
      </c>
      <c r="CK4" s="10">
        <v>7355</v>
      </c>
      <c r="CM4" s="10">
        <v>6499</v>
      </c>
      <c r="CO4" s="10">
        <v>7131</v>
      </c>
      <c r="CQ4" s="10">
        <v>6802</v>
      </c>
      <c r="CS4" s="10">
        <v>7038</v>
      </c>
      <c r="CU4" s="10">
        <v>7199</v>
      </c>
      <c r="CW4" s="10">
        <v>6788</v>
      </c>
      <c r="CY4" s="10">
        <v>6510</v>
      </c>
      <c r="DA4" s="10">
        <v>10176</v>
      </c>
      <c r="DC4" s="10">
        <v>8662</v>
      </c>
      <c r="DE4" s="10">
        <v>7777</v>
      </c>
      <c r="DG4" s="10">
        <v>8670</v>
      </c>
      <c r="DI4" s="10">
        <v>8139</v>
      </c>
    </row>
    <row r="5" spans="1:118" s="10" customFormat="1" ht="18" customHeight="1">
      <c r="A5" s="119">
        <v>6</v>
      </c>
      <c r="B5" s="120" t="s">
        <v>82</v>
      </c>
      <c r="C5" s="121" t="str">
        <f t="shared" si="0"/>
        <v>{"name":p.FamilyName12,"vorname":p.ManFirstName12,"ahvNumber":p.AHVNumber45,"language":"Deutsch","zivilstand":"ledig","geburtsdatum":p.BirthdayAdult12,"national":"Schweiz","gender":"männlich","aufenthalt":""}</v>
      </c>
      <c r="D5" s="13"/>
      <c r="E5" s="45" t="str">
        <f t="shared" si="1"/>
        <v>{"name":p.FamilyName12,"vorname":p.ManFirstName12,"ahvNumber":p.AHVNumber45,"language":"Deutsch","zivilstand":"ledig","geburtsdatum":p.BirthdayAdult12,"national":"Schweiz","gender":"männlich","aufenthalt":""}</v>
      </c>
      <c r="F5" s="146" t="s">
        <v>78</v>
      </c>
      <c r="G5" s="611" t="str">
        <f>G4</f>
        <v>p.FamilyName12</v>
      </c>
      <c r="H5" s="611" t="s">
        <v>79</v>
      </c>
      <c r="I5" s="611" t="str">
        <f>I4</f>
        <v>p.ManFirstName12</v>
      </c>
      <c r="J5" s="611" t="s">
        <v>83</v>
      </c>
      <c r="K5" s="609" t="str">
        <f>I$56</f>
        <v>p.AHVNumber45</v>
      </c>
      <c r="L5" s="611" t="s">
        <v>84</v>
      </c>
      <c r="M5" s="613" t="s">
        <v>85</v>
      </c>
      <c r="N5" s="611" t="s">
        <v>86</v>
      </c>
      <c r="O5" s="611" t="s">
        <v>87</v>
      </c>
      <c r="P5" s="611" t="s">
        <v>88</v>
      </c>
      <c r="Q5" s="614" t="str">
        <f>J56</f>
        <v>p.BirthdayAdult12</v>
      </c>
      <c r="R5" s="611" t="s">
        <v>89</v>
      </c>
      <c r="S5" s="611" t="s">
        <v>90</v>
      </c>
      <c r="T5" s="611" t="s">
        <v>91</v>
      </c>
      <c r="U5" s="611" t="s">
        <v>92</v>
      </c>
      <c r="V5" s="611" t="s">
        <v>93</v>
      </c>
      <c r="W5" s="611"/>
      <c r="X5" s="13" t="s">
        <v>37</v>
      </c>
      <c r="Y5" s="13"/>
      <c r="Z5" s="182"/>
      <c r="AA5" s="13"/>
      <c r="AB5" s="13"/>
      <c r="AC5" s="66"/>
      <c r="AD5" s="13"/>
      <c r="AE5" s="66"/>
      <c r="AF5" s="66"/>
      <c r="AG5" s="13"/>
      <c r="AH5" s="13"/>
      <c r="AI5" s="154">
        <v>3182</v>
      </c>
      <c r="AJ5" s="156">
        <f t="shared" si="2"/>
        <v>1</v>
      </c>
      <c r="AK5" s="154">
        <v>3130</v>
      </c>
      <c r="AL5" s="156">
        <f t="shared" si="3"/>
        <v>0.98365807668133254</v>
      </c>
      <c r="AM5" s="154">
        <v>3555</v>
      </c>
      <c r="AN5" s="156">
        <f t="shared" si="4"/>
        <v>1.1172218730358265</v>
      </c>
      <c r="AO5" s="13">
        <v>3050</v>
      </c>
      <c r="AP5" s="156">
        <f t="shared" si="4"/>
        <v>0.95851665619107485</v>
      </c>
      <c r="AQ5" s="13">
        <v>3034</v>
      </c>
      <c r="AR5" s="156">
        <f t="shared" si="4"/>
        <v>0.95348837209302328</v>
      </c>
      <c r="AS5" s="13">
        <v>3093</v>
      </c>
      <c r="AT5" s="156">
        <f t="shared" si="4"/>
        <v>0.97203016970458833</v>
      </c>
      <c r="AU5" s="13">
        <v>3026</v>
      </c>
      <c r="AV5" s="156">
        <f t="shared" si="4"/>
        <v>0.9509742300439975</v>
      </c>
      <c r="AW5" s="13">
        <v>2881</v>
      </c>
      <c r="AX5" s="156">
        <f t="shared" si="5"/>
        <v>0.90540540540540537</v>
      </c>
      <c r="AY5" s="2">
        <v>2686</v>
      </c>
      <c r="AZ5" s="156">
        <f t="shared" si="5"/>
        <v>0.84412319296040228</v>
      </c>
      <c r="BA5" s="2">
        <v>1818</v>
      </c>
      <c r="BB5" s="156">
        <f t="shared" si="6"/>
        <v>0.57133878064110621</v>
      </c>
      <c r="BC5" s="2">
        <v>1815</v>
      </c>
      <c r="BD5" s="2"/>
      <c r="BE5" s="2">
        <v>1171</v>
      </c>
      <c r="BF5" s="2"/>
      <c r="BG5" s="10">
        <v>2223</v>
      </c>
      <c r="BI5" s="10">
        <v>2069</v>
      </c>
      <c r="BK5" s="10">
        <v>1919</v>
      </c>
      <c r="BM5" s="10">
        <v>2209</v>
      </c>
      <c r="BO5" s="10">
        <v>2143</v>
      </c>
      <c r="BQ5" s="10">
        <v>2145</v>
      </c>
      <c r="BS5" s="10">
        <v>2202</v>
      </c>
      <c r="BU5" s="10">
        <v>2178</v>
      </c>
      <c r="BW5" s="10">
        <v>2086</v>
      </c>
      <c r="BY5" s="10">
        <v>1766</v>
      </c>
      <c r="CA5" s="10">
        <v>1570</v>
      </c>
      <c r="CC5" s="10">
        <v>569</v>
      </c>
      <c r="CE5" s="10">
        <v>985</v>
      </c>
      <c r="CG5" s="10">
        <v>1729</v>
      </c>
      <c r="CI5" s="10">
        <v>578</v>
      </c>
      <c r="CK5" s="10">
        <v>2094</v>
      </c>
      <c r="CM5" s="10">
        <v>1586</v>
      </c>
      <c r="CO5" s="10">
        <v>1600</v>
      </c>
      <c r="CQ5" s="10">
        <v>1613</v>
      </c>
      <c r="CS5" s="10">
        <v>1253</v>
      </c>
      <c r="CU5" s="10">
        <v>1464</v>
      </c>
      <c r="CW5" s="10">
        <v>1450</v>
      </c>
      <c r="CY5" s="10">
        <v>1572</v>
      </c>
      <c r="DA5" s="10">
        <v>1239</v>
      </c>
      <c r="DC5" s="10">
        <v>1037</v>
      </c>
      <c r="DE5" s="10">
        <v>1374</v>
      </c>
      <c r="DG5" s="10">
        <v>1491</v>
      </c>
      <c r="DI5" s="10">
        <v>1450</v>
      </c>
      <c r="DK5" s="10">
        <v>7233</v>
      </c>
      <c r="DM5" s="10">
        <v>6226</v>
      </c>
      <c r="DN5" s="10" t="s">
        <v>1718</v>
      </c>
    </row>
    <row r="6" spans="1:118" s="10" customFormat="1" ht="15.75" customHeight="1" thickBot="1">
      <c r="A6" s="119">
        <v>7</v>
      </c>
      <c r="B6" s="120" t="s">
        <v>94</v>
      </c>
      <c r="C6" s="121" t="str">
        <f t="shared" ca="1" si="0"/>
        <v>{"mobile":"079 5263190","privateNumber":"079 5559087","email":"9728abc@gmail.com"}</v>
      </c>
      <c r="D6" s="13"/>
      <c r="E6" s="45" t="str">
        <f t="shared" ca="1" si="1"/>
        <v>{"mobile":"079 5263190","privateNumber":"079 5559087","email":"9728abc@gmail.com"}</v>
      </c>
      <c r="F6" s="146" t="s">
        <v>95</v>
      </c>
      <c r="G6" s="611" t="str">
        <f ca="1">"079 "&amp;RANDBETWEEN(5234500,5699999)</f>
        <v>079 5263190</v>
      </c>
      <c r="H6" s="611" t="s">
        <v>96</v>
      </c>
      <c r="I6" s="611" t="str">
        <f ca="1">"079 "&amp;RANDBETWEEN(5234500,5699999)</f>
        <v>079 5559087</v>
      </c>
      <c r="J6" s="611" t="s">
        <v>97</v>
      </c>
      <c r="K6" s="612" t="s">
        <v>319</v>
      </c>
      <c r="L6" s="611" t="s">
        <v>37</v>
      </c>
      <c r="M6" s="611"/>
      <c r="N6" s="611"/>
      <c r="O6" s="611"/>
      <c r="P6" s="611"/>
      <c r="Q6" s="611"/>
      <c r="R6" s="611"/>
      <c r="S6" s="611"/>
      <c r="T6" s="611"/>
      <c r="U6" s="611"/>
      <c r="V6" s="611"/>
      <c r="W6" s="611"/>
      <c r="X6" s="13"/>
      <c r="Y6" s="13"/>
      <c r="Z6" s="13"/>
      <c r="AA6" s="13"/>
      <c r="AB6" s="13"/>
      <c r="AC6" s="66"/>
      <c r="AD6" s="13"/>
      <c r="AE6" s="13"/>
      <c r="AF6" s="13"/>
      <c r="AG6" s="13"/>
      <c r="AH6" s="13"/>
      <c r="AI6" s="154">
        <v>2960</v>
      </c>
      <c r="AJ6" s="156">
        <f t="shared" si="2"/>
        <v>1</v>
      </c>
      <c r="AK6" s="154">
        <v>3220</v>
      </c>
      <c r="AL6" s="156">
        <f t="shared" si="3"/>
        <v>1.0878378378378379</v>
      </c>
      <c r="AM6" s="154">
        <v>4791</v>
      </c>
      <c r="AN6" s="156">
        <f t="shared" si="4"/>
        <v>1.618581081081081</v>
      </c>
      <c r="AO6" s="13">
        <v>3691</v>
      </c>
      <c r="AP6" s="156">
        <f t="shared" si="4"/>
        <v>1.2469594594594595</v>
      </c>
      <c r="AQ6" s="13">
        <v>3849</v>
      </c>
      <c r="AR6" s="156">
        <f t="shared" si="4"/>
        <v>1.3003378378378379</v>
      </c>
      <c r="AS6" s="13">
        <v>3715</v>
      </c>
      <c r="AT6" s="156">
        <f t="shared" si="4"/>
        <v>1.2550675675675675</v>
      </c>
      <c r="AU6" s="13">
        <v>4423</v>
      </c>
      <c r="AV6" s="156">
        <f t="shared" si="4"/>
        <v>1.4942567567567568</v>
      </c>
      <c r="AW6" s="13">
        <v>3089</v>
      </c>
      <c r="AX6" s="156">
        <f t="shared" si="5"/>
        <v>1.0435810810810811</v>
      </c>
      <c r="AY6" s="2">
        <v>3086</v>
      </c>
      <c r="AZ6" s="156">
        <f t="shared" si="5"/>
        <v>1.0425675675675676</v>
      </c>
      <c r="BA6" s="2">
        <v>2842</v>
      </c>
      <c r="BB6" s="156">
        <f t="shared" si="6"/>
        <v>0.96013513513513515</v>
      </c>
      <c r="BC6" s="2">
        <v>2821</v>
      </c>
      <c r="BD6" s="2"/>
      <c r="BE6" s="2">
        <v>2292</v>
      </c>
      <c r="BF6" s="2"/>
      <c r="BG6" s="10">
        <v>3266</v>
      </c>
      <c r="BI6" s="10">
        <v>3402</v>
      </c>
      <c r="BK6" s="10">
        <v>3188</v>
      </c>
      <c r="BM6" s="10">
        <v>3436</v>
      </c>
      <c r="BO6" s="10">
        <v>3036</v>
      </c>
      <c r="BQ6" s="10">
        <v>3259</v>
      </c>
      <c r="BS6" s="10">
        <v>3428</v>
      </c>
      <c r="BU6" s="10">
        <v>3215</v>
      </c>
      <c r="BW6" s="10">
        <v>3529</v>
      </c>
      <c r="BY6" s="10">
        <v>2773</v>
      </c>
      <c r="CA6" s="10">
        <v>3857</v>
      </c>
      <c r="CC6" s="10">
        <v>2512</v>
      </c>
      <c r="CE6" s="10">
        <v>3168</v>
      </c>
      <c r="CG6" s="10">
        <v>2718</v>
      </c>
      <c r="CI6" s="10">
        <v>2087</v>
      </c>
      <c r="CK6" s="10">
        <v>2987</v>
      </c>
      <c r="CM6" s="10">
        <v>2814</v>
      </c>
      <c r="CO6" s="10">
        <v>2792</v>
      </c>
      <c r="CQ6" s="10">
        <v>2535</v>
      </c>
      <c r="CS6" s="10">
        <v>2601</v>
      </c>
      <c r="CU6" s="10">
        <v>2658</v>
      </c>
      <c r="CW6" s="10">
        <v>2523</v>
      </c>
      <c r="CY6" s="10">
        <v>3247</v>
      </c>
      <c r="DA6" s="10">
        <v>2840</v>
      </c>
      <c r="DC6" s="10">
        <v>2484</v>
      </c>
      <c r="DE6" s="10">
        <v>2728</v>
      </c>
      <c r="DG6" s="10">
        <v>2888</v>
      </c>
      <c r="DI6" s="10">
        <v>2737</v>
      </c>
      <c r="DK6" s="10">
        <v>2254</v>
      </c>
      <c r="DM6" s="10">
        <v>2411</v>
      </c>
      <c r="DN6" s="10" t="s">
        <v>1718</v>
      </c>
    </row>
    <row r="7" spans="1:118" s="10" customFormat="1" ht="15.75" customHeight="1" thickBot="1">
      <c r="A7" s="119">
        <v>8</v>
      </c>
      <c r="B7" s="120" t="s">
        <v>99</v>
      </c>
      <c r="C7" s="121" t="str">
        <f t="shared" ca="1" si="0"/>
        <v>{"zusatz":"","strasse":"Strasse_473","houseNumber":"83","ort":"3053 Münchenbuchsee","validDate":"19.2.2021"}</v>
      </c>
      <c r="D7" s="13"/>
      <c r="E7" s="45" t="str">
        <f t="shared" ca="1" si="1"/>
        <v>{"zusatz":"","strasse":"Strasse_473","houseNumber":"83","ort":"3053 Münchenbuchsee","validDate":"19.2.2021"}</v>
      </c>
      <c r="F7" s="611" t="s">
        <v>100</v>
      </c>
      <c r="G7" s="611"/>
      <c r="H7" s="611" t="s">
        <v>101</v>
      </c>
      <c r="I7" s="611" t="str">
        <f ca="1">"Strasse_"&amp;RANDBETWEEN(1,1000)</f>
        <v>Strasse_473</v>
      </c>
      <c r="J7" s="611" t="s">
        <v>102</v>
      </c>
      <c r="K7" s="611">
        <f ca="1">RANDBETWEEN(1,100)</f>
        <v>83</v>
      </c>
      <c r="L7" s="611" t="s">
        <v>103</v>
      </c>
      <c r="M7" s="611" t="s">
        <v>104</v>
      </c>
      <c r="N7" s="611" t="s">
        <v>105</v>
      </c>
      <c r="O7" s="615" t="str">
        <f ca="1">TEXT(RANDBETWEEN(1,28)&amp;"."&amp;RANDBETWEEN(1,12)&amp;"."&amp;TEXT(TODAY()-4*365,"YYYY"),"DD.MM.YYYY")</f>
        <v>19.2.2021</v>
      </c>
      <c r="P7" s="611" t="s">
        <v>37</v>
      </c>
      <c r="Q7" s="611"/>
      <c r="R7" s="611"/>
      <c r="S7" s="611"/>
      <c r="T7" s="611"/>
      <c r="U7" s="611"/>
      <c r="V7" s="611"/>
      <c r="W7" s="611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54">
        <v>415</v>
      </c>
      <c r="AJ7" s="156">
        <f t="shared" si="2"/>
        <v>1</v>
      </c>
      <c r="AK7" s="154">
        <v>479</v>
      </c>
      <c r="AL7" s="156">
        <f t="shared" si="3"/>
        <v>1.1542168674698796</v>
      </c>
      <c r="AM7" s="154">
        <v>833</v>
      </c>
      <c r="AN7" s="156">
        <f t="shared" si="4"/>
        <v>2.0072289156626506</v>
      </c>
      <c r="AO7" s="13">
        <v>583</v>
      </c>
      <c r="AP7" s="156">
        <f t="shared" si="4"/>
        <v>1.4048192771084338</v>
      </c>
      <c r="AQ7" s="13">
        <v>582</v>
      </c>
      <c r="AR7" s="156">
        <f t="shared" si="4"/>
        <v>1.4024096385542169</v>
      </c>
      <c r="AS7" s="13">
        <v>574</v>
      </c>
      <c r="AT7" s="156">
        <f t="shared" si="4"/>
        <v>1.383132530120482</v>
      </c>
      <c r="AU7" s="13">
        <v>600</v>
      </c>
      <c r="AV7" s="156">
        <f t="shared" si="4"/>
        <v>1.4457831325301205</v>
      </c>
      <c r="AW7" s="13">
        <v>372</v>
      </c>
      <c r="AX7" s="156">
        <f t="shared" si="5"/>
        <v>0.89638554216867472</v>
      </c>
      <c r="AY7" s="2">
        <v>373</v>
      </c>
      <c r="AZ7" s="156">
        <f t="shared" si="5"/>
        <v>0.89879518072289155</v>
      </c>
      <c r="BA7" s="2">
        <v>237</v>
      </c>
      <c r="BB7" s="156">
        <f t="shared" si="6"/>
        <v>0.57108433734939756</v>
      </c>
      <c r="BC7" s="2">
        <v>263</v>
      </c>
      <c r="BD7" s="2"/>
      <c r="BE7" s="2">
        <v>229</v>
      </c>
      <c r="BF7" s="2"/>
      <c r="BG7" s="10">
        <v>329</v>
      </c>
      <c r="BI7" s="10">
        <v>369</v>
      </c>
      <c r="BK7" s="10">
        <v>384</v>
      </c>
      <c r="BM7" s="10">
        <v>337</v>
      </c>
      <c r="BO7" s="10">
        <v>318</v>
      </c>
      <c r="BQ7" s="10">
        <v>391</v>
      </c>
      <c r="BS7" s="10">
        <v>391</v>
      </c>
      <c r="BU7" s="10">
        <v>372</v>
      </c>
      <c r="BW7" s="10">
        <v>435</v>
      </c>
      <c r="BY7" s="10">
        <v>355</v>
      </c>
      <c r="CA7" s="10">
        <v>351</v>
      </c>
      <c r="CC7" s="10">
        <v>159</v>
      </c>
      <c r="CE7" s="10">
        <v>435</v>
      </c>
      <c r="CG7" s="10">
        <v>321</v>
      </c>
      <c r="CI7" s="10">
        <v>161</v>
      </c>
      <c r="CK7" s="10">
        <v>371</v>
      </c>
      <c r="CM7" s="10">
        <v>351</v>
      </c>
      <c r="CO7" s="10">
        <v>326</v>
      </c>
      <c r="CQ7" s="10">
        <v>239</v>
      </c>
      <c r="CS7" s="10">
        <v>225</v>
      </c>
      <c r="CU7" s="10">
        <v>198</v>
      </c>
      <c r="CW7" s="10">
        <v>237</v>
      </c>
      <c r="CY7" s="10">
        <v>303</v>
      </c>
      <c r="DA7" s="10">
        <v>376</v>
      </c>
      <c r="DC7" s="10">
        <v>214</v>
      </c>
      <c r="DE7" s="10">
        <v>268</v>
      </c>
      <c r="DG7" s="10">
        <v>376</v>
      </c>
      <c r="DI7" s="10">
        <v>356</v>
      </c>
      <c r="DK7" s="10">
        <v>221</v>
      </c>
      <c r="DM7" s="10">
        <v>236</v>
      </c>
      <c r="DN7" s="10" t="s">
        <v>1718</v>
      </c>
    </row>
    <row r="8" spans="1:118" s="10" customFormat="1" ht="15.75" customHeight="1">
      <c r="A8" s="119">
        <v>9</v>
      </c>
      <c r="B8" s="120" t="s">
        <v>106</v>
      </c>
      <c r="C8" s="121" t="str">
        <f t="shared" si="0"/>
        <v>{"iban":p.IBAN12}</v>
      </c>
      <c r="D8" s="13"/>
      <c r="E8" s="45" t="str">
        <f t="shared" si="1"/>
        <v>{"iban":p.IBAN12}</v>
      </c>
      <c r="F8" s="146" t="s">
        <v>107</v>
      </c>
      <c r="G8" s="611" t="s">
        <v>1349</v>
      </c>
      <c r="H8" s="611" t="s">
        <v>109</v>
      </c>
      <c r="I8" s="616"/>
      <c r="J8" s="611"/>
      <c r="K8" s="611"/>
      <c r="L8" s="611"/>
      <c r="M8" s="611"/>
      <c r="N8" s="611"/>
      <c r="O8" s="611"/>
      <c r="P8" s="611"/>
      <c r="Q8" s="611"/>
      <c r="R8" s="611"/>
      <c r="S8" s="611"/>
      <c r="T8" s="611"/>
      <c r="U8" s="611"/>
      <c r="V8" s="611"/>
      <c r="W8" s="611"/>
      <c r="X8" s="13"/>
      <c r="Y8" s="13"/>
      <c r="Z8" s="13"/>
      <c r="AA8" s="13"/>
      <c r="AB8" s="13"/>
      <c r="AC8" s="13"/>
      <c r="AD8" s="13"/>
      <c r="AE8" s="13"/>
      <c r="AF8" s="183"/>
      <c r="AG8" s="13"/>
      <c r="AH8" s="13"/>
      <c r="AI8" s="154">
        <v>5236</v>
      </c>
      <c r="AJ8" s="156">
        <f t="shared" si="2"/>
        <v>1</v>
      </c>
      <c r="AK8" s="154">
        <v>5291</v>
      </c>
      <c r="AL8" s="156">
        <f t="shared" si="3"/>
        <v>1.0105042016806722</v>
      </c>
      <c r="AM8" s="154">
        <v>6049</v>
      </c>
      <c r="AN8" s="156">
        <f t="shared" si="4"/>
        <v>1.1552711993888465</v>
      </c>
      <c r="AO8" s="13">
        <v>5562</v>
      </c>
      <c r="AP8" s="156">
        <f t="shared" si="4"/>
        <v>1.062261268143621</v>
      </c>
      <c r="AQ8" s="13">
        <v>5559</v>
      </c>
      <c r="AR8" s="156">
        <f t="shared" si="4"/>
        <v>1.0616883116883118</v>
      </c>
      <c r="AS8" s="13">
        <v>5580</v>
      </c>
      <c r="AT8" s="156">
        <f t="shared" si="4"/>
        <v>1.0656990068754775</v>
      </c>
      <c r="AU8" s="13">
        <v>5579</v>
      </c>
      <c r="AV8" s="156">
        <f t="shared" si="4"/>
        <v>1.0655080213903743</v>
      </c>
      <c r="AW8" s="13">
        <v>5195</v>
      </c>
      <c r="AX8" s="156">
        <f t="shared" si="5"/>
        <v>0.99216959511077163</v>
      </c>
      <c r="AY8" s="2">
        <v>5127</v>
      </c>
      <c r="AZ8" s="156">
        <f t="shared" si="5"/>
        <v>0.97918258212375864</v>
      </c>
      <c r="BA8" s="2">
        <v>4654</v>
      </c>
      <c r="BB8" s="156">
        <f t="shared" si="6"/>
        <v>0.88884644766997711</v>
      </c>
      <c r="BC8" s="2">
        <v>4718</v>
      </c>
      <c r="BD8" s="2"/>
      <c r="BE8" s="2">
        <v>4615</v>
      </c>
      <c r="BF8" s="2"/>
      <c r="BG8" s="10">
        <v>4988</v>
      </c>
      <c r="BI8" s="10">
        <v>5075</v>
      </c>
      <c r="BK8" s="10">
        <v>5001</v>
      </c>
      <c r="BM8" s="10">
        <v>5201</v>
      </c>
      <c r="BO8" s="10">
        <v>5000</v>
      </c>
      <c r="BQ8" s="10">
        <v>5037</v>
      </c>
      <c r="BS8" s="10">
        <v>5146</v>
      </c>
      <c r="BU8" s="10">
        <v>5314</v>
      </c>
      <c r="BW8" s="10">
        <v>4892</v>
      </c>
      <c r="BY8" s="10">
        <v>5010</v>
      </c>
      <c r="CA8" s="10">
        <v>4998</v>
      </c>
      <c r="CC8" s="10">
        <v>4545</v>
      </c>
      <c r="CE8" s="10">
        <v>4879</v>
      </c>
      <c r="CG8" s="10">
        <v>5029</v>
      </c>
      <c r="CI8" s="10">
        <v>4459</v>
      </c>
      <c r="CK8" s="10">
        <v>5035</v>
      </c>
      <c r="CM8" s="10">
        <v>4967</v>
      </c>
      <c r="CO8" s="10">
        <v>4921</v>
      </c>
      <c r="CQ8" s="10">
        <v>4839</v>
      </c>
      <c r="CS8" s="10">
        <v>4725</v>
      </c>
      <c r="CU8" s="10">
        <v>4734</v>
      </c>
      <c r="CW8" s="10">
        <v>4735</v>
      </c>
      <c r="CY8" s="10">
        <v>2082</v>
      </c>
      <c r="DA8" s="10">
        <v>2117</v>
      </c>
      <c r="DC8" s="10">
        <v>1348</v>
      </c>
      <c r="DE8" s="10">
        <v>1411</v>
      </c>
      <c r="DG8" s="10">
        <v>1774</v>
      </c>
      <c r="DI8" s="10">
        <v>1785</v>
      </c>
      <c r="DK8" s="10">
        <v>1950</v>
      </c>
      <c r="DM8" s="10">
        <v>1838</v>
      </c>
      <c r="DN8" s="10" t="s">
        <v>1718</v>
      </c>
    </row>
    <row r="9" spans="1:118" s="10" customFormat="1" ht="15.75" customHeight="1">
      <c r="A9" s="119">
        <v>10</v>
      </c>
      <c r="B9" s="120" t="s">
        <v>110</v>
      </c>
      <c r="C9" s="121"/>
      <c r="D9" s="13"/>
      <c r="E9" s="45"/>
      <c r="F9" s="611"/>
      <c r="G9" s="611"/>
      <c r="H9" s="611"/>
      <c r="I9" s="611"/>
      <c r="J9" s="611"/>
      <c r="K9" s="611"/>
      <c r="L9" s="611"/>
      <c r="M9" s="611"/>
      <c r="N9" s="611"/>
      <c r="O9" s="611"/>
      <c r="P9" s="611"/>
      <c r="Q9" s="611"/>
      <c r="R9" s="611"/>
      <c r="S9" s="611"/>
      <c r="T9" s="611"/>
      <c r="U9" s="611"/>
      <c r="V9" s="611"/>
      <c r="W9" s="611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54">
        <v>2129</v>
      </c>
      <c r="AJ9" s="156">
        <f t="shared" si="2"/>
        <v>1</v>
      </c>
      <c r="AK9" s="154">
        <v>2116</v>
      </c>
      <c r="AL9" s="156">
        <f t="shared" si="3"/>
        <v>0.99389384687646787</v>
      </c>
      <c r="AM9" s="154">
        <v>2283</v>
      </c>
      <c r="AN9" s="156">
        <f t="shared" si="4"/>
        <v>1.0723344293095349</v>
      </c>
      <c r="AO9" s="13">
        <v>2201</v>
      </c>
      <c r="AP9" s="156">
        <f t="shared" si="4"/>
        <v>1.0338186942226397</v>
      </c>
      <c r="AQ9" s="13">
        <v>2198</v>
      </c>
      <c r="AR9" s="156">
        <f t="shared" si="4"/>
        <v>1.0324095819633632</v>
      </c>
      <c r="AS9" s="13">
        <v>2212</v>
      </c>
      <c r="AT9" s="156">
        <f t="shared" si="4"/>
        <v>1.0389854391733209</v>
      </c>
      <c r="AU9" s="13">
        <v>2189</v>
      </c>
      <c r="AV9" s="156">
        <f t="shared" si="4"/>
        <v>1.0281822451855331</v>
      </c>
      <c r="AW9" s="13">
        <v>2113</v>
      </c>
      <c r="AX9" s="156">
        <f t="shared" si="5"/>
        <v>0.99248473461719122</v>
      </c>
      <c r="AY9" s="2">
        <v>2084</v>
      </c>
      <c r="AZ9" s="156">
        <f t="shared" si="5"/>
        <v>0.9788633161108502</v>
      </c>
      <c r="BA9" s="2">
        <v>74</v>
      </c>
      <c r="BB9" s="156">
        <f t="shared" si="6"/>
        <v>3.4758102395490841E-2</v>
      </c>
      <c r="BC9" s="2">
        <v>68</v>
      </c>
      <c r="BD9" s="2"/>
      <c r="BE9" s="2">
        <v>123</v>
      </c>
      <c r="BF9" s="2"/>
      <c r="BG9" s="10">
        <v>89</v>
      </c>
      <c r="BI9" s="10">
        <v>94</v>
      </c>
      <c r="BK9" s="10">
        <v>108</v>
      </c>
      <c r="BM9" s="10">
        <v>108</v>
      </c>
      <c r="BO9" s="10">
        <v>97</v>
      </c>
      <c r="BQ9" s="10">
        <v>75</v>
      </c>
      <c r="BS9" s="10">
        <v>91</v>
      </c>
      <c r="BU9" s="10">
        <v>99</v>
      </c>
      <c r="BW9" s="10">
        <v>93</v>
      </c>
      <c r="BY9" s="10">
        <v>91</v>
      </c>
      <c r="CA9" s="10">
        <v>95</v>
      </c>
      <c r="CC9" s="10">
        <v>56</v>
      </c>
      <c r="CE9" s="10">
        <v>65</v>
      </c>
      <c r="CG9" s="10">
        <v>132</v>
      </c>
      <c r="CI9" s="10">
        <v>81</v>
      </c>
      <c r="CK9" s="10">
        <v>64</v>
      </c>
      <c r="CM9" s="10">
        <v>87</v>
      </c>
      <c r="CO9" s="10">
        <v>91</v>
      </c>
      <c r="CQ9" s="10">
        <v>66</v>
      </c>
      <c r="CS9" s="10">
        <v>60</v>
      </c>
      <c r="CU9" s="10">
        <v>54</v>
      </c>
      <c r="CW9" s="10">
        <v>58</v>
      </c>
      <c r="CY9" s="10">
        <v>106</v>
      </c>
      <c r="DA9" s="10">
        <v>121</v>
      </c>
      <c r="DC9" s="10">
        <v>100</v>
      </c>
      <c r="DE9" s="10">
        <v>95</v>
      </c>
      <c r="DG9" s="10">
        <v>144</v>
      </c>
      <c r="DI9" s="10">
        <v>122</v>
      </c>
      <c r="DK9" s="10">
        <v>95</v>
      </c>
      <c r="DM9" s="10">
        <v>96</v>
      </c>
      <c r="DN9" s="10" t="s">
        <v>1718</v>
      </c>
    </row>
    <row r="10" spans="1:118" s="10" customFormat="1" ht="15.75" customHeight="1" thickBot="1">
      <c r="A10" s="119">
        <v>11</v>
      </c>
      <c r="B10" s="120" t="s">
        <v>111</v>
      </c>
      <c r="C10" s="121" t="str">
        <f t="shared" ref="C10:C24" si="7">E10</f>
        <v>{"zust_Gemeinde":"Münchenbuchsee","zust_SozTeam":"Sozialarbeit Bern 1","zust_SozMitarbeiter":"Bern Sozialarbeiterin 1A","zust_SachbTeam":"Sachbearbeitung Bern","zust_SachbMitarbeiter":"Bern Sachbearbeiterin"}</v>
      </c>
      <c r="D10" s="13"/>
      <c r="E10" s="13" t="str">
        <f t="shared" ref="E10:E24" si="8">F10&amp;G10&amp;H10&amp;I10&amp;J10&amp;K10&amp;L10&amp;M10&amp;N10&amp;O10&amp;P10&amp;Q10&amp;R10&amp;S10&amp;T10&amp;U10&amp;V10&amp;W10&amp;X10</f>
        <v>{"zust_Gemeinde":"Münchenbuchsee","zust_SozTeam":"Sozialarbeit Bern 1","zust_SozMitarbeiter":"Bern Sozialarbeiterin 1A","zust_SachbTeam":"Sachbearbeitung Bern","zust_SachbMitarbeiter":"Bern Sachbearbeiterin"}</v>
      </c>
      <c r="F10" s="611" t="s">
        <v>112</v>
      </c>
      <c r="G10" s="611" t="s">
        <v>113</v>
      </c>
      <c r="H10" s="611" t="s">
        <v>114</v>
      </c>
      <c r="I10" s="611" t="s">
        <v>76</v>
      </c>
      <c r="J10" s="611" t="s">
        <v>115</v>
      </c>
      <c r="K10" s="611" t="s">
        <v>116</v>
      </c>
      <c r="L10" s="611" t="s">
        <v>117</v>
      </c>
      <c r="M10" s="611" t="s">
        <v>118</v>
      </c>
      <c r="N10" s="611" t="s">
        <v>119</v>
      </c>
      <c r="O10" s="611" t="s">
        <v>120</v>
      </c>
      <c r="P10" s="611" t="s">
        <v>37</v>
      </c>
      <c r="Q10" s="611"/>
      <c r="R10" s="611"/>
      <c r="S10" s="611"/>
      <c r="T10" s="611"/>
      <c r="U10" s="611"/>
      <c r="V10" s="611"/>
      <c r="W10" s="611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54">
        <v>237</v>
      </c>
      <c r="AJ10" s="156">
        <f t="shared" si="2"/>
        <v>1</v>
      </c>
      <c r="AK10" s="154">
        <v>232</v>
      </c>
      <c r="AL10" s="156">
        <f t="shared" si="3"/>
        <v>0.97890295358649793</v>
      </c>
      <c r="AM10" s="154">
        <v>543</v>
      </c>
      <c r="AN10" s="156">
        <f t="shared" si="4"/>
        <v>2.2911392405063293</v>
      </c>
      <c r="AO10" s="13">
        <v>334</v>
      </c>
      <c r="AP10" s="156">
        <f t="shared" si="4"/>
        <v>1.409282700421941</v>
      </c>
      <c r="AQ10" s="13">
        <v>353</v>
      </c>
      <c r="AR10" s="156">
        <f t="shared" si="4"/>
        <v>1.489451476793249</v>
      </c>
      <c r="AS10" s="13">
        <v>333</v>
      </c>
      <c r="AT10" s="156">
        <f t="shared" si="4"/>
        <v>1.4050632911392404</v>
      </c>
      <c r="AU10" s="13">
        <v>324</v>
      </c>
      <c r="AV10" s="156">
        <f t="shared" si="4"/>
        <v>1.3670886075949367</v>
      </c>
      <c r="AW10" s="13">
        <v>147</v>
      </c>
      <c r="AX10" s="156">
        <f t="shared" si="5"/>
        <v>0.620253164556962</v>
      </c>
      <c r="AY10" s="2">
        <v>158</v>
      </c>
      <c r="AZ10" s="156">
        <f t="shared" si="5"/>
        <v>0.66666666666666663</v>
      </c>
      <c r="BA10" s="2">
        <v>1166</v>
      </c>
      <c r="BB10" s="156">
        <f t="shared" si="6"/>
        <v>4.9198312236286919</v>
      </c>
      <c r="BC10" s="2">
        <v>1185</v>
      </c>
      <c r="BD10" s="2"/>
      <c r="BE10" s="2">
        <v>1218</v>
      </c>
      <c r="BF10" s="2"/>
      <c r="BG10" s="10">
        <v>1192</v>
      </c>
      <c r="BI10" s="10">
        <v>1199</v>
      </c>
      <c r="BK10" s="10">
        <v>1267</v>
      </c>
      <c r="BM10" s="10">
        <v>1254</v>
      </c>
      <c r="BO10" s="10">
        <v>1226</v>
      </c>
      <c r="BQ10" s="10">
        <v>1198</v>
      </c>
      <c r="BS10" s="10">
        <v>1205</v>
      </c>
      <c r="BU10" s="10">
        <v>1247</v>
      </c>
      <c r="BW10" s="10">
        <v>1255</v>
      </c>
      <c r="BY10" s="10">
        <v>1167</v>
      </c>
      <c r="CA10" s="10">
        <v>1187</v>
      </c>
      <c r="CC10" s="10">
        <v>1168</v>
      </c>
      <c r="CE10" s="10">
        <v>1169</v>
      </c>
      <c r="CG10" s="10">
        <v>1280</v>
      </c>
      <c r="CI10" s="10">
        <v>1154</v>
      </c>
      <c r="CK10" s="10">
        <v>1196</v>
      </c>
      <c r="CM10" s="10">
        <v>1193</v>
      </c>
      <c r="CO10" s="10">
        <v>1181</v>
      </c>
      <c r="CQ10" s="10">
        <v>1203</v>
      </c>
      <c r="CS10" s="10">
        <v>1180</v>
      </c>
      <c r="CU10" s="10">
        <v>1177</v>
      </c>
      <c r="CW10" s="10">
        <v>1156</v>
      </c>
      <c r="CY10" s="10">
        <v>1182</v>
      </c>
      <c r="DA10" s="10">
        <v>1256</v>
      </c>
      <c r="DC10" s="10">
        <v>1229</v>
      </c>
      <c r="DE10" s="10">
        <v>1385</v>
      </c>
      <c r="DG10" s="10">
        <v>1312</v>
      </c>
      <c r="DI10" s="10">
        <v>1203</v>
      </c>
      <c r="DK10" s="10">
        <v>1220</v>
      </c>
      <c r="DM10" s="10">
        <v>1180</v>
      </c>
      <c r="DN10" s="10" t="s">
        <v>1718</v>
      </c>
    </row>
    <row r="11" spans="1:118" s="10" customFormat="1" ht="15.75" customHeight="1" thickBot="1">
      <c r="A11" s="119">
        <v>12</v>
      </c>
      <c r="B11" s="120" t="s">
        <v>122</v>
      </c>
      <c r="C11" s="121" t="str">
        <f t="shared" ca="1" si="7"/>
        <v>{"dossierBezeichnung":p.DossierName12,"eroeffnetAm":"04.11.2025","dossierSprache":"Deutsch"}</v>
      </c>
      <c r="D11" s="13"/>
      <c r="E11" s="45" t="str">
        <f t="shared" ca="1" si="8"/>
        <v>{"dossierBezeichnung":p.DossierName12,"eroeffnetAm":"04.11.2025","dossierSprache":"Deutsch"}</v>
      </c>
      <c r="F11" s="611" t="s">
        <v>123</v>
      </c>
      <c r="G11" s="375" t="str">
        <f>G$56</f>
        <v>p.DossierName12</v>
      </c>
      <c r="H11" s="611" t="s">
        <v>124</v>
      </c>
      <c r="I11" s="615" t="str">
        <f ca="1">TEXT(TEXT(TODAY(),"DD")&amp;"."&amp;TEXT(TODAY(),"MM")&amp;"."&amp;TEXT(TODAY(),"YYYY"),"DD.MM.YYYY")</f>
        <v>04.11.2025</v>
      </c>
      <c r="J11" s="611" t="s">
        <v>125</v>
      </c>
      <c r="K11" s="611" t="s">
        <v>85</v>
      </c>
      <c r="L11" s="611" t="s">
        <v>37</v>
      </c>
      <c r="M11" s="611"/>
      <c r="N11" s="611"/>
      <c r="O11" s="611"/>
      <c r="P11" s="611"/>
      <c r="Q11" s="611"/>
      <c r="R11" s="611"/>
      <c r="S11" s="611"/>
      <c r="T11" s="611"/>
      <c r="U11" s="611"/>
      <c r="V11" s="611"/>
      <c r="W11" s="611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54">
        <v>3909</v>
      </c>
      <c r="AJ11" s="156">
        <f t="shared" si="2"/>
        <v>1</v>
      </c>
      <c r="AK11" s="154">
        <v>3523</v>
      </c>
      <c r="AL11" s="156">
        <f t="shared" si="3"/>
        <v>0.90125351752366334</v>
      </c>
      <c r="AM11" s="154">
        <v>4152</v>
      </c>
      <c r="AN11" s="156">
        <f t="shared" si="4"/>
        <v>1.0621642363775903</v>
      </c>
      <c r="AO11" s="13">
        <v>3453</v>
      </c>
      <c r="AP11" s="156">
        <f t="shared" si="4"/>
        <v>0.8833461243284727</v>
      </c>
      <c r="AQ11" s="13">
        <v>3422</v>
      </c>
      <c r="AR11" s="156">
        <f t="shared" si="4"/>
        <v>0.87541570734203122</v>
      </c>
      <c r="AS11" s="13">
        <v>3477</v>
      </c>
      <c r="AT11" s="156">
        <f t="shared" si="4"/>
        <v>0.88948580199539529</v>
      </c>
      <c r="AU11" s="13">
        <v>3442</v>
      </c>
      <c r="AV11" s="156">
        <f t="shared" si="4"/>
        <v>0.88053210539779991</v>
      </c>
      <c r="AW11" s="13">
        <v>4013</v>
      </c>
      <c r="AX11" s="156">
        <f t="shared" si="5"/>
        <v>1.0266052698899975</v>
      </c>
      <c r="AY11" s="2">
        <v>4001</v>
      </c>
      <c r="AZ11" s="156">
        <f t="shared" si="5"/>
        <v>1.0235354310565361</v>
      </c>
      <c r="BA11" s="2">
        <v>4051</v>
      </c>
      <c r="BB11" s="156">
        <f t="shared" si="6"/>
        <v>1.0363264261959579</v>
      </c>
      <c r="BC11" s="2">
        <v>3963</v>
      </c>
      <c r="BD11" s="2"/>
      <c r="BE11" s="2">
        <v>3762</v>
      </c>
      <c r="BF11" s="2"/>
      <c r="BG11" s="10">
        <v>4196</v>
      </c>
      <c r="BI11" s="10">
        <v>4106</v>
      </c>
      <c r="BK11" s="10">
        <v>4099</v>
      </c>
      <c r="BM11" s="10">
        <v>4144</v>
      </c>
      <c r="BO11" s="10">
        <v>4218</v>
      </c>
      <c r="BQ11" s="10">
        <v>3930</v>
      </c>
      <c r="BS11" s="10">
        <v>4249</v>
      </c>
      <c r="BU11" s="10">
        <v>3839</v>
      </c>
      <c r="BW11" s="10">
        <v>4041</v>
      </c>
      <c r="BY11" s="10">
        <v>4213</v>
      </c>
      <c r="CA11" s="10">
        <v>4022</v>
      </c>
      <c r="CC11" s="10">
        <v>4063</v>
      </c>
      <c r="CE11" s="10">
        <v>3827</v>
      </c>
      <c r="CG11" s="10">
        <v>4071</v>
      </c>
      <c r="CI11" s="10">
        <v>4107</v>
      </c>
      <c r="CK11" s="10">
        <v>4001</v>
      </c>
      <c r="CM11" s="10">
        <v>4217</v>
      </c>
      <c r="CO11" s="10">
        <v>4117</v>
      </c>
      <c r="CQ11" s="10">
        <v>4233</v>
      </c>
      <c r="CS11" s="10">
        <v>4196</v>
      </c>
      <c r="CU11" s="10">
        <v>4113</v>
      </c>
      <c r="CW11" s="10">
        <v>4399</v>
      </c>
      <c r="CY11" s="10">
        <v>4371</v>
      </c>
      <c r="DA11" s="10">
        <v>4101</v>
      </c>
      <c r="DC11" s="10">
        <v>4183</v>
      </c>
      <c r="DE11" s="10">
        <v>4119</v>
      </c>
      <c r="DG11" s="10">
        <v>4063</v>
      </c>
      <c r="DI11" s="10">
        <v>3948</v>
      </c>
      <c r="DK11" s="10">
        <v>4090</v>
      </c>
      <c r="DM11" s="10">
        <v>3911</v>
      </c>
      <c r="DN11" s="10" t="s">
        <v>1718</v>
      </c>
    </row>
    <row r="12" spans="1:118" s="10" customFormat="1" ht="15.75" customHeight="1">
      <c r="A12" s="119">
        <v>13</v>
      </c>
      <c r="B12" s="120" t="s">
        <v>127</v>
      </c>
      <c r="C12" s="121" t="str">
        <f>E12</f>
        <v>{"dossierInstitution":p.DossierName12,"klientschaft":`${p.FamilyName12}, ${p.ManFirstName12}`,"buttonBewilligung":"Anfragen","checkStatus":"In Bearbeitung"}</v>
      </c>
      <c r="D12" s="76"/>
      <c r="E12" s="77" t="str">
        <f>F12&amp;G12&amp;H12&amp;I12&amp;J12&amp;K12&amp;L12&amp;M12&amp;N12&amp;O12&amp;P12&amp;Q12&amp;R12&amp;S12&amp;T12&amp;U12&amp;V12&amp;W12&amp;X12</f>
        <v>{"dossierInstitution":p.DossierName12,"klientschaft":`${p.FamilyName12}, ${p.ManFirstName12}`,"buttonBewilligung":"Anfragen","checkStatus":"In Bearbeitung"}</v>
      </c>
      <c r="F12" s="611" t="s">
        <v>128</v>
      </c>
      <c r="G12" s="611" t="str">
        <f>G11</f>
        <v>p.DossierName12</v>
      </c>
      <c r="H12" s="611" t="s">
        <v>129</v>
      </c>
      <c r="I12" s="609" t="str">
        <f>I23</f>
        <v>${p.FamilyName12}, ${p.ManFirstName12}</v>
      </c>
      <c r="J12" s="611" t="s">
        <v>130</v>
      </c>
      <c r="K12" s="614" t="s">
        <v>131</v>
      </c>
      <c r="L12" s="611" t="s">
        <v>132</v>
      </c>
      <c r="M12" s="611" t="s">
        <v>133</v>
      </c>
      <c r="N12" s="611" t="s">
        <v>37</v>
      </c>
      <c r="O12" s="611"/>
      <c r="P12" s="611"/>
      <c r="Q12" s="611"/>
      <c r="R12" s="611"/>
      <c r="S12" s="611"/>
      <c r="T12" s="611"/>
      <c r="U12" s="611"/>
      <c r="V12" s="611"/>
      <c r="W12" s="611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170">
        <v>2013</v>
      </c>
      <c r="AJ12" s="156">
        <f t="shared" si="2"/>
        <v>1</v>
      </c>
      <c r="AK12" s="170">
        <v>2007</v>
      </c>
      <c r="AL12" s="156">
        <f t="shared" si="3"/>
        <v>0.99701937406855434</v>
      </c>
      <c r="AM12" s="170">
        <v>2008</v>
      </c>
      <c r="AN12" s="156">
        <f t="shared" si="4"/>
        <v>0.99751614505712871</v>
      </c>
      <c r="AO12" s="76">
        <v>2003</v>
      </c>
      <c r="AP12" s="156">
        <f t="shared" si="4"/>
        <v>0.99503229011425731</v>
      </c>
      <c r="AQ12" s="76">
        <v>2019</v>
      </c>
      <c r="AR12" s="156">
        <f t="shared" si="4"/>
        <v>1.0029806259314455</v>
      </c>
      <c r="AS12" s="76">
        <v>2011</v>
      </c>
      <c r="AT12" s="156">
        <f t="shared" si="4"/>
        <v>0.99900645802285148</v>
      </c>
      <c r="AU12" s="76">
        <v>2019</v>
      </c>
      <c r="AV12" s="156">
        <f t="shared" si="4"/>
        <v>1.0029806259314455</v>
      </c>
      <c r="AW12" s="76">
        <v>2018</v>
      </c>
      <c r="AX12" s="156">
        <f t="shared" si="5"/>
        <v>1.0024838549428714</v>
      </c>
      <c r="AY12" s="2">
        <v>2016</v>
      </c>
      <c r="AZ12" s="156">
        <f t="shared" si="5"/>
        <v>1.0014903129657229</v>
      </c>
      <c r="BA12" s="2">
        <v>936</v>
      </c>
      <c r="BB12" s="156">
        <f t="shared" si="6"/>
        <v>0.46497764530551416</v>
      </c>
      <c r="BC12" s="2">
        <v>1036</v>
      </c>
      <c r="BD12" s="2"/>
      <c r="BE12" s="2">
        <v>1055</v>
      </c>
      <c r="BF12" s="2"/>
      <c r="BG12" s="10">
        <v>972</v>
      </c>
      <c r="BI12" s="10">
        <v>1049</v>
      </c>
      <c r="BK12" s="10">
        <v>979</v>
      </c>
      <c r="BM12" s="10">
        <v>1492</v>
      </c>
      <c r="BO12" s="10">
        <v>974</v>
      </c>
      <c r="BQ12" s="10">
        <v>1031</v>
      </c>
      <c r="BS12" s="10">
        <v>990</v>
      </c>
      <c r="BU12" s="10">
        <v>995</v>
      </c>
      <c r="BW12" s="10">
        <v>974</v>
      </c>
      <c r="BY12" s="10">
        <v>1460</v>
      </c>
      <c r="CA12" s="10">
        <v>1556</v>
      </c>
      <c r="CC12" s="10">
        <v>1556</v>
      </c>
      <c r="CE12" s="10">
        <v>1071</v>
      </c>
      <c r="CG12" s="10">
        <v>1008</v>
      </c>
      <c r="CI12" s="10">
        <v>1548</v>
      </c>
      <c r="CK12" s="10">
        <v>993</v>
      </c>
      <c r="CM12" s="10">
        <v>1110</v>
      </c>
      <c r="CO12" s="10">
        <v>975</v>
      </c>
      <c r="CQ12" s="10">
        <v>1445</v>
      </c>
      <c r="CS12" s="10">
        <v>1558</v>
      </c>
      <c r="CU12" s="10">
        <v>1585</v>
      </c>
      <c r="CW12" s="10">
        <v>1577</v>
      </c>
      <c r="CY12" s="10">
        <v>7541</v>
      </c>
      <c r="DA12" s="10">
        <v>5677</v>
      </c>
      <c r="DC12" s="10">
        <v>3389</v>
      </c>
      <c r="DE12" s="10">
        <v>8545</v>
      </c>
      <c r="DG12" s="10">
        <v>8083</v>
      </c>
      <c r="DI12" s="10">
        <v>9119</v>
      </c>
      <c r="DK12" s="10">
        <v>6019</v>
      </c>
      <c r="DM12" s="10">
        <v>7527</v>
      </c>
      <c r="DN12" s="10" t="s">
        <v>1718</v>
      </c>
    </row>
    <row r="13" spans="1:118" s="10" customFormat="1" ht="18" customHeight="1">
      <c r="A13" s="119">
        <v>14</v>
      </c>
      <c r="B13" s="120" t="s">
        <v>134</v>
      </c>
      <c r="C13" s="121" t="str">
        <f>E13</f>
        <v>{"username":"Bern.Sachbearbeiterin@diartis.ch","password":"XXxa22?pdTA66-S@"}</v>
      </c>
      <c r="D13" s="82"/>
      <c r="E13" s="83" t="str">
        <f>F13&amp;G13&amp;H13&amp;I13&amp;J13&amp;K13&amp;L13&amp;M13&amp;N13&amp;O13&amp;P13&amp;Q13&amp;R13&amp;S13&amp;T13&amp;U13&amp;V13&amp;W13&amp;X13</f>
        <v>{"username":"Bern.Sachbearbeiterin@diartis.ch","password":"XXxa22?pdTA66-S@"}</v>
      </c>
      <c r="F13" s="609" t="s">
        <v>29</v>
      </c>
      <c r="G13" s="617" t="s">
        <v>30</v>
      </c>
      <c r="H13" s="609" t="s">
        <v>31</v>
      </c>
      <c r="I13" s="618" t="s">
        <v>32</v>
      </c>
      <c r="J13" s="609" t="s">
        <v>37</v>
      </c>
      <c r="K13" s="614"/>
      <c r="L13" s="609"/>
      <c r="M13" s="611"/>
      <c r="N13" s="609"/>
      <c r="O13" s="611"/>
      <c r="P13" s="609"/>
      <c r="Q13" s="611"/>
      <c r="R13" s="609"/>
      <c r="S13" s="611"/>
      <c r="T13" s="609"/>
      <c r="U13" s="611"/>
      <c r="V13" s="609"/>
      <c r="W13" s="611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171">
        <v>11393</v>
      </c>
      <c r="AJ13" s="156">
        <f t="shared" si="2"/>
        <v>1</v>
      </c>
      <c r="AK13" s="171">
        <v>11917</v>
      </c>
      <c r="AL13" s="156">
        <f t="shared" si="3"/>
        <v>1.0459931536908629</v>
      </c>
      <c r="AM13" s="171">
        <v>12772</v>
      </c>
      <c r="AN13" s="156">
        <f t="shared" si="4"/>
        <v>1.1210392346177478</v>
      </c>
      <c r="AO13" s="82">
        <v>14193</v>
      </c>
      <c r="AP13" s="156">
        <f t="shared" si="4"/>
        <v>1.2457649433862898</v>
      </c>
      <c r="AQ13" s="82">
        <v>14418</v>
      </c>
      <c r="AR13" s="156">
        <f t="shared" si="4"/>
        <v>1.2655139120512595</v>
      </c>
      <c r="AS13" s="82">
        <v>14406</v>
      </c>
      <c r="AT13" s="156">
        <f t="shared" si="4"/>
        <v>1.2644606337224611</v>
      </c>
      <c r="AU13" s="82">
        <v>14468</v>
      </c>
      <c r="AV13" s="156">
        <f t="shared" si="4"/>
        <v>1.2699025717545862</v>
      </c>
      <c r="AW13" s="82">
        <v>9762</v>
      </c>
      <c r="AX13" s="156">
        <f t="shared" si="5"/>
        <v>0.8568419204774862</v>
      </c>
      <c r="AY13" s="2">
        <v>9683</v>
      </c>
      <c r="AZ13" s="156">
        <f t="shared" si="5"/>
        <v>0.84990783814623017</v>
      </c>
      <c r="BA13" s="2">
        <v>10811</v>
      </c>
      <c r="BB13" s="156">
        <f t="shared" si="6"/>
        <v>0.94891600105327834</v>
      </c>
      <c r="BC13" s="2">
        <v>10833</v>
      </c>
      <c r="BD13" s="2"/>
      <c r="BE13" s="2">
        <v>9774</v>
      </c>
      <c r="BF13" s="2"/>
      <c r="BG13" s="10">
        <v>10641</v>
      </c>
      <c r="BI13" s="10">
        <v>11221</v>
      </c>
      <c r="BK13" s="10">
        <v>11334</v>
      </c>
      <c r="BM13" s="10">
        <v>14450</v>
      </c>
      <c r="BO13" s="10">
        <v>11049</v>
      </c>
      <c r="BQ13" s="10">
        <v>10905</v>
      </c>
      <c r="BS13" s="10">
        <v>10917</v>
      </c>
      <c r="BU13" s="10">
        <v>11248</v>
      </c>
      <c r="BW13" s="10">
        <v>10060</v>
      </c>
      <c r="BY13" s="10">
        <v>9661</v>
      </c>
      <c r="CA13" s="10">
        <v>9748</v>
      </c>
      <c r="CC13" s="10">
        <v>10384</v>
      </c>
      <c r="CE13" s="10">
        <v>9847</v>
      </c>
      <c r="CG13" s="10">
        <v>10655</v>
      </c>
      <c r="CI13" s="10">
        <v>9646</v>
      </c>
      <c r="CK13" s="10">
        <v>8353</v>
      </c>
      <c r="CM13" s="10">
        <v>7022</v>
      </c>
      <c r="CO13" s="10">
        <v>7398</v>
      </c>
      <c r="CQ13" s="10">
        <v>27107</v>
      </c>
      <c r="CS13" s="10">
        <v>17600</v>
      </c>
      <c r="CU13" s="10">
        <v>15112</v>
      </c>
      <c r="CW13" s="10">
        <v>30654</v>
      </c>
      <c r="CY13" s="10">
        <v>21067</v>
      </c>
      <c r="DA13" s="10">
        <v>20702</v>
      </c>
      <c r="DC13" s="10">
        <v>7818</v>
      </c>
      <c r="DE13" s="10">
        <v>9808</v>
      </c>
      <c r="DG13" s="10">
        <v>10472</v>
      </c>
      <c r="DI13" s="10">
        <v>10796</v>
      </c>
      <c r="DK13" s="10">
        <v>10641</v>
      </c>
      <c r="DM13" s="10">
        <v>7659</v>
      </c>
      <c r="DN13" s="10" t="s">
        <v>1718</v>
      </c>
    </row>
    <row r="14" spans="1:118" s="10" customFormat="1" ht="15.75" customHeight="1">
      <c r="A14" s="119">
        <v>15</v>
      </c>
      <c r="B14" s="120" t="s">
        <v>127</v>
      </c>
      <c r="C14" s="121" t="str">
        <f>E14</f>
        <v>{"dossierInstitution":p.DossierName12,"klientschaft":`${p.FamilyName12}, ${p.ManFirstName12}`,"buttonBewilligung":"Bewilligen","checkStatus":"Bewilligt"}</v>
      </c>
      <c r="D14" s="76"/>
      <c r="E14" s="77" t="str">
        <f>F14&amp;G14&amp;H14&amp;I14&amp;J14&amp;K14&amp;L14&amp;M14&amp;N14&amp;O14&amp;P14&amp;Q14&amp;R14&amp;S14&amp;T14&amp;U14&amp;V14&amp;W14&amp;X14</f>
        <v>{"dossierInstitution":p.DossierName12,"klientschaft":`${p.FamilyName12}, ${p.ManFirstName12}`,"buttonBewilligung":"Bewilligen","checkStatus":"Bewilligt"}</v>
      </c>
      <c r="F14" s="611" t="s">
        <v>128</v>
      </c>
      <c r="G14" s="611" t="str">
        <f>G12</f>
        <v>p.DossierName12</v>
      </c>
      <c r="H14" s="611" t="s">
        <v>129</v>
      </c>
      <c r="I14" s="609" t="str">
        <f>I23</f>
        <v>${p.FamilyName12}, ${p.ManFirstName12}</v>
      </c>
      <c r="J14" s="611" t="s">
        <v>130</v>
      </c>
      <c r="K14" s="614" t="s">
        <v>136</v>
      </c>
      <c r="L14" s="611" t="s">
        <v>132</v>
      </c>
      <c r="M14" s="611" t="s">
        <v>137</v>
      </c>
      <c r="N14" s="611" t="s">
        <v>37</v>
      </c>
      <c r="O14" s="611"/>
      <c r="P14" s="611"/>
      <c r="Q14" s="611"/>
      <c r="R14" s="611"/>
      <c r="S14" s="611"/>
      <c r="T14" s="611"/>
      <c r="U14" s="611"/>
      <c r="V14" s="611"/>
      <c r="W14" s="611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170">
        <v>5255</v>
      </c>
      <c r="AJ14" s="156">
        <f t="shared" si="2"/>
        <v>1</v>
      </c>
      <c r="AK14" s="170">
        <v>6489</v>
      </c>
      <c r="AL14" s="156">
        <f t="shared" si="3"/>
        <v>1.2348239771646052</v>
      </c>
      <c r="AM14" s="170">
        <v>6176</v>
      </c>
      <c r="AN14" s="156">
        <f t="shared" si="4"/>
        <v>1.1752616555661275</v>
      </c>
      <c r="AO14" s="76">
        <v>5699</v>
      </c>
      <c r="AP14" s="156">
        <f t="shared" si="4"/>
        <v>1.0844909609895337</v>
      </c>
      <c r="AQ14" s="76">
        <v>5074</v>
      </c>
      <c r="AR14" s="156">
        <f t="shared" si="4"/>
        <v>0.96555661274976212</v>
      </c>
      <c r="AS14" s="76">
        <v>5532</v>
      </c>
      <c r="AT14" s="156">
        <f t="shared" si="4"/>
        <v>1.0527117031398667</v>
      </c>
      <c r="AU14" s="76">
        <v>6452</v>
      </c>
      <c r="AV14" s="156">
        <f t="shared" si="4"/>
        <v>1.2277830637488107</v>
      </c>
      <c r="AW14" s="76">
        <v>4731</v>
      </c>
      <c r="AX14" s="156">
        <f t="shared" si="5"/>
        <v>0.90028544243577546</v>
      </c>
      <c r="AY14" s="2">
        <v>4908</v>
      </c>
      <c r="AZ14" s="156">
        <f t="shared" si="5"/>
        <v>0.93396764985727876</v>
      </c>
      <c r="BA14" s="2">
        <v>8773</v>
      </c>
      <c r="BB14" s="156">
        <f t="shared" si="6"/>
        <v>1.6694576593720267</v>
      </c>
      <c r="BC14" s="2">
        <v>9553</v>
      </c>
      <c r="BD14" s="2"/>
      <c r="BE14" s="2">
        <v>9293</v>
      </c>
      <c r="BF14" s="2"/>
      <c r="BG14" s="10">
        <v>10180</v>
      </c>
      <c r="BI14" s="10">
        <v>11134</v>
      </c>
      <c r="BK14" s="10">
        <v>10321</v>
      </c>
      <c r="BM14" s="10">
        <v>9767</v>
      </c>
      <c r="BO14" s="10">
        <v>10179</v>
      </c>
      <c r="BQ14" s="10">
        <v>10008</v>
      </c>
      <c r="BS14" s="10">
        <v>10034</v>
      </c>
      <c r="BU14" s="10">
        <v>10497</v>
      </c>
      <c r="BW14" s="10">
        <v>9993</v>
      </c>
      <c r="BY14" s="10">
        <v>9766</v>
      </c>
      <c r="CA14" s="10">
        <v>9839</v>
      </c>
      <c r="CC14" s="10">
        <v>10217</v>
      </c>
      <c r="CE14" s="10">
        <v>9690</v>
      </c>
      <c r="CG14" s="10">
        <v>9242</v>
      </c>
      <c r="CI14" s="10">
        <v>9094</v>
      </c>
      <c r="CK14" s="10">
        <v>10895</v>
      </c>
      <c r="CM14" s="10">
        <v>9210</v>
      </c>
      <c r="CO14" s="10">
        <v>9935</v>
      </c>
      <c r="CQ14" s="10">
        <v>12135</v>
      </c>
      <c r="CS14" s="10">
        <v>10023</v>
      </c>
      <c r="CU14" s="10">
        <v>9117</v>
      </c>
      <c r="CW14" s="10">
        <v>8778</v>
      </c>
      <c r="CY14" s="10">
        <v>9234</v>
      </c>
      <c r="DA14" s="10">
        <v>12565</v>
      </c>
      <c r="DC14" s="10">
        <v>12922</v>
      </c>
      <c r="DE14" s="10">
        <v>11723</v>
      </c>
      <c r="DG14" s="10">
        <v>11950</v>
      </c>
      <c r="DI14" s="10">
        <v>12703</v>
      </c>
      <c r="DK14" s="10">
        <v>9619</v>
      </c>
      <c r="DM14" s="10">
        <v>9265</v>
      </c>
      <c r="DN14" s="10" t="s">
        <v>1718</v>
      </c>
    </row>
    <row r="15" spans="1:118" ht="19.5" customHeight="1" thickBot="1">
      <c r="A15" s="119">
        <v>16</v>
      </c>
      <c r="B15" s="120" t="s">
        <v>134</v>
      </c>
      <c r="C15" s="594" t="s">
        <v>138</v>
      </c>
      <c r="E15" s="2" t="str">
        <f>F15&amp;G15&amp;H15&amp;I15&amp;J15&amp;K15&amp;L15&amp;M15&amp;N15&amp;O15&amp;P15&amp;Q15&amp;R15&amp;S15&amp;T15&amp;U15&amp;V15&amp;W15&amp;X15</f>
        <v>{"username":"Bern.Sachbearbeiterin@diartis.ch","password":"XXxa22?pdTA66-S@"}</v>
      </c>
      <c r="F15" s="609" t="s">
        <v>29</v>
      </c>
      <c r="G15" s="611" t="s">
        <v>30</v>
      </c>
      <c r="H15" s="609" t="s">
        <v>31</v>
      </c>
      <c r="I15" s="611" t="s">
        <v>32</v>
      </c>
      <c r="J15" s="609" t="s">
        <v>37</v>
      </c>
      <c r="AI15" s="3">
        <v>14489</v>
      </c>
      <c r="AJ15" s="156">
        <f t="shared" si="2"/>
        <v>1</v>
      </c>
      <c r="AK15" s="3">
        <v>14307</v>
      </c>
      <c r="AL15" s="156">
        <f t="shared" si="3"/>
        <v>0.98743874663537856</v>
      </c>
      <c r="AM15" s="3">
        <v>14413</v>
      </c>
      <c r="AN15" s="156">
        <f t="shared" si="4"/>
        <v>0.9947546414521361</v>
      </c>
      <c r="AO15" s="2">
        <v>15300</v>
      </c>
      <c r="AP15" s="156">
        <f t="shared" si="4"/>
        <v>1.0559734971357582</v>
      </c>
      <c r="AQ15" s="2">
        <v>17339</v>
      </c>
      <c r="AR15" s="156">
        <f t="shared" si="4"/>
        <v>1.196700945544896</v>
      </c>
      <c r="AS15" s="2">
        <v>15694</v>
      </c>
      <c r="AT15" s="156">
        <f t="shared" si="4"/>
        <v>1.0831665401338946</v>
      </c>
      <c r="AU15" s="2">
        <v>15589</v>
      </c>
      <c r="AV15" s="156">
        <f t="shared" si="4"/>
        <v>1.075919663192767</v>
      </c>
      <c r="AW15" s="2">
        <v>14083</v>
      </c>
      <c r="AX15" s="156">
        <f t="shared" si="5"/>
        <v>0.97197874249430605</v>
      </c>
      <c r="AY15" s="2">
        <v>12206</v>
      </c>
      <c r="AZ15" s="156">
        <f t="shared" si="5"/>
        <v>0.84243218993719371</v>
      </c>
      <c r="BA15" s="2">
        <v>9926</v>
      </c>
      <c r="BB15" s="156">
        <f t="shared" si="6"/>
        <v>0.68507143350127686</v>
      </c>
      <c r="BC15" s="2">
        <v>10279</v>
      </c>
      <c r="BE15" s="2">
        <v>10023</v>
      </c>
      <c r="BG15" s="2">
        <v>10810</v>
      </c>
      <c r="BI15" s="2">
        <v>10379</v>
      </c>
      <c r="BK15" s="2">
        <v>11194</v>
      </c>
      <c r="BM15" s="2">
        <v>10912</v>
      </c>
      <c r="BO15" s="2">
        <v>10700</v>
      </c>
      <c r="BQ15" s="2">
        <v>10673</v>
      </c>
      <c r="BS15" s="2">
        <v>11732</v>
      </c>
      <c r="BU15" s="2">
        <v>12750</v>
      </c>
      <c r="BW15" s="2">
        <v>10445</v>
      </c>
      <c r="BY15" s="2">
        <v>10058</v>
      </c>
      <c r="CA15" s="2">
        <v>8765</v>
      </c>
      <c r="CC15" s="2">
        <v>8495</v>
      </c>
      <c r="CE15" s="2">
        <v>9052</v>
      </c>
      <c r="CG15" s="2">
        <v>10007</v>
      </c>
      <c r="CI15" s="2">
        <v>8613</v>
      </c>
      <c r="CK15" s="2">
        <v>8240</v>
      </c>
      <c r="CM15" s="2">
        <v>8137</v>
      </c>
      <c r="CO15" s="2">
        <v>7678</v>
      </c>
      <c r="CQ15" s="2">
        <v>15552</v>
      </c>
      <c r="CS15" s="2">
        <v>9977</v>
      </c>
      <c r="CU15" s="2">
        <v>9737</v>
      </c>
      <c r="CW15" s="2">
        <v>10210</v>
      </c>
      <c r="CY15" s="2">
        <v>12974</v>
      </c>
      <c r="DA15" s="2">
        <v>9496</v>
      </c>
      <c r="DC15" s="2">
        <v>8892</v>
      </c>
      <c r="DE15" s="2">
        <v>8951</v>
      </c>
      <c r="DG15" s="2">
        <v>9069</v>
      </c>
      <c r="DI15" s="2">
        <v>9081</v>
      </c>
      <c r="DK15" s="2">
        <v>13534</v>
      </c>
      <c r="DM15" s="2">
        <v>8514</v>
      </c>
      <c r="DN15" s="2" t="s">
        <v>1718</v>
      </c>
    </row>
    <row r="16" spans="1:118" s="10" customFormat="1" ht="15.75" customHeight="1" thickBot="1">
      <c r="A16" s="119">
        <v>18</v>
      </c>
      <c r="B16" s="591" t="s">
        <v>139</v>
      </c>
      <c r="C16" s="595" t="str">
        <f>E16</f>
        <v>{"searchDossierOrKlient":p.DossierName12,"resultType":"Dossiers"}</v>
      </c>
      <c r="D16" s="90"/>
      <c r="E16" s="91" t="str">
        <f>F16&amp;G16&amp;H16&amp;I16&amp;J16&amp;K16&amp;L16&amp;M16&amp;N16&amp;O16&amp;P16&amp;Q16&amp;R16&amp;S16&amp;T16&amp;U16&amp;V16&amp;W16&amp;X16</f>
        <v>{"searchDossierOrKlient":p.DossierName12,"resultType":"Dossiers"}</v>
      </c>
      <c r="F16" s="609" t="s">
        <v>140</v>
      </c>
      <c r="G16" s="611" t="str">
        <f>G14</f>
        <v>p.DossierName12</v>
      </c>
      <c r="H16" s="609" t="s">
        <v>141</v>
      </c>
      <c r="I16" s="611" t="s">
        <v>142</v>
      </c>
      <c r="J16" s="609" t="s">
        <v>37</v>
      </c>
      <c r="K16" s="611"/>
      <c r="L16" s="609"/>
      <c r="M16" s="611"/>
      <c r="N16" s="609"/>
      <c r="O16" s="611"/>
      <c r="P16" s="609"/>
      <c r="Q16" s="611"/>
      <c r="R16" s="609"/>
      <c r="S16" s="611"/>
      <c r="T16" s="609"/>
      <c r="U16" s="611"/>
      <c r="V16" s="609"/>
      <c r="W16" s="611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162">
        <v>4057</v>
      </c>
      <c r="AJ16" s="156">
        <f t="shared" si="2"/>
        <v>1</v>
      </c>
      <c r="AK16" s="162">
        <v>4007</v>
      </c>
      <c r="AL16" s="156">
        <f t="shared" si="3"/>
        <v>0.98767562238106976</v>
      </c>
      <c r="AM16" s="162">
        <v>4019</v>
      </c>
      <c r="AN16" s="156">
        <f t="shared" si="4"/>
        <v>0.99063347300961302</v>
      </c>
      <c r="AO16" s="90">
        <v>4031</v>
      </c>
      <c r="AP16" s="156">
        <f t="shared" si="4"/>
        <v>0.99359132363815628</v>
      </c>
      <c r="AQ16" s="90">
        <v>4018</v>
      </c>
      <c r="AR16" s="156">
        <f t="shared" si="4"/>
        <v>0.99038698545723436</v>
      </c>
      <c r="AS16" s="90">
        <v>4013</v>
      </c>
      <c r="AT16" s="156">
        <f t="shared" si="4"/>
        <v>0.98915454769534139</v>
      </c>
      <c r="AU16" s="90">
        <v>4069</v>
      </c>
      <c r="AV16" s="156">
        <f t="shared" si="4"/>
        <v>1.0029578506285433</v>
      </c>
      <c r="AW16" s="90">
        <v>4016</v>
      </c>
      <c r="AX16" s="156">
        <f t="shared" si="5"/>
        <v>0.98989401035247715</v>
      </c>
      <c r="AY16" s="2">
        <v>4007</v>
      </c>
      <c r="AZ16" s="156">
        <f t="shared" si="5"/>
        <v>0.98767562238106976</v>
      </c>
      <c r="BA16" s="2">
        <v>9702</v>
      </c>
      <c r="BB16" s="156">
        <f t="shared" si="6"/>
        <v>2.3914222331772246</v>
      </c>
      <c r="BC16" s="2">
        <v>9717</v>
      </c>
      <c r="BD16" s="2"/>
      <c r="BE16" s="2">
        <v>9591</v>
      </c>
      <c r="BF16" s="2"/>
      <c r="BG16" s="10">
        <v>10153</v>
      </c>
      <c r="BI16" s="10">
        <v>10469</v>
      </c>
      <c r="BK16" s="10">
        <v>10112</v>
      </c>
      <c r="BM16" s="10">
        <v>10588</v>
      </c>
      <c r="BO16" s="10">
        <v>10224</v>
      </c>
      <c r="BQ16" s="10">
        <v>10357</v>
      </c>
      <c r="BS16" s="10">
        <v>10494</v>
      </c>
      <c r="BU16" s="10">
        <v>9748</v>
      </c>
      <c r="BW16" s="10">
        <v>9946</v>
      </c>
      <c r="BY16" s="10">
        <v>9753</v>
      </c>
      <c r="CA16" s="10">
        <v>9904</v>
      </c>
      <c r="CC16" s="10">
        <v>9581</v>
      </c>
      <c r="CE16" s="10">
        <v>9884</v>
      </c>
      <c r="CG16" s="10">
        <v>9785</v>
      </c>
      <c r="CI16" s="10">
        <v>8863</v>
      </c>
      <c r="CK16" s="10">
        <v>9318</v>
      </c>
      <c r="CM16" s="10">
        <v>25023</v>
      </c>
      <c r="CO16" s="10">
        <v>9917</v>
      </c>
      <c r="CQ16" s="10">
        <v>9233</v>
      </c>
      <c r="CS16" s="10">
        <v>9700</v>
      </c>
      <c r="CU16" s="10">
        <v>9805</v>
      </c>
      <c r="CW16" s="10">
        <v>8964</v>
      </c>
      <c r="CY16" s="10">
        <v>9502</v>
      </c>
      <c r="DA16" s="10">
        <v>12477</v>
      </c>
      <c r="DC16" s="10">
        <v>12114</v>
      </c>
      <c r="DE16" s="10">
        <v>12357</v>
      </c>
      <c r="DG16" s="10">
        <v>12870</v>
      </c>
      <c r="DI16" s="10">
        <v>12429</v>
      </c>
      <c r="DK16" s="10">
        <v>9560</v>
      </c>
      <c r="DM16" s="10">
        <v>9159</v>
      </c>
      <c r="DN16" s="10" t="s">
        <v>1718</v>
      </c>
    </row>
    <row r="17" spans="1:118" s="10" customFormat="1" ht="15.75" customHeight="1" thickBot="1">
      <c r="A17" s="119">
        <v>19</v>
      </c>
      <c r="B17" s="590" t="s">
        <v>143</v>
      </c>
      <c r="C17" s="121" t="str">
        <f t="shared" si="7"/>
        <v>{"vermieter":"Graber Immobilien","wohnungsgrosse":"4 Zimmer","mietkosten":1200,"nebenkosten":100}</v>
      </c>
      <c r="D17" s="13"/>
      <c r="E17" s="45" t="str">
        <f t="shared" si="8"/>
        <v>{"vermieter":"Graber Immobilien","wohnungsgrosse":"4 Zimmer","mietkosten":1200,"nebenkosten":100}</v>
      </c>
      <c r="F17" s="611" t="s">
        <v>144</v>
      </c>
      <c r="G17" s="609" t="s">
        <v>145</v>
      </c>
      <c r="H17" s="611" t="s">
        <v>146</v>
      </c>
      <c r="I17" s="611" t="s">
        <v>147</v>
      </c>
      <c r="J17" s="611" t="s">
        <v>148</v>
      </c>
      <c r="K17" s="611">
        <v>1200</v>
      </c>
      <c r="L17" s="611" t="s">
        <v>149</v>
      </c>
      <c r="M17" s="611">
        <v>100</v>
      </c>
      <c r="N17" s="611" t="s">
        <v>109</v>
      </c>
      <c r="O17" s="611"/>
      <c r="P17" s="611"/>
      <c r="Q17" s="611"/>
      <c r="R17" s="611"/>
      <c r="S17" s="611"/>
      <c r="T17" s="611"/>
      <c r="U17" s="611"/>
      <c r="V17" s="611"/>
      <c r="W17" s="611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54">
        <v>10722</v>
      </c>
      <c r="AJ17" s="156">
        <f t="shared" si="2"/>
        <v>1</v>
      </c>
      <c r="AK17" s="154">
        <v>10910</v>
      </c>
      <c r="AL17" s="156">
        <f t="shared" si="3"/>
        <v>1.0175340421563142</v>
      </c>
      <c r="AM17" s="154">
        <v>11201</v>
      </c>
      <c r="AN17" s="156">
        <f t="shared" si="4"/>
        <v>1.044674501025928</v>
      </c>
      <c r="AO17" s="13">
        <v>10820</v>
      </c>
      <c r="AP17" s="156">
        <f t="shared" si="4"/>
        <v>1.0091400858048871</v>
      </c>
      <c r="AQ17" s="13">
        <v>10906</v>
      </c>
      <c r="AR17" s="156">
        <f t="shared" si="4"/>
        <v>1.017160977429584</v>
      </c>
      <c r="AS17" s="13">
        <v>11083</v>
      </c>
      <c r="AT17" s="156">
        <f t="shared" si="4"/>
        <v>1.0336690915873905</v>
      </c>
      <c r="AU17" s="13">
        <v>10706</v>
      </c>
      <c r="AV17" s="156">
        <f t="shared" si="4"/>
        <v>0.9985077410930796</v>
      </c>
      <c r="AW17" s="13">
        <v>2457</v>
      </c>
      <c r="AX17" s="156">
        <f t="shared" si="5"/>
        <v>0.22915500839395636</v>
      </c>
      <c r="AY17" s="2">
        <v>2447</v>
      </c>
      <c r="AZ17" s="156">
        <f t="shared" si="5"/>
        <v>0.22822234657713114</v>
      </c>
      <c r="BA17" s="2">
        <v>5803</v>
      </c>
      <c r="BB17" s="156">
        <f t="shared" si="6"/>
        <v>0.54122365230367464</v>
      </c>
      <c r="BC17" s="2">
        <v>5854</v>
      </c>
      <c r="BD17" s="2"/>
      <c r="BE17" s="2">
        <v>6528</v>
      </c>
      <c r="BF17" s="2"/>
      <c r="BG17" s="10">
        <v>6037</v>
      </c>
      <c r="BI17" s="10">
        <v>6158</v>
      </c>
      <c r="BK17" s="10">
        <v>6388</v>
      </c>
      <c r="BM17" s="10">
        <v>6264</v>
      </c>
      <c r="BO17" s="10">
        <v>6303</v>
      </c>
      <c r="BQ17" s="10">
        <v>5894</v>
      </c>
      <c r="BS17" s="10">
        <v>7106</v>
      </c>
      <c r="BU17" s="10">
        <v>8059</v>
      </c>
      <c r="BW17" s="10">
        <v>6048</v>
      </c>
      <c r="BY17" s="10">
        <v>5958</v>
      </c>
      <c r="CA17" s="10">
        <v>7093</v>
      </c>
      <c r="CC17" s="10">
        <v>5838</v>
      </c>
      <c r="CE17" s="10">
        <v>5894</v>
      </c>
      <c r="CG17" s="10">
        <v>6004</v>
      </c>
      <c r="CI17" s="10">
        <v>6007</v>
      </c>
      <c r="CK17" s="10">
        <v>3297</v>
      </c>
      <c r="CM17" s="10">
        <v>2893</v>
      </c>
      <c r="CO17" s="10">
        <v>3605</v>
      </c>
      <c r="CQ17" s="10">
        <v>5645</v>
      </c>
      <c r="CS17" s="10">
        <v>6891</v>
      </c>
      <c r="CU17" s="10">
        <v>7571</v>
      </c>
      <c r="CW17" s="10">
        <v>6845</v>
      </c>
      <c r="CY17" s="10">
        <v>9646</v>
      </c>
      <c r="DA17" s="10">
        <v>4870</v>
      </c>
      <c r="DC17" s="10">
        <v>4945</v>
      </c>
      <c r="DE17" s="10">
        <v>4852</v>
      </c>
      <c r="DG17" s="10">
        <v>5096</v>
      </c>
      <c r="DI17" s="10">
        <v>4705</v>
      </c>
      <c r="DK17" s="10">
        <v>10078</v>
      </c>
      <c r="DM17" s="10">
        <v>9553</v>
      </c>
      <c r="DN17" s="10" t="s">
        <v>1718</v>
      </c>
    </row>
    <row r="18" spans="1:118" s="10" customFormat="1" ht="15.75" customHeight="1" thickBot="1">
      <c r="A18" s="119"/>
      <c r="B18" s="120" t="s">
        <v>150</v>
      </c>
      <c r="C18" s="121" t="str">
        <f t="shared" ca="1" si="7"/>
        <v>{"name":p.FamilyName12,"vorname":p.WomanFirstName12,"geburtsdatum":p.BirthdayAdult13,"ahvNumber":p.AHVNumber46,"personInhausltVon":"01.01.2025","inHauslt":"Übernehmen","ereignis":"Eheschliessung"}</v>
      </c>
      <c r="D18" s="13"/>
      <c r="E18" s="45" t="str">
        <f t="shared" ca="1" si="8"/>
        <v>{"name":p.FamilyName12,"vorname":p.WomanFirstName12,"geburtsdatum":p.BirthdayAdult13,"ahvNumber":p.AHVNumber46,"personInhausltVon":"01.01.2025","inHauslt":"Übernehmen","ereignis":"Eheschliessung"}</v>
      </c>
      <c r="F18" s="611" t="s">
        <v>78</v>
      </c>
      <c r="G18" s="611" t="str">
        <f>G5</f>
        <v>p.FamilyName12</v>
      </c>
      <c r="H18" s="611" t="s">
        <v>79</v>
      </c>
      <c r="I18" s="609" t="str">
        <f>H57</f>
        <v>p.WomanFirstName12</v>
      </c>
      <c r="J18" s="611" t="s">
        <v>151</v>
      </c>
      <c r="K18" s="614" t="str">
        <f>J57</f>
        <v>p.BirthdayAdult13</v>
      </c>
      <c r="L18" s="611" t="s">
        <v>83</v>
      </c>
      <c r="M18" s="609" t="str">
        <f>I57</f>
        <v>p.AHVNumber46</v>
      </c>
      <c r="N18" s="611" t="s">
        <v>152</v>
      </c>
      <c r="O18" s="615" t="str">
        <f ca="1">"01.01."&amp;YEAR(TODAY())</f>
        <v>01.01.2025</v>
      </c>
      <c r="P18" s="611" t="s">
        <v>153</v>
      </c>
      <c r="Q18" s="611" t="s">
        <v>154</v>
      </c>
      <c r="R18" s="611" t="s">
        <v>155</v>
      </c>
      <c r="S18" s="611" t="s">
        <v>156</v>
      </c>
      <c r="T18" s="611" t="s">
        <v>37</v>
      </c>
      <c r="U18" s="611"/>
      <c r="V18" s="611"/>
      <c r="W18" s="611"/>
      <c r="X18" s="13"/>
      <c r="Y18" s="13"/>
      <c r="Z18" s="182"/>
      <c r="AA18" s="13"/>
      <c r="AB18" s="13"/>
      <c r="AC18" s="66"/>
      <c r="AD18" s="13"/>
      <c r="AE18" s="66"/>
      <c r="AF18" s="66"/>
      <c r="AG18" s="13"/>
      <c r="AH18" s="13"/>
      <c r="AI18" s="154">
        <v>3526</v>
      </c>
      <c r="AJ18" s="156">
        <f t="shared" si="2"/>
        <v>1</v>
      </c>
      <c r="AK18" s="154">
        <v>3436</v>
      </c>
      <c r="AL18" s="156">
        <f t="shared" si="3"/>
        <v>0.97447532614861032</v>
      </c>
      <c r="AM18" s="154">
        <v>3801</v>
      </c>
      <c r="AN18" s="156">
        <f t="shared" si="4"/>
        <v>1.0779920589903573</v>
      </c>
      <c r="AO18" s="13">
        <v>5376</v>
      </c>
      <c r="AP18" s="156">
        <f t="shared" si="4"/>
        <v>1.5246738513896767</v>
      </c>
      <c r="AQ18" s="13">
        <v>5596</v>
      </c>
      <c r="AR18" s="156">
        <f t="shared" si="4"/>
        <v>1.5870674985819626</v>
      </c>
      <c r="AS18" s="13">
        <v>5412</v>
      </c>
      <c r="AT18" s="156">
        <f t="shared" si="4"/>
        <v>1.5348837209302326</v>
      </c>
      <c r="AU18" s="13">
        <v>5245</v>
      </c>
      <c r="AV18" s="156">
        <f t="shared" si="4"/>
        <v>1.4875212705615428</v>
      </c>
      <c r="AW18" s="13">
        <v>5242</v>
      </c>
      <c r="AX18" s="156">
        <f t="shared" si="5"/>
        <v>1.4866704480998298</v>
      </c>
      <c r="AY18" s="2">
        <v>5558</v>
      </c>
      <c r="AZ18" s="156">
        <f t="shared" si="5"/>
        <v>1.5762904140669314</v>
      </c>
      <c r="BA18" s="2">
        <v>3311</v>
      </c>
      <c r="BB18" s="156">
        <f t="shared" si="6"/>
        <v>0.93902439024390238</v>
      </c>
      <c r="BC18" s="2">
        <v>3839</v>
      </c>
      <c r="BD18" s="2"/>
      <c r="BE18" s="2">
        <v>2847</v>
      </c>
      <c r="BF18" s="2"/>
      <c r="BG18" s="10">
        <v>4472</v>
      </c>
      <c r="BI18" s="10">
        <v>4814</v>
      </c>
      <c r="BK18" s="10">
        <v>4168</v>
      </c>
      <c r="BM18" s="10">
        <v>4245</v>
      </c>
      <c r="BO18" s="10">
        <v>4423</v>
      </c>
      <c r="BQ18" s="10">
        <v>4919</v>
      </c>
      <c r="BS18" s="10">
        <v>4111</v>
      </c>
      <c r="BU18" s="10">
        <v>4436</v>
      </c>
      <c r="BW18" s="10">
        <v>3778</v>
      </c>
      <c r="BY18" s="10">
        <v>3601</v>
      </c>
      <c r="CA18" s="10">
        <v>3105</v>
      </c>
      <c r="CC18" s="10">
        <v>2933</v>
      </c>
      <c r="CE18" s="10">
        <v>3316</v>
      </c>
      <c r="CG18" s="10">
        <v>3087</v>
      </c>
      <c r="CI18" s="10">
        <v>3516</v>
      </c>
      <c r="CK18" s="10">
        <v>4409</v>
      </c>
      <c r="CM18" s="10">
        <v>3662</v>
      </c>
      <c r="CO18" s="10">
        <v>4429</v>
      </c>
      <c r="CQ18" s="10">
        <v>3364</v>
      </c>
    </row>
    <row r="19" spans="1:118" s="10" customFormat="1" ht="15.75" customHeight="1" thickBot="1">
      <c r="A19" s="119"/>
      <c r="B19" s="120" t="s">
        <v>150</v>
      </c>
      <c r="C19" s="121" t="str">
        <f t="shared" ca="1" si="7"/>
        <v>{"name":p.FamilyName12,"vorname":p.GirlFirstName12,"geburtsdatum":p.BirthdayKid12,"ahvNumber":p.AHVNumber47,"personInhausltVon":"01.01.2025","inHauslt":"Übernehmen","ereignis":"Geburt"}</v>
      </c>
      <c r="D19" s="13"/>
      <c r="E19" s="45" t="str">
        <f t="shared" ca="1" si="8"/>
        <v>{"name":p.FamilyName12,"vorname":p.GirlFirstName12,"geburtsdatum":p.BirthdayKid12,"ahvNumber":p.AHVNumber47,"personInhausltVon":"01.01.2025","inHauslt":"Übernehmen","ereignis":"Geburt"}</v>
      </c>
      <c r="F19" s="611" t="s">
        <v>78</v>
      </c>
      <c r="G19" s="611" t="str">
        <f>G18</f>
        <v>p.FamilyName12</v>
      </c>
      <c r="H19" s="611" t="s">
        <v>79</v>
      </c>
      <c r="I19" s="609" t="str">
        <f>H58</f>
        <v>p.GirlFirstName12</v>
      </c>
      <c r="J19" s="611" t="s">
        <v>151</v>
      </c>
      <c r="K19" s="614" t="str">
        <f>J58</f>
        <v>p.BirthdayKid12</v>
      </c>
      <c r="L19" s="611" t="s">
        <v>83</v>
      </c>
      <c r="M19" s="609" t="str">
        <f>I58</f>
        <v>p.AHVNumber47</v>
      </c>
      <c r="N19" s="611" t="s">
        <v>152</v>
      </c>
      <c r="O19" s="615" t="str">
        <f ca="1">"01.01."&amp;YEAR(TODAY())</f>
        <v>01.01.2025</v>
      </c>
      <c r="P19" s="611" t="s">
        <v>153</v>
      </c>
      <c r="Q19" s="611" t="s">
        <v>154</v>
      </c>
      <c r="R19" s="611" t="s">
        <v>155</v>
      </c>
      <c r="S19" s="611" t="s">
        <v>157</v>
      </c>
      <c r="T19" s="611" t="s">
        <v>37</v>
      </c>
      <c r="U19" s="611"/>
      <c r="V19" s="611"/>
      <c r="W19" s="611"/>
      <c r="X19" s="13"/>
      <c r="Y19" s="13"/>
      <c r="Z19" s="182"/>
      <c r="AA19" s="13"/>
      <c r="AB19" s="13"/>
      <c r="AC19" s="66"/>
      <c r="AD19" s="13"/>
      <c r="AE19" s="66"/>
      <c r="AF19" s="66"/>
      <c r="AG19" s="13"/>
      <c r="AH19" s="13"/>
      <c r="AI19" s="154">
        <v>2541</v>
      </c>
      <c r="AJ19" s="156">
        <f t="shared" si="2"/>
        <v>1</v>
      </c>
      <c r="AK19" s="154">
        <v>2333</v>
      </c>
      <c r="AL19" s="156">
        <f t="shared" si="3"/>
        <v>0.91814246359700902</v>
      </c>
      <c r="AM19" s="154">
        <v>3947</v>
      </c>
      <c r="AN19" s="156">
        <f t="shared" si="4"/>
        <v>1.5533254624163715</v>
      </c>
      <c r="AO19" s="13">
        <v>5425</v>
      </c>
      <c r="AP19" s="156">
        <f t="shared" si="4"/>
        <v>2.1349862258953167</v>
      </c>
      <c r="AQ19" s="13">
        <v>5370</v>
      </c>
      <c r="AR19" s="156">
        <f t="shared" si="4"/>
        <v>2.113341204250295</v>
      </c>
      <c r="AS19" s="13">
        <v>5288</v>
      </c>
      <c r="AT19" s="156">
        <f t="shared" si="4"/>
        <v>2.0810704447068082</v>
      </c>
      <c r="AU19" s="13">
        <v>5108</v>
      </c>
      <c r="AV19" s="156">
        <f t="shared" si="4"/>
        <v>2.0102321920503741</v>
      </c>
      <c r="AW19" s="13">
        <v>4060</v>
      </c>
      <c r="AX19" s="156">
        <f t="shared" si="5"/>
        <v>1.5977961432506886</v>
      </c>
      <c r="AY19" s="2">
        <v>4164</v>
      </c>
      <c r="AZ19" s="156">
        <f t="shared" si="5"/>
        <v>1.6387249114521842</v>
      </c>
      <c r="BA19" s="2">
        <v>2359</v>
      </c>
      <c r="BB19" s="156">
        <f t="shared" si="6"/>
        <v>0.92837465564738297</v>
      </c>
      <c r="BC19" s="2">
        <v>2449</v>
      </c>
      <c r="BD19" s="2"/>
      <c r="BE19" s="2">
        <v>2329</v>
      </c>
      <c r="BF19" s="2"/>
      <c r="BG19" s="10">
        <v>2762</v>
      </c>
      <c r="BI19" s="10">
        <v>3101</v>
      </c>
      <c r="BK19" s="10">
        <v>2858</v>
      </c>
      <c r="BM19" s="10">
        <v>2870</v>
      </c>
      <c r="BO19" s="10">
        <v>2911</v>
      </c>
      <c r="BQ19" s="10">
        <v>2796</v>
      </c>
      <c r="BS19" s="10">
        <v>2589</v>
      </c>
      <c r="BU19" s="10">
        <v>2709</v>
      </c>
      <c r="BW19" s="10">
        <v>2594</v>
      </c>
      <c r="BY19" s="10">
        <v>2548</v>
      </c>
      <c r="CA19" s="10">
        <v>2441</v>
      </c>
      <c r="CC19" s="10">
        <v>2282</v>
      </c>
      <c r="CE19" s="10">
        <v>2291</v>
      </c>
      <c r="CG19" s="10">
        <v>2648</v>
      </c>
      <c r="CI19" s="10">
        <v>2335</v>
      </c>
      <c r="CK19" s="10">
        <v>2856</v>
      </c>
      <c r="CM19" s="10">
        <v>2701</v>
      </c>
      <c r="CO19" s="10">
        <v>2566</v>
      </c>
      <c r="CQ19" s="10">
        <v>2237</v>
      </c>
    </row>
    <row r="20" spans="1:118" s="10" customFormat="1" ht="15.75" customHeight="1" thickBot="1">
      <c r="A20" s="119"/>
      <c r="B20" s="120" t="s">
        <v>150</v>
      </c>
      <c r="C20" s="121" t="str">
        <f t="shared" ca="1" si="7"/>
        <v>{"name":p.FamilyName12,"vorname":p.ManFirstName13,"geburtsdatum":p.BirthdayKid13,"ahvNumber":p.AHVNumber48,"personInhausltVon":"01.01.2025","inHauslt":"Übernehmen","ereignis":"Geburt"}</v>
      </c>
      <c r="D20" s="13"/>
      <c r="E20" s="45" t="str">
        <f t="shared" ca="1" si="8"/>
        <v>{"name":p.FamilyName12,"vorname":p.ManFirstName13,"geburtsdatum":p.BirthdayKid13,"ahvNumber":p.AHVNumber48,"personInhausltVon":"01.01.2025","inHauslt":"Übernehmen","ereignis":"Geburt"}</v>
      </c>
      <c r="F20" s="611" t="s">
        <v>78</v>
      </c>
      <c r="G20" s="611" t="str">
        <f>G19</f>
        <v>p.FamilyName12</v>
      </c>
      <c r="H20" s="611" t="s">
        <v>79</v>
      </c>
      <c r="I20" s="609" t="str">
        <f>H59</f>
        <v>p.ManFirstName13</v>
      </c>
      <c r="J20" s="611" t="s">
        <v>151</v>
      </c>
      <c r="K20" s="614" t="str">
        <f>J59</f>
        <v>p.BirthdayKid13</v>
      </c>
      <c r="L20" s="611" t="s">
        <v>83</v>
      </c>
      <c r="M20" s="609" t="str">
        <f>I59</f>
        <v>p.AHVNumber48</v>
      </c>
      <c r="N20" s="611" t="s">
        <v>152</v>
      </c>
      <c r="O20" s="615" t="str">
        <f ca="1">"01.01."&amp;YEAR(TODAY())</f>
        <v>01.01.2025</v>
      </c>
      <c r="P20" s="611" t="s">
        <v>153</v>
      </c>
      <c r="Q20" s="611" t="s">
        <v>154</v>
      </c>
      <c r="R20" s="611" t="s">
        <v>155</v>
      </c>
      <c r="S20" s="611" t="s">
        <v>157</v>
      </c>
      <c r="T20" s="611" t="s">
        <v>37</v>
      </c>
      <c r="U20" s="611"/>
      <c r="V20" s="611"/>
      <c r="W20" s="611"/>
      <c r="X20" s="13"/>
      <c r="Y20" s="13"/>
      <c r="Z20" s="182"/>
      <c r="AA20" s="13"/>
      <c r="AB20" s="13"/>
      <c r="AC20" s="66"/>
      <c r="AD20" s="13"/>
      <c r="AE20" s="66"/>
      <c r="AF20" s="66"/>
      <c r="AG20" s="13"/>
      <c r="AH20" s="13"/>
      <c r="AI20" s="154">
        <v>4538</v>
      </c>
      <c r="AJ20" s="156">
        <f t="shared" si="2"/>
        <v>1</v>
      </c>
      <c r="AK20" s="154">
        <v>3148</v>
      </c>
      <c r="AL20" s="156">
        <f t="shared" si="3"/>
        <v>0.6936976641692375</v>
      </c>
      <c r="AM20" s="154">
        <v>5414</v>
      </c>
      <c r="AN20" s="156">
        <f t="shared" si="4"/>
        <v>1.1930365799911855</v>
      </c>
      <c r="AO20" s="13">
        <v>5366</v>
      </c>
      <c r="AP20" s="156">
        <f t="shared" si="4"/>
        <v>1.1824592331423533</v>
      </c>
      <c r="AQ20" s="13">
        <v>5548</v>
      </c>
      <c r="AR20" s="156">
        <f t="shared" si="4"/>
        <v>1.2225650066108418</v>
      </c>
      <c r="AS20" s="13">
        <v>5165</v>
      </c>
      <c r="AT20" s="156">
        <f t="shared" si="4"/>
        <v>1.1381665932128691</v>
      </c>
      <c r="AU20" s="13">
        <v>5170</v>
      </c>
      <c r="AV20" s="156">
        <f t="shared" si="4"/>
        <v>1.1392684001762892</v>
      </c>
      <c r="AW20" s="13">
        <v>4531</v>
      </c>
      <c r="AX20" s="156">
        <f t="shared" si="5"/>
        <v>0.99845747025121201</v>
      </c>
      <c r="AY20" s="2">
        <v>4619</v>
      </c>
      <c r="AZ20" s="156">
        <f t="shared" si="5"/>
        <v>1.0178492728074042</v>
      </c>
      <c r="BA20" s="2">
        <v>2845</v>
      </c>
      <c r="BB20" s="156">
        <f t="shared" si="6"/>
        <v>0.62692816218598502</v>
      </c>
      <c r="BC20" s="2">
        <v>2697</v>
      </c>
      <c r="BD20" s="2"/>
      <c r="BE20" s="2">
        <v>2743</v>
      </c>
      <c r="BF20" s="2"/>
      <c r="BG20" s="10">
        <v>3274</v>
      </c>
      <c r="BI20" s="10">
        <v>3687</v>
      </c>
      <c r="BK20" s="10">
        <v>3154</v>
      </c>
      <c r="BM20" s="10">
        <v>3896</v>
      </c>
      <c r="BO20" s="10">
        <v>3729</v>
      </c>
      <c r="BQ20" s="10">
        <v>3252</v>
      </c>
      <c r="BS20" s="10">
        <v>3173</v>
      </c>
      <c r="BU20" s="10">
        <v>3385</v>
      </c>
      <c r="BW20" s="10">
        <v>2978</v>
      </c>
      <c r="BY20" s="10">
        <v>2939</v>
      </c>
      <c r="CA20" s="10">
        <v>2848</v>
      </c>
      <c r="CC20" s="10">
        <v>2448</v>
      </c>
      <c r="CE20" s="10">
        <v>2776</v>
      </c>
      <c r="CG20" s="10">
        <v>2811</v>
      </c>
      <c r="CI20" s="10">
        <v>2943</v>
      </c>
      <c r="CK20" s="10">
        <v>3377</v>
      </c>
      <c r="CM20" s="10">
        <v>3607</v>
      </c>
      <c r="CO20" s="10">
        <v>3422</v>
      </c>
      <c r="CQ20" s="10">
        <v>3296</v>
      </c>
    </row>
    <row r="21" spans="1:118" s="10" customFormat="1" ht="15.75" customHeight="1" thickBot="1">
      <c r="A21" s="119"/>
      <c r="B21" s="591" t="s">
        <v>139</v>
      </c>
      <c r="C21" s="595" t="str">
        <f>E21</f>
        <v>{"searchDossierOrKlient":p.DossierName12,"resultType":"Dossiers"}</v>
      </c>
      <c r="D21" s="90"/>
      <c r="E21" s="91" t="str">
        <f>F21&amp;G21&amp;H21&amp;I21&amp;J21&amp;K21&amp;L21&amp;M21&amp;N21&amp;O21&amp;P21&amp;Q21&amp;R21&amp;S21&amp;T21&amp;U21&amp;V21&amp;W21&amp;X21</f>
        <v>{"searchDossierOrKlient":p.DossierName12,"resultType":"Dossiers"}</v>
      </c>
      <c r="F21" s="609" t="s">
        <v>140</v>
      </c>
      <c r="G21" s="611" t="str">
        <f>G14</f>
        <v>p.DossierName12</v>
      </c>
      <c r="H21" s="609" t="s">
        <v>141</v>
      </c>
      <c r="I21" s="611" t="s">
        <v>142</v>
      </c>
      <c r="J21" s="609" t="s">
        <v>37</v>
      </c>
      <c r="K21" s="611"/>
      <c r="L21" s="609"/>
      <c r="M21" s="611"/>
      <c r="N21" s="609"/>
      <c r="O21" s="611"/>
      <c r="P21" s="609"/>
      <c r="Q21" s="611"/>
      <c r="R21" s="609"/>
      <c r="S21" s="611"/>
      <c r="T21" s="609"/>
      <c r="U21" s="611"/>
      <c r="V21" s="609"/>
      <c r="W21" s="611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162">
        <v>4057</v>
      </c>
      <c r="AJ21" s="156">
        <f t="shared" si="2"/>
        <v>1</v>
      </c>
      <c r="AK21" s="162">
        <v>4007</v>
      </c>
      <c r="AL21" s="156">
        <f t="shared" si="3"/>
        <v>0.98767562238106976</v>
      </c>
      <c r="AM21" s="162">
        <v>4019</v>
      </c>
      <c r="AN21" s="156">
        <f t="shared" si="4"/>
        <v>0.99063347300961302</v>
      </c>
      <c r="AO21" s="90">
        <v>5210</v>
      </c>
      <c r="AP21" s="156">
        <f t="shared" si="4"/>
        <v>1.2842001478925313</v>
      </c>
      <c r="AQ21" s="90">
        <v>5140</v>
      </c>
      <c r="AR21" s="156">
        <f t="shared" si="4"/>
        <v>1.2669460192260291</v>
      </c>
      <c r="AS21" s="90">
        <v>5208</v>
      </c>
      <c r="AT21" s="156">
        <f t="shared" si="4"/>
        <v>1.2837071727877742</v>
      </c>
      <c r="AU21" s="90">
        <v>5189</v>
      </c>
      <c r="AV21" s="156">
        <f t="shared" si="4"/>
        <v>1.2790239092925808</v>
      </c>
      <c r="AW21" s="90">
        <v>4437</v>
      </c>
      <c r="AX21" s="156">
        <f t="shared" si="5"/>
        <v>1.0936652699038698</v>
      </c>
      <c r="AY21" s="2">
        <v>4296</v>
      </c>
      <c r="AZ21" s="156">
        <f t="shared" si="5"/>
        <v>1.0589105250184865</v>
      </c>
      <c r="BA21" s="2">
        <v>2671</v>
      </c>
      <c r="BB21" s="156">
        <f t="shared" si="6"/>
        <v>0.65836825240325358</v>
      </c>
      <c r="BC21" s="2">
        <v>2650</v>
      </c>
      <c r="BD21" s="2"/>
      <c r="BE21" s="2">
        <v>2636</v>
      </c>
      <c r="BF21" s="2"/>
      <c r="BG21" s="10">
        <v>3072</v>
      </c>
      <c r="BI21" s="10">
        <v>3795</v>
      </c>
      <c r="BK21" s="10">
        <v>3137</v>
      </c>
      <c r="BM21" s="10">
        <v>3520</v>
      </c>
      <c r="BO21" s="10">
        <v>3171</v>
      </c>
      <c r="BQ21" s="10">
        <v>3009</v>
      </c>
      <c r="BS21" s="10">
        <v>3254</v>
      </c>
      <c r="BU21" s="10">
        <v>3510</v>
      </c>
      <c r="BW21" s="10">
        <v>2899</v>
      </c>
      <c r="BY21" s="10">
        <v>2856</v>
      </c>
      <c r="CA21" s="10">
        <v>2440</v>
      </c>
      <c r="CC21" s="10">
        <v>2417</v>
      </c>
      <c r="CE21" s="10">
        <v>2907</v>
      </c>
      <c r="CG21" s="10">
        <v>2743</v>
      </c>
      <c r="CI21" s="10">
        <v>2773</v>
      </c>
      <c r="CK21" s="10">
        <v>3020</v>
      </c>
      <c r="CM21" s="10">
        <v>2823</v>
      </c>
      <c r="CO21" s="10">
        <v>2786</v>
      </c>
      <c r="CQ21" s="10">
        <v>3292</v>
      </c>
    </row>
    <row r="22" spans="1:118" s="10" customFormat="1" ht="18.75" customHeight="1" thickBot="1">
      <c r="A22" s="119"/>
      <c r="B22" s="590" t="s">
        <v>143</v>
      </c>
      <c r="C22" s="121" t="str">
        <f t="shared" si="7"/>
        <v>{"vermieter":"Graber Immobilien","wohnungsgrosse":"4 Zimmer","mietkosten":3000,"nebenkosten":300}</v>
      </c>
      <c r="D22" s="13"/>
      <c r="E22" s="45" t="str">
        <f t="shared" si="8"/>
        <v>{"vermieter":"Graber Immobilien","wohnungsgrosse":"4 Zimmer","mietkosten":3000,"nebenkosten":300}</v>
      </c>
      <c r="F22" s="611" t="s">
        <v>144</v>
      </c>
      <c r="G22" s="609" t="s">
        <v>145</v>
      </c>
      <c r="H22" s="611" t="s">
        <v>146</v>
      </c>
      <c r="I22" s="611" t="s">
        <v>147</v>
      </c>
      <c r="J22" s="611" t="s">
        <v>148</v>
      </c>
      <c r="K22" s="611">
        <v>3000</v>
      </c>
      <c r="L22" s="611" t="s">
        <v>149</v>
      </c>
      <c r="M22" s="611">
        <v>300</v>
      </c>
      <c r="N22" s="611" t="s">
        <v>109</v>
      </c>
      <c r="O22" s="611"/>
      <c r="P22" s="611"/>
      <c r="Q22" s="611"/>
      <c r="R22" s="611"/>
      <c r="S22" s="611"/>
      <c r="T22" s="611"/>
      <c r="U22" s="611"/>
      <c r="V22" s="611"/>
      <c r="W22" s="611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54">
        <v>3271</v>
      </c>
      <c r="AJ22" s="156">
        <f t="shared" si="2"/>
        <v>1</v>
      </c>
      <c r="AK22" s="154">
        <v>2979</v>
      </c>
      <c r="AL22" s="156">
        <f t="shared" si="3"/>
        <v>0.91073066340568631</v>
      </c>
      <c r="AM22" s="154">
        <v>4426</v>
      </c>
      <c r="AN22" s="156">
        <f t="shared" si="4"/>
        <v>1.3531030265973709</v>
      </c>
      <c r="AO22" s="13">
        <v>0</v>
      </c>
      <c r="AP22" s="156">
        <f t="shared" si="4"/>
        <v>0</v>
      </c>
      <c r="AQ22" s="13">
        <v>11035</v>
      </c>
      <c r="AR22" s="156">
        <f t="shared" si="4"/>
        <v>3.3735860593090798</v>
      </c>
      <c r="AS22" s="13">
        <v>11190</v>
      </c>
      <c r="AT22" s="156">
        <f t="shared" si="4"/>
        <v>3.4209721797615407</v>
      </c>
      <c r="AU22" s="13">
        <v>10867</v>
      </c>
      <c r="AV22" s="156">
        <f t="shared" si="4"/>
        <v>3.3222256190767347</v>
      </c>
      <c r="AW22" s="13">
        <v>3867</v>
      </c>
      <c r="AX22" s="156">
        <f t="shared" si="5"/>
        <v>1.1822072760623663</v>
      </c>
      <c r="AY22" s="2">
        <v>3765</v>
      </c>
      <c r="AZ22" s="156">
        <f t="shared" si="5"/>
        <v>1.1510241516355855</v>
      </c>
      <c r="BA22" s="2">
        <v>5101</v>
      </c>
      <c r="BB22" s="156">
        <f t="shared" si="6"/>
        <v>1.5594619382451849</v>
      </c>
      <c r="BC22" s="2">
        <v>5024</v>
      </c>
      <c r="BD22" s="2"/>
      <c r="BE22" s="2">
        <v>5226</v>
      </c>
      <c r="BF22" s="2"/>
      <c r="BG22" s="10">
        <v>5402</v>
      </c>
      <c r="BI22" s="10">
        <v>5516</v>
      </c>
      <c r="BK22" s="10">
        <v>5721</v>
      </c>
      <c r="BM22" s="10">
        <v>5576</v>
      </c>
      <c r="BO22" s="10">
        <v>5620</v>
      </c>
      <c r="BQ22" s="10">
        <v>5757</v>
      </c>
      <c r="BS22" s="10">
        <v>5612</v>
      </c>
      <c r="BU22" s="10">
        <v>5552</v>
      </c>
      <c r="BW22" s="10">
        <v>5307</v>
      </c>
      <c r="BY22" s="10">
        <v>5504</v>
      </c>
      <c r="CA22" s="10">
        <v>5402</v>
      </c>
      <c r="CC22" s="10">
        <v>5221</v>
      </c>
      <c r="CE22" s="10">
        <v>5391</v>
      </c>
      <c r="CG22" s="10">
        <v>5587</v>
      </c>
      <c r="CI22" s="10">
        <v>5481</v>
      </c>
      <c r="CK22" s="10">
        <v>2504</v>
      </c>
      <c r="CM22" s="10">
        <v>2381</v>
      </c>
      <c r="CO22" s="10">
        <v>3018</v>
      </c>
      <c r="CQ22" s="10">
        <v>5324</v>
      </c>
    </row>
    <row r="23" spans="1:118" s="10" customFormat="1" ht="15.75" customHeight="1" thickBot="1">
      <c r="A23" s="119"/>
      <c r="B23" s="596" t="s">
        <v>158</v>
      </c>
      <c r="C23" s="121" t="str">
        <f t="shared" si="7"/>
        <v>{"dossier":p.DossierName12,"klientschaft":`${p.FamilyName12}, ${p.ManFirstName12}`}</v>
      </c>
      <c r="D23" s="13"/>
      <c r="E23" s="45" t="str">
        <f t="shared" si="8"/>
        <v>{"dossier":p.DossierName12,"klientschaft":`${p.FamilyName12}, ${p.ManFirstName12}`}</v>
      </c>
      <c r="F23" s="609" t="s">
        <v>159</v>
      </c>
      <c r="G23" s="611" t="str">
        <f>G11</f>
        <v>p.DossierName12</v>
      </c>
      <c r="H23" s="611" t="s">
        <v>129</v>
      </c>
      <c r="I23" s="609" t="str">
        <f>"${"&amp;$G$4&amp;"}, ${"&amp;$I$4&amp;"}"</f>
        <v>${p.FamilyName12}, ${p.ManFirstName12}</v>
      </c>
      <c r="J23" s="611" t="s">
        <v>160</v>
      </c>
      <c r="K23" s="611"/>
      <c r="L23" s="611"/>
      <c r="M23" s="611"/>
      <c r="N23" s="611"/>
      <c r="O23" s="611"/>
      <c r="P23" s="611"/>
      <c r="Q23" s="611"/>
      <c r="R23" s="611"/>
      <c r="S23" s="611"/>
      <c r="T23" s="611"/>
      <c r="U23" s="611"/>
      <c r="V23" s="611"/>
      <c r="W23" s="611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54">
        <v>3283</v>
      </c>
      <c r="AJ23" s="156">
        <f t="shared" si="2"/>
        <v>1</v>
      </c>
      <c r="AK23" s="154">
        <v>3185</v>
      </c>
      <c r="AL23" s="156">
        <f t="shared" si="3"/>
        <v>0.97014925373134331</v>
      </c>
      <c r="AM23" s="154">
        <v>5103</v>
      </c>
      <c r="AN23" s="156">
        <f t="shared" si="4"/>
        <v>1.5543710021321961</v>
      </c>
      <c r="AO23" s="13">
        <v>543</v>
      </c>
      <c r="AP23" s="156">
        <f t="shared" si="4"/>
        <v>0.1653975022844959</v>
      </c>
      <c r="AQ23" s="13">
        <v>5159</v>
      </c>
      <c r="AR23" s="156">
        <f t="shared" si="4"/>
        <v>1.5714285714285714</v>
      </c>
      <c r="AS23" s="13">
        <v>4951</v>
      </c>
      <c r="AT23" s="156">
        <f t="shared" si="4"/>
        <v>1.5080718854706061</v>
      </c>
      <c r="AU23" s="13">
        <v>5027</v>
      </c>
      <c r="AV23" s="156">
        <f t="shared" si="4"/>
        <v>1.5312214438014011</v>
      </c>
      <c r="AW23" s="13">
        <v>4514</v>
      </c>
      <c r="AX23" s="156">
        <f t="shared" si="5"/>
        <v>1.374961925068535</v>
      </c>
      <c r="AY23" s="2">
        <v>4551</v>
      </c>
      <c r="AZ23" s="156">
        <f t="shared" si="5"/>
        <v>1.3862321047822115</v>
      </c>
      <c r="BA23" s="2">
        <v>2909</v>
      </c>
      <c r="BB23" s="156">
        <f t="shared" si="6"/>
        <v>0.88607980505635087</v>
      </c>
      <c r="BC23" s="2">
        <v>2617</v>
      </c>
      <c r="BD23" s="2"/>
      <c r="BE23" s="2">
        <v>2745</v>
      </c>
      <c r="BF23" s="2"/>
      <c r="BG23" s="10">
        <v>3182</v>
      </c>
      <c r="BI23" s="10">
        <v>3138</v>
      </c>
      <c r="BK23" s="10">
        <v>3226</v>
      </c>
      <c r="BM23" s="10">
        <v>3365</v>
      </c>
      <c r="BO23" s="10">
        <v>3102</v>
      </c>
      <c r="BQ23" s="10">
        <v>3179</v>
      </c>
      <c r="BS23" s="10">
        <v>3183</v>
      </c>
      <c r="BU23" s="10">
        <v>3432</v>
      </c>
      <c r="BW23" s="10">
        <v>2921</v>
      </c>
      <c r="BY23" s="10">
        <v>2744</v>
      </c>
      <c r="CA23" s="10">
        <v>2568</v>
      </c>
      <c r="CC23" s="10">
        <v>2849</v>
      </c>
      <c r="CE23" s="10">
        <v>2653</v>
      </c>
      <c r="CG23" s="10">
        <v>2683</v>
      </c>
      <c r="CI23" s="10">
        <v>2660</v>
      </c>
      <c r="CK23" s="10">
        <v>2938</v>
      </c>
      <c r="CM23" s="10">
        <v>2824</v>
      </c>
      <c r="CO23" s="10">
        <v>2850</v>
      </c>
      <c r="CQ23" s="10">
        <v>4310</v>
      </c>
    </row>
    <row r="24" spans="1:118" s="10" customFormat="1" ht="15.75" customHeight="1" thickBot="1">
      <c r="A24" s="119"/>
      <c r="B24" s="595" t="s">
        <v>161</v>
      </c>
      <c r="C24" s="121" t="str">
        <f t="shared" ca="1" si="7"/>
        <v>{"zahlbarDurch":"BKW Energie AG","pensumm":"100","betrag":"1000","gueltigVon":"01.01.2025","gueltigBis":"31.12.2025","checkbox":"x"}</v>
      </c>
      <c r="D24" s="13"/>
      <c r="E24" s="45" t="str">
        <f t="shared" ca="1" si="8"/>
        <v>{"zahlbarDurch":"BKW Energie AG","pensumm":"100","betrag":"1000","gueltigVon":"01.01.2025","gueltigBis":"31.12.2025","checkbox":"x"}</v>
      </c>
      <c r="F24" s="619" t="s">
        <v>162</v>
      </c>
      <c r="G24" s="611"/>
      <c r="H24" s="611" t="s">
        <v>163</v>
      </c>
      <c r="I24" s="611" t="s">
        <v>164</v>
      </c>
      <c r="J24" s="611" t="s">
        <v>165</v>
      </c>
      <c r="K24" s="611">
        <v>100</v>
      </c>
      <c r="L24" s="611" t="s">
        <v>166</v>
      </c>
      <c r="M24" s="611">
        <v>1000</v>
      </c>
      <c r="N24" s="611" t="s">
        <v>167</v>
      </c>
      <c r="O24" s="615" t="str">
        <f ca="1">"01.01."&amp;YEAR(TODAY())</f>
        <v>01.01.2025</v>
      </c>
      <c r="P24" s="611" t="s">
        <v>168</v>
      </c>
      <c r="Q24" s="615" t="str">
        <f ca="1">"31.12."&amp;YEAR(TODAY())</f>
        <v>31.12.2025</v>
      </c>
      <c r="R24" s="611" t="s">
        <v>169</v>
      </c>
      <c r="S24" s="611" t="s">
        <v>170</v>
      </c>
      <c r="T24" s="611" t="s">
        <v>37</v>
      </c>
      <c r="U24" s="611"/>
      <c r="V24" s="611"/>
      <c r="W24" s="611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54">
        <v>11343</v>
      </c>
      <c r="AJ24" s="156">
        <f t="shared" si="2"/>
        <v>1</v>
      </c>
      <c r="AK24" s="154">
        <v>11197</v>
      </c>
      <c r="AL24" s="156">
        <f t="shared" si="3"/>
        <v>0.98712862558406067</v>
      </c>
      <c r="AM24" s="154">
        <v>12009</v>
      </c>
      <c r="AN24" s="156">
        <f t="shared" si="4"/>
        <v>1.0587146257603808</v>
      </c>
      <c r="AO24" s="13"/>
      <c r="AP24" s="156">
        <f t="shared" si="4"/>
        <v>0</v>
      </c>
      <c r="AQ24" s="13">
        <v>11259</v>
      </c>
      <c r="AR24" s="156">
        <f t="shared" si="4"/>
        <v>0.99259455170589794</v>
      </c>
      <c r="AS24" s="13">
        <v>11557</v>
      </c>
      <c r="AT24" s="156">
        <f t="shared" si="4"/>
        <v>1.0188662611302124</v>
      </c>
      <c r="AU24" s="13">
        <v>11181</v>
      </c>
      <c r="AV24" s="156">
        <f t="shared" si="4"/>
        <v>0.98571806400423168</v>
      </c>
      <c r="AW24" s="13">
        <v>4847</v>
      </c>
      <c r="AX24" s="156">
        <f t="shared" si="5"/>
        <v>0.42731199858943841</v>
      </c>
      <c r="AY24" s="2">
        <v>4806</v>
      </c>
      <c r="AZ24" s="156">
        <f t="shared" si="5"/>
        <v>0.42369743454112668</v>
      </c>
      <c r="BA24" s="2">
        <v>4952</v>
      </c>
      <c r="BB24" s="156">
        <f t="shared" si="6"/>
        <v>0.43656880895706601</v>
      </c>
      <c r="BC24" s="2">
        <v>4825</v>
      </c>
      <c r="BD24" s="2"/>
      <c r="BE24" s="2">
        <v>4896</v>
      </c>
      <c r="BF24" s="2"/>
      <c r="BG24" s="10">
        <v>4980</v>
      </c>
      <c r="BI24" s="10">
        <v>5223</v>
      </c>
      <c r="BK24" s="10">
        <v>5284</v>
      </c>
      <c r="BM24" s="10">
        <v>5165</v>
      </c>
      <c r="BO24" s="10">
        <v>5216</v>
      </c>
      <c r="BQ24" s="10">
        <v>5255</v>
      </c>
      <c r="BS24" s="10">
        <v>5131</v>
      </c>
      <c r="BU24" s="10">
        <v>5160</v>
      </c>
      <c r="BW24" s="10">
        <v>5130</v>
      </c>
      <c r="BY24" s="10">
        <v>5231</v>
      </c>
      <c r="CA24" s="10">
        <v>5146</v>
      </c>
      <c r="CC24" s="10">
        <v>5086</v>
      </c>
      <c r="CE24" s="10">
        <v>5025</v>
      </c>
      <c r="CG24" s="10">
        <v>5179</v>
      </c>
      <c r="CI24" s="10">
        <v>5133</v>
      </c>
      <c r="CK24" s="10">
        <v>2157</v>
      </c>
      <c r="CM24" s="10">
        <v>2142</v>
      </c>
      <c r="CO24" s="10">
        <v>2184</v>
      </c>
      <c r="CQ24" s="10">
        <v>8389</v>
      </c>
    </row>
    <row r="25" spans="1:118" s="10" customFormat="1" ht="15.75" customHeight="1" thickBot="1">
      <c r="A25" s="119">
        <v>27</v>
      </c>
      <c r="B25" s="596" t="s">
        <v>139</v>
      </c>
      <c r="C25" s="121" t="str">
        <f>E25</f>
        <v>{"searchDossierOrKlient":p.DossierName12,"resultType":"Dossiers"}</v>
      </c>
      <c r="D25" s="56"/>
      <c r="E25" s="109" t="str">
        <f>F25&amp;G25&amp;H25&amp;I25&amp;J25&amp;K25&amp;L25&amp;M25&amp;N25&amp;O25&amp;P25&amp;Q25&amp;R25&amp;S25&amp;T25&amp;U25&amp;V25&amp;W25&amp;X25</f>
        <v>{"searchDossierOrKlient":p.DossierName12,"resultType":"Dossiers"}</v>
      </c>
      <c r="F25" s="609" t="s">
        <v>140</v>
      </c>
      <c r="G25" s="614" t="str">
        <f>G23</f>
        <v>p.DossierName12</v>
      </c>
      <c r="H25" s="609" t="s">
        <v>141</v>
      </c>
      <c r="I25" s="611" t="s">
        <v>142</v>
      </c>
      <c r="J25" s="609" t="s">
        <v>37</v>
      </c>
      <c r="K25" s="611"/>
      <c r="L25" s="609"/>
      <c r="M25" s="611"/>
      <c r="N25" s="609"/>
      <c r="O25" s="611"/>
      <c r="P25" s="609"/>
      <c r="Q25" s="611"/>
      <c r="R25" s="609"/>
      <c r="S25" s="611"/>
      <c r="T25" s="609"/>
      <c r="U25" s="611"/>
      <c r="V25" s="609"/>
      <c r="W25" s="611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157">
        <v>4012</v>
      </c>
      <c r="AJ25" s="156">
        <f t="shared" si="2"/>
        <v>1</v>
      </c>
      <c r="AK25" s="157">
        <v>4022</v>
      </c>
      <c r="AL25" s="156">
        <f t="shared" si="3"/>
        <v>1.0024925224327019</v>
      </c>
      <c r="AM25" s="157">
        <v>4006</v>
      </c>
      <c r="AN25" s="156">
        <f t="shared" si="4"/>
        <v>0.99850448654037882</v>
      </c>
      <c r="AO25" s="56"/>
      <c r="AP25" s="156">
        <f t="shared" si="4"/>
        <v>0</v>
      </c>
      <c r="AQ25" s="56">
        <v>4076</v>
      </c>
      <c r="AR25" s="156">
        <f t="shared" si="4"/>
        <v>1.0159521435692922</v>
      </c>
      <c r="AS25" s="56">
        <v>4039</v>
      </c>
      <c r="AT25" s="156">
        <f t="shared" si="4"/>
        <v>1.0067298105682951</v>
      </c>
      <c r="AU25" s="56">
        <v>4012</v>
      </c>
      <c r="AV25" s="156">
        <f t="shared" si="4"/>
        <v>1</v>
      </c>
      <c r="AW25" s="56">
        <v>4016</v>
      </c>
      <c r="AX25" s="156">
        <f t="shared" si="5"/>
        <v>1.0009970089730809</v>
      </c>
      <c r="AY25" s="2">
        <v>4018</v>
      </c>
      <c r="AZ25" s="156">
        <f t="shared" si="5"/>
        <v>1.0014955134596211</v>
      </c>
      <c r="BA25" s="2">
        <v>3286</v>
      </c>
      <c r="BB25" s="156">
        <f t="shared" si="6"/>
        <v>0.81904287138584242</v>
      </c>
      <c r="BC25" s="2">
        <v>3327</v>
      </c>
      <c r="BD25" s="2"/>
      <c r="BE25" s="2">
        <v>3138</v>
      </c>
      <c r="BF25" s="2"/>
      <c r="BG25" s="10">
        <v>3623</v>
      </c>
      <c r="BI25" s="10">
        <v>3946</v>
      </c>
      <c r="BK25" s="10">
        <v>4045</v>
      </c>
      <c r="BM25" s="10">
        <v>3795</v>
      </c>
      <c r="BO25" s="10">
        <v>3744</v>
      </c>
      <c r="BQ25" s="10">
        <v>4063</v>
      </c>
      <c r="BS25" s="10">
        <v>3832</v>
      </c>
      <c r="BU25" s="10">
        <v>4123</v>
      </c>
      <c r="BW25" s="10">
        <v>3780</v>
      </c>
      <c r="BY25" s="10">
        <v>3558</v>
      </c>
      <c r="CA25" s="10">
        <v>2981</v>
      </c>
      <c r="CC25" s="10">
        <v>3160</v>
      </c>
      <c r="CE25" s="10">
        <v>3091</v>
      </c>
      <c r="CG25" s="10">
        <v>3191</v>
      </c>
      <c r="CI25" s="10">
        <v>3135</v>
      </c>
      <c r="CK25" s="10">
        <v>3673</v>
      </c>
      <c r="CM25" s="10">
        <v>3648</v>
      </c>
      <c r="CO25" s="10">
        <v>3540</v>
      </c>
      <c r="CQ25" s="10">
        <v>5434</v>
      </c>
      <c r="CS25" s="10">
        <v>4738</v>
      </c>
      <c r="CU25" s="10">
        <v>4842</v>
      </c>
      <c r="CW25" s="10">
        <v>5089</v>
      </c>
      <c r="CY25" s="10">
        <v>4943</v>
      </c>
      <c r="DA25" s="10">
        <v>3858</v>
      </c>
      <c r="DC25" s="10">
        <v>3161</v>
      </c>
      <c r="DE25" s="10">
        <v>5247</v>
      </c>
      <c r="DG25" s="10">
        <v>7828</v>
      </c>
      <c r="DI25" s="10">
        <v>4573</v>
      </c>
      <c r="DK25" s="10">
        <v>4721</v>
      </c>
      <c r="DM25" s="10">
        <v>3308</v>
      </c>
      <c r="DN25" s="10" t="s">
        <v>1718</v>
      </c>
    </row>
    <row r="26" spans="1:118" s="10" customFormat="1" ht="15.75" customHeight="1" thickBot="1">
      <c r="A26" s="119">
        <v>28</v>
      </c>
      <c r="B26" s="120" t="s">
        <v>180</v>
      </c>
      <c r="C26" s="121" t="str">
        <f ca="1">E26</f>
        <v>{"entscheidVom":"04.11.2025","begrundung":"Gar keine Begründung","unterstutzungab":"01.11.2025"}</v>
      </c>
      <c r="D26" s="56"/>
      <c r="E26" s="109" t="str">
        <f ca="1">F26&amp;G26&amp;H26&amp;I26&amp;J26&amp;K26&amp;L26&amp;M26&amp;N26&amp;O26&amp;P26&amp;Q26&amp;R26&amp;S26&amp;T26&amp;U26&amp;V26&amp;W26&amp;X26</f>
        <v>{"entscheidVom":"04.11.2025","begrundung":"Gar keine Begründung","unterstutzungab":"01.11.2025"}</v>
      </c>
      <c r="F26" s="609" t="s">
        <v>181</v>
      </c>
      <c r="G26" s="615" t="str">
        <f ca="1">TEXT(TEXT(TODAY(),"DD")&amp;"."&amp;TEXT(TODAY(),"MM")&amp;"."&amp;TEXT(TODAY(),"YYYY"),"DD.MM.YYYY")</f>
        <v>04.11.2025</v>
      </c>
      <c r="H26" s="609" t="s">
        <v>182</v>
      </c>
      <c r="I26" s="611" t="s">
        <v>183</v>
      </c>
      <c r="J26" s="609" t="s">
        <v>184</v>
      </c>
      <c r="K26" s="615" t="str">
        <f ca="1">"01."&amp;TEXT(TODAY(),"MM")&amp;"."&amp;TEXT(TODAY(),"YYYY")</f>
        <v>01.11.2025</v>
      </c>
      <c r="L26" s="609" t="s">
        <v>37</v>
      </c>
      <c r="M26" s="611"/>
      <c r="N26" s="609"/>
      <c r="O26" s="611"/>
      <c r="P26" s="609"/>
      <c r="Q26" s="611"/>
      <c r="R26" s="609"/>
      <c r="S26" s="611"/>
      <c r="T26" s="609"/>
      <c r="U26" s="611"/>
      <c r="V26" s="609"/>
      <c r="W26" s="611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157">
        <v>10488</v>
      </c>
      <c r="AJ26" s="156">
        <f t="shared" si="2"/>
        <v>1</v>
      </c>
      <c r="AK26" s="157">
        <v>10739</v>
      </c>
      <c r="AL26" s="156">
        <f t="shared" si="3"/>
        <v>1.0239321128909229</v>
      </c>
      <c r="AM26" s="157">
        <v>11104</v>
      </c>
      <c r="AN26" s="156">
        <f t="shared" si="4"/>
        <v>1.0587337909992371</v>
      </c>
      <c r="AO26" s="56"/>
      <c r="AP26" s="156">
        <f t="shared" si="4"/>
        <v>0</v>
      </c>
      <c r="AQ26" s="56">
        <v>10810</v>
      </c>
      <c r="AR26" s="156">
        <f t="shared" si="4"/>
        <v>1.0307017543859649</v>
      </c>
      <c r="AS26" s="56">
        <v>11018</v>
      </c>
      <c r="AT26" s="156">
        <f t="shared" si="4"/>
        <v>1.0505339435545384</v>
      </c>
      <c r="AU26" s="56">
        <v>10619</v>
      </c>
      <c r="AV26" s="156">
        <f t="shared" si="4"/>
        <v>1.012490465293669</v>
      </c>
      <c r="AW26" s="56">
        <v>2405</v>
      </c>
      <c r="AX26" s="156">
        <f t="shared" si="5"/>
        <v>0.22930968726163234</v>
      </c>
      <c r="AY26" s="2">
        <v>2398</v>
      </c>
      <c r="AZ26" s="156">
        <f t="shared" si="5"/>
        <v>0.2286422578184592</v>
      </c>
      <c r="BA26" s="2">
        <v>4874</v>
      </c>
      <c r="BB26" s="156">
        <f t="shared" si="6"/>
        <v>0.46472158657513346</v>
      </c>
      <c r="BC26" s="2">
        <v>4818</v>
      </c>
      <c r="BD26" s="2"/>
      <c r="BE26" s="2">
        <v>4728</v>
      </c>
      <c r="BF26" s="2"/>
      <c r="BG26" s="10">
        <v>5139</v>
      </c>
      <c r="BI26" s="10">
        <v>5237</v>
      </c>
      <c r="BK26" s="10">
        <v>5472</v>
      </c>
      <c r="BM26" s="10">
        <v>5216</v>
      </c>
      <c r="BO26" s="10">
        <v>5314</v>
      </c>
      <c r="BQ26" s="10">
        <v>5425</v>
      </c>
      <c r="BS26" s="10">
        <v>5369</v>
      </c>
      <c r="BU26" s="10">
        <v>5209</v>
      </c>
      <c r="BW26" s="10">
        <v>5202</v>
      </c>
      <c r="BY26" s="10">
        <v>5452</v>
      </c>
      <c r="CA26" s="10">
        <v>5237</v>
      </c>
      <c r="CC26" s="10">
        <v>5004</v>
      </c>
      <c r="CE26" s="10">
        <v>5091</v>
      </c>
      <c r="CG26" s="10">
        <v>5287</v>
      </c>
      <c r="CI26" s="10">
        <v>5241</v>
      </c>
      <c r="CK26" s="10">
        <v>2306</v>
      </c>
      <c r="CM26" s="10">
        <v>2400</v>
      </c>
      <c r="CO26" s="10">
        <v>2835</v>
      </c>
      <c r="CQ26" s="10">
        <v>4479</v>
      </c>
      <c r="CS26" s="10">
        <v>3154</v>
      </c>
      <c r="CU26" s="10">
        <v>3058</v>
      </c>
      <c r="CW26" s="10">
        <v>3180</v>
      </c>
      <c r="CY26" s="10">
        <v>4460</v>
      </c>
      <c r="DA26" s="10">
        <v>4645</v>
      </c>
      <c r="DC26" s="10">
        <v>5699</v>
      </c>
      <c r="DE26" s="10">
        <v>4527</v>
      </c>
      <c r="DG26" s="10">
        <v>4682</v>
      </c>
      <c r="DI26" s="10">
        <v>4360</v>
      </c>
      <c r="DK26" s="10">
        <v>4936</v>
      </c>
      <c r="DM26" s="10">
        <v>4738</v>
      </c>
      <c r="DN26" s="10" t="s">
        <v>1718</v>
      </c>
    </row>
    <row r="27" spans="1:118" s="10" customFormat="1" ht="32.25" customHeight="1" thickBot="1">
      <c r="A27" s="119"/>
      <c r="B27" s="120" t="s">
        <v>185</v>
      </c>
      <c r="C27" s="121" t="str">
        <f ca="1">E27</f>
        <v>{"ubernahmeWohnkostenCFH":"100","uebernahmeWohnkostenVon":"01.11.2025","uebernahmeWohnkostenBis":"27.5.2026","uebernahemBegruendung":"Die Wohnungen sind teuer hier"}</v>
      </c>
      <c r="D27" s="56"/>
      <c r="E27" s="109" t="str">
        <f ca="1">F27&amp;G27&amp;H27&amp;I27&amp;J27&amp;K27&amp;L27&amp;M27&amp;N27&amp;O27&amp;P27&amp;Q27&amp;R27&amp;S27&amp;T27&amp;U27&amp;V27&amp;W27&amp;X27</f>
        <v>{"ubernahmeWohnkostenCFH":"100","uebernahmeWohnkostenVon":"01.11.2025","uebernahmeWohnkostenBis":"27.5.2026","uebernahemBegruendung":"Die Wohnungen sind teuer hier"}</v>
      </c>
      <c r="F27" s="609" t="s">
        <v>186</v>
      </c>
      <c r="G27" s="611">
        <v>100</v>
      </c>
      <c r="H27" s="611" t="s">
        <v>187</v>
      </c>
      <c r="I27" s="614" t="str">
        <f ca="1">"01."&amp;MONTH(TODAY())&amp;"."&amp;YEAR(TODAY())</f>
        <v>01.11.2025</v>
      </c>
      <c r="J27" s="611" t="s">
        <v>188</v>
      </c>
      <c r="K27" s="614" t="str">
        <f ca="1">"27."&amp;MONTH(TODAY()+180)&amp;"."&amp;YEAR(TODAY()+180)</f>
        <v>27.5.2026</v>
      </c>
      <c r="L27" s="609" t="s">
        <v>189</v>
      </c>
      <c r="M27" s="611" t="s">
        <v>190</v>
      </c>
      <c r="N27" s="609" t="s">
        <v>37</v>
      </c>
      <c r="O27" s="611"/>
      <c r="P27" s="611"/>
      <c r="Q27" s="611"/>
      <c r="R27" s="611"/>
      <c r="S27" s="611"/>
      <c r="T27" s="611"/>
      <c r="U27" s="611"/>
      <c r="V27" s="611"/>
      <c r="W27" s="611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157">
        <v>5026</v>
      </c>
      <c r="AJ27" s="156">
        <f t="shared" si="2"/>
        <v>1</v>
      </c>
      <c r="AK27" s="157">
        <v>5007</v>
      </c>
      <c r="AL27" s="156">
        <f t="shared" si="3"/>
        <v>0.99621965777954635</v>
      </c>
      <c r="AM27" s="157">
        <v>5010</v>
      </c>
      <c r="AN27" s="156">
        <f t="shared" si="4"/>
        <v>0.99681655391961799</v>
      </c>
      <c r="AO27" s="56"/>
      <c r="AP27" s="156">
        <f t="shared" si="4"/>
        <v>0</v>
      </c>
      <c r="AQ27" s="56">
        <v>5013</v>
      </c>
      <c r="AR27" s="156">
        <f t="shared" si="4"/>
        <v>0.99741345005968962</v>
      </c>
      <c r="AS27" s="56">
        <v>5002</v>
      </c>
      <c r="AT27" s="156">
        <f t="shared" si="4"/>
        <v>0.99522483087942692</v>
      </c>
      <c r="AU27" s="56">
        <v>5019</v>
      </c>
      <c r="AV27" s="156">
        <f t="shared" si="4"/>
        <v>0.99860724233983289</v>
      </c>
      <c r="AW27" s="56">
        <v>5014</v>
      </c>
      <c r="AX27" s="156">
        <f t="shared" si="4"/>
        <v>0.99761241543971346</v>
      </c>
      <c r="AY27" s="2">
        <v>5018</v>
      </c>
      <c r="AZ27" s="156">
        <f t="shared" si="4"/>
        <v>0.99840827695980894</v>
      </c>
      <c r="BA27" s="2">
        <v>10780</v>
      </c>
      <c r="BB27" s="156">
        <f t="shared" si="6"/>
        <v>2.1448467966573816</v>
      </c>
      <c r="BC27" s="2">
        <v>10190</v>
      </c>
      <c r="BD27" s="2"/>
      <c r="BE27" s="2">
        <v>9053</v>
      </c>
      <c r="BF27" s="2"/>
      <c r="BG27" s="10">
        <v>12584</v>
      </c>
      <c r="BI27" s="10">
        <v>10706</v>
      </c>
      <c r="BK27" s="10">
        <v>12695</v>
      </c>
      <c r="BM27" s="10">
        <v>13396</v>
      </c>
      <c r="BO27" s="10">
        <v>12426</v>
      </c>
      <c r="BQ27" s="10">
        <v>13643</v>
      </c>
      <c r="BS27" s="10">
        <v>14388</v>
      </c>
      <c r="BU27" s="10">
        <v>12730</v>
      </c>
      <c r="BW27" s="10">
        <v>12753</v>
      </c>
      <c r="BY27" s="10">
        <v>10758</v>
      </c>
      <c r="CA27" s="10">
        <v>11483</v>
      </c>
      <c r="CC27" s="10">
        <v>11406</v>
      </c>
      <c r="CE27" s="10">
        <v>11867</v>
      </c>
      <c r="CG27" s="10">
        <v>11677</v>
      </c>
      <c r="CI27" s="10">
        <v>8727</v>
      </c>
      <c r="CK27" s="10">
        <v>11337</v>
      </c>
      <c r="CM27" s="10">
        <v>11486</v>
      </c>
      <c r="CO27" s="10">
        <v>11489</v>
      </c>
      <c r="CQ27" s="10">
        <v>22962</v>
      </c>
    </row>
    <row r="28" spans="1:118" s="10" customFormat="1" ht="15.75" customHeight="1" thickBot="1">
      <c r="A28" s="119">
        <v>32</v>
      </c>
      <c r="B28" s="137" t="s">
        <v>191</v>
      </c>
      <c r="C28" s="121" t="str">
        <f t="shared" ref="C28:C34" ca="1" si="9">E28</f>
        <v>{"lEvonDate":"04.11.2025","lEbisDate":"20.10.2026","checkStatus":"In Bearbeitung"}</v>
      </c>
      <c r="D28" s="82"/>
      <c r="E28" s="83" t="str">
        <f t="shared" ref="E28:E38" ca="1" si="10">F28&amp;G28&amp;H28&amp;I28&amp;J28&amp;K28&amp;L28&amp;M28&amp;N28&amp;O28&amp;P28&amp;Q28&amp;R28&amp;S28&amp;T28&amp;U28&amp;V28&amp;W28&amp;X28</f>
        <v>{"lEvonDate":"04.11.2025","lEbisDate":"20.10.2026","checkStatus":"In Bearbeitung"}</v>
      </c>
      <c r="F28" s="609" t="s">
        <v>192</v>
      </c>
      <c r="G28" s="615" t="str">
        <f ca="1">TEXT(TEXT(TODAY(),"DD")&amp;"."&amp;TEXT(TODAY(),"MM")&amp;"."&amp;TEXT(TODAY(),"YYYY"),"DD.MM.YYYY")</f>
        <v>04.11.2025</v>
      </c>
      <c r="H28" s="609" t="s">
        <v>193</v>
      </c>
      <c r="I28" s="615" t="str">
        <f ca="1">TEXT(TEXT(TODAY()+350,"DD")&amp;"."&amp;TEXT(TODAY()+350,"MM")&amp;"."&amp;TEXT(TODAY()+350,"YYYY"),"DD.MM.YYYY")</f>
        <v>20.10.2026</v>
      </c>
      <c r="J28" s="609" t="s">
        <v>132</v>
      </c>
      <c r="K28" s="611" t="s">
        <v>133</v>
      </c>
      <c r="L28" s="609" t="s">
        <v>37</v>
      </c>
      <c r="M28" s="611"/>
      <c r="N28" s="609"/>
      <c r="O28" s="611"/>
      <c r="P28" s="609"/>
      <c r="Q28" s="611"/>
      <c r="R28" s="609"/>
      <c r="S28" s="611"/>
      <c r="T28" s="609"/>
      <c r="U28" s="611"/>
      <c r="V28" s="609"/>
      <c r="W28" s="611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171">
        <v>3015</v>
      </c>
      <c r="AJ28" s="156">
        <f t="shared" si="2"/>
        <v>1</v>
      </c>
      <c r="AK28" s="171">
        <v>3011</v>
      </c>
      <c r="AL28" s="156">
        <f t="shared" si="3"/>
        <v>0.99867330016583744</v>
      </c>
      <c r="AM28" s="171">
        <v>3011</v>
      </c>
      <c r="AN28" s="156">
        <f t="shared" si="4"/>
        <v>0.99867330016583744</v>
      </c>
      <c r="AO28" s="82"/>
      <c r="AP28" s="156">
        <f t="shared" si="4"/>
        <v>0</v>
      </c>
      <c r="AQ28" s="82">
        <v>3018</v>
      </c>
      <c r="AR28" s="156">
        <f t="shared" si="4"/>
        <v>1.0009950248756219</v>
      </c>
      <c r="AS28" s="82">
        <v>3015</v>
      </c>
      <c r="AT28" s="156">
        <f t="shared" si="4"/>
        <v>1</v>
      </c>
      <c r="AU28" s="82">
        <v>3021</v>
      </c>
      <c r="AV28" s="156">
        <f t="shared" si="4"/>
        <v>1.0019900497512437</v>
      </c>
      <c r="AW28" s="82">
        <v>3014</v>
      </c>
      <c r="AX28" s="156">
        <f t="shared" si="4"/>
        <v>0.99966832504145942</v>
      </c>
      <c r="AY28" s="2">
        <v>3010</v>
      </c>
      <c r="AZ28" s="156">
        <f t="shared" si="4"/>
        <v>0.99834162520729686</v>
      </c>
      <c r="BA28" s="2">
        <v>1615</v>
      </c>
      <c r="BB28" s="156">
        <f t="shared" si="6"/>
        <v>0.53565505804311775</v>
      </c>
      <c r="BC28" s="2">
        <v>1911</v>
      </c>
      <c r="BD28" s="2"/>
      <c r="BE28" s="2">
        <v>1373</v>
      </c>
      <c r="BF28" s="2"/>
      <c r="BG28" s="10">
        <v>1978</v>
      </c>
      <c r="BI28" s="10">
        <v>3632</v>
      </c>
      <c r="BK28" s="10">
        <v>2346</v>
      </c>
      <c r="BM28" s="10">
        <v>2017</v>
      </c>
      <c r="BO28" s="10">
        <v>2253</v>
      </c>
      <c r="BQ28" s="10">
        <v>2713</v>
      </c>
      <c r="BS28" s="10">
        <v>2297</v>
      </c>
      <c r="BU28" s="10">
        <v>2143</v>
      </c>
      <c r="BW28" s="10">
        <v>2397</v>
      </c>
      <c r="BY28" s="10">
        <v>1734</v>
      </c>
      <c r="CA28" s="10">
        <v>2105</v>
      </c>
      <c r="CC28" s="10">
        <v>2050</v>
      </c>
      <c r="CE28" s="10">
        <v>2020</v>
      </c>
      <c r="CG28" s="10">
        <v>1623</v>
      </c>
      <c r="CI28" s="10">
        <v>3734</v>
      </c>
      <c r="CK28" s="10">
        <v>2275</v>
      </c>
      <c r="CM28" s="10">
        <v>2086</v>
      </c>
      <c r="CO28" s="10">
        <v>1744</v>
      </c>
      <c r="CQ28" s="10">
        <v>13810</v>
      </c>
      <c r="CS28" s="10">
        <v>15852</v>
      </c>
      <c r="CU28" s="2269">
        <v>0</v>
      </c>
      <c r="CV28" s="2270" t="s">
        <v>1423</v>
      </c>
      <c r="CW28" s="10">
        <v>15315</v>
      </c>
      <c r="CY28" s="10">
        <v>13150</v>
      </c>
      <c r="DA28" s="10">
        <v>29772</v>
      </c>
      <c r="DC28" s="10">
        <v>14714</v>
      </c>
      <c r="DE28" s="10">
        <v>14258</v>
      </c>
      <c r="DG28" s="10">
        <v>13913</v>
      </c>
      <c r="DI28" s="10">
        <v>12592</v>
      </c>
      <c r="DK28" s="10">
        <v>15248</v>
      </c>
      <c r="DM28" s="10">
        <v>12428</v>
      </c>
      <c r="DN28" s="10" t="s">
        <v>1718</v>
      </c>
    </row>
    <row r="29" spans="1:118" s="10" customFormat="1" ht="15.75" customHeight="1">
      <c r="A29" s="119"/>
      <c r="B29" s="120" t="s">
        <v>134</v>
      </c>
      <c r="C29" s="121" t="str">
        <f t="shared" si="9"/>
        <v>{"username":"aventis-gemeinde-ma@diartis.ch","password":"#xFymiADPk7wJG/FWMz"}</v>
      </c>
      <c r="D29" s="82"/>
      <c r="E29" s="83" t="str">
        <f t="shared" si="10"/>
        <v>{"username":"aventis-gemeinde-ma@diartis.ch","password":"#xFymiADPk7wJG/FWMz"}</v>
      </c>
      <c r="F29" s="609" t="s">
        <v>29</v>
      </c>
      <c r="G29" s="617" t="s">
        <v>195</v>
      </c>
      <c r="H29" s="609" t="s">
        <v>31</v>
      </c>
      <c r="I29" s="618" t="s">
        <v>196</v>
      </c>
      <c r="J29" s="609" t="s">
        <v>37</v>
      </c>
      <c r="K29" s="614"/>
      <c r="L29" s="609"/>
      <c r="M29" s="611"/>
      <c r="N29" s="609"/>
      <c r="O29" s="611"/>
      <c r="P29" s="609"/>
      <c r="Q29" s="611"/>
      <c r="R29" s="609"/>
      <c r="S29" s="611"/>
      <c r="T29" s="609"/>
      <c r="U29" s="611"/>
      <c r="V29" s="609"/>
      <c r="W29" s="611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171">
        <v>4543</v>
      </c>
      <c r="AJ29" s="156">
        <f t="shared" si="2"/>
        <v>1</v>
      </c>
      <c r="AK29" s="171">
        <v>5116</v>
      </c>
      <c r="AL29" s="156">
        <f t="shared" si="3"/>
        <v>1.1261281091789566</v>
      </c>
      <c r="AM29" s="171">
        <v>17431</v>
      </c>
      <c r="AN29" s="156">
        <f t="shared" si="4"/>
        <v>3.8368919216376844</v>
      </c>
      <c r="AO29" s="82"/>
      <c r="AP29" s="156">
        <f t="shared" si="4"/>
        <v>0</v>
      </c>
      <c r="AQ29" s="82">
        <v>15851</v>
      </c>
      <c r="AR29" s="156">
        <f t="shared" si="4"/>
        <v>3.4891041162227605</v>
      </c>
      <c r="AS29" s="82">
        <v>15764</v>
      </c>
      <c r="AT29" s="156">
        <f t="shared" si="4"/>
        <v>3.4699537750385208</v>
      </c>
      <c r="AU29" s="82">
        <v>15355</v>
      </c>
      <c r="AV29" s="156">
        <f t="shared" si="4"/>
        <v>3.3799251595861763</v>
      </c>
      <c r="AW29" s="82">
        <v>10440</v>
      </c>
      <c r="AX29" s="156">
        <f t="shared" si="4"/>
        <v>2.2980409421087389</v>
      </c>
      <c r="AY29" s="2">
        <v>9867</v>
      </c>
      <c r="AZ29" s="156">
        <f t="shared" si="4"/>
        <v>2.1719128329297819</v>
      </c>
      <c r="BA29" s="2">
        <v>11315</v>
      </c>
      <c r="BB29" s="156">
        <f t="shared" si="6"/>
        <v>2.4906449482720667</v>
      </c>
      <c r="BC29" s="2">
        <v>10960</v>
      </c>
      <c r="BD29" s="2"/>
      <c r="BE29" s="2">
        <v>10249</v>
      </c>
      <c r="BF29" s="2"/>
      <c r="BG29" s="10">
        <v>12457</v>
      </c>
      <c r="BI29" s="10">
        <v>12508</v>
      </c>
      <c r="BK29" s="10">
        <v>12427</v>
      </c>
      <c r="BM29" s="10">
        <v>12094</v>
      </c>
      <c r="BO29" s="10">
        <v>12595</v>
      </c>
      <c r="BQ29" s="10">
        <v>13016</v>
      </c>
      <c r="BS29" s="10">
        <v>12543</v>
      </c>
      <c r="BU29" s="10">
        <v>12835</v>
      </c>
      <c r="BW29" s="10">
        <v>12275</v>
      </c>
      <c r="BY29" s="10">
        <v>11191</v>
      </c>
      <c r="CA29" s="10">
        <v>10950</v>
      </c>
      <c r="CC29" s="10">
        <v>11528</v>
      </c>
      <c r="CE29" s="10">
        <v>11812</v>
      </c>
      <c r="CG29" s="10">
        <v>11903</v>
      </c>
      <c r="CI29" s="10">
        <v>10931</v>
      </c>
      <c r="CK29" s="10">
        <v>11494</v>
      </c>
      <c r="CM29" s="10">
        <v>12457</v>
      </c>
      <c r="CO29" s="10">
        <v>11555</v>
      </c>
      <c r="CQ29" s="1975">
        <v>0</v>
      </c>
      <c r="CR29" s="1976" t="s">
        <v>1386</v>
      </c>
    </row>
    <row r="30" spans="1:118" s="10" customFormat="1" ht="15.75" customHeight="1">
      <c r="A30" s="119">
        <v>34</v>
      </c>
      <c r="B30" s="120" t="s">
        <v>134</v>
      </c>
      <c r="C30" s="121" t="str">
        <f t="shared" si="9"/>
        <v>{"username":"Bern.Sachbearbeiterin@diartis.ch","password":"XXxa22?pdTA66-S@"}</v>
      </c>
      <c r="D30" s="82"/>
      <c r="E30" s="83" t="str">
        <f t="shared" si="10"/>
        <v>{"username":"Bern.Sachbearbeiterin@diartis.ch","password":"XXxa22?pdTA66-S@"}</v>
      </c>
      <c r="F30" s="609" t="s">
        <v>29</v>
      </c>
      <c r="G30" s="617" t="s">
        <v>30</v>
      </c>
      <c r="H30" s="609" t="s">
        <v>31</v>
      </c>
      <c r="I30" s="618" t="s">
        <v>32</v>
      </c>
      <c r="J30" s="609" t="s">
        <v>37</v>
      </c>
      <c r="K30" s="614"/>
      <c r="L30" s="609"/>
      <c r="M30" s="611"/>
      <c r="N30" s="609"/>
      <c r="O30" s="611"/>
      <c r="P30" s="609"/>
      <c r="Q30" s="611"/>
      <c r="R30" s="609"/>
      <c r="S30" s="611"/>
      <c r="T30" s="609"/>
      <c r="U30" s="611"/>
      <c r="V30" s="609"/>
      <c r="W30" s="611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171">
        <v>3007</v>
      </c>
      <c r="AJ30" s="156">
        <f t="shared" si="2"/>
        <v>1</v>
      </c>
      <c r="AK30" s="171">
        <v>3012</v>
      </c>
      <c r="AL30" s="156">
        <f t="shared" si="3"/>
        <v>1.0016627868307284</v>
      </c>
      <c r="AM30" s="171">
        <v>3010</v>
      </c>
      <c r="AN30" s="156">
        <f t="shared" si="4"/>
        <v>1.000997672098437</v>
      </c>
      <c r="AO30" s="82"/>
      <c r="AP30" s="156">
        <f t="shared" si="4"/>
        <v>0</v>
      </c>
      <c r="AQ30" s="82">
        <v>3013</v>
      </c>
      <c r="AR30" s="156">
        <f t="shared" si="4"/>
        <v>1.0019953441968739</v>
      </c>
      <c r="AS30" s="82">
        <v>3013</v>
      </c>
      <c r="AT30" s="156">
        <f t="shared" si="4"/>
        <v>1.0019953441968739</v>
      </c>
      <c r="AU30" s="82">
        <v>3017</v>
      </c>
      <c r="AV30" s="156">
        <f t="shared" si="4"/>
        <v>1.0033255736614566</v>
      </c>
      <c r="AW30" s="82">
        <v>3006</v>
      </c>
      <c r="AX30" s="156">
        <f t="shared" si="4"/>
        <v>0.99966744263385432</v>
      </c>
      <c r="AY30" s="2">
        <v>3013</v>
      </c>
      <c r="AZ30" s="156">
        <f t="shared" si="4"/>
        <v>1.0019953441968739</v>
      </c>
      <c r="BA30" s="2">
        <v>8212</v>
      </c>
      <c r="BB30" s="156">
        <f t="shared" si="6"/>
        <v>2.7309610907881607</v>
      </c>
      <c r="BC30" s="2">
        <v>8857</v>
      </c>
      <c r="BD30" s="2"/>
      <c r="BE30" s="2">
        <v>9407</v>
      </c>
      <c r="BF30" s="2"/>
      <c r="BG30" s="10">
        <v>9123</v>
      </c>
      <c r="BI30" s="10">
        <v>8582</v>
      </c>
      <c r="BK30" s="10">
        <v>9253</v>
      </c>
      <c r="BM30" s="10">
        <v>8465</v>
      </c>
      <c r="BO30" s="10">
        <v>9213</v>
      </c>
      <c r="BQ30" s="10">
        <v>9673</v>
      </c>
      <c r="BS30" s="10">
        <v>8530</v>
      </c>
      <c r="BU30" s="10">
        <v>9800</v>
      </c>
      <c r="BW30" s="10">
        <v>9273</v>
      </c>
      <c r="BY30" s="10">
        <v>8484</v>
      </c>
      <c r="CA30" s="10">
        <v>8499</v>
      </c>
      <c r="CC30" s="10">
        <v>10011</v>
      </c>
      <c r="CE30" s="10">
        <v>9715</v>
      </c>
      <c r="CG30" s="10">
        <v>9111</v>
      </c>
      <c r="CI30" s="10">
        <v>8442</v>
      </c>
      <c r="CK30" s="10">
        <v>8596</v>
      </c>
      <c r="CM30" s="10">
        <v>8824</v>
      </c>
      <c r="CO30" s="10">
        <v>9227</v>
      </c>
      <c r="CQ30" s="10">
        <v>248</v>
      </c>
      <c r="CS30" s="10">
        <v>15593</v>
      </c>
      <c r="CU30" s="10">
        <v>224</v>
      </c>
      <c r="CW30" s="10">
        <v>20321</v>
      </c>
      <c r="CY30" s="10">
        <v>10191</v>
      </c>
      <c r="DA30" s="10">
        <v>10889</v>
      </c>
      <c r="DC30" s="2958">
        <v>0</v>
      </c>
      <c r="DD30" s="2959" t="s">
        <v>1480</v>
      </c>
      <c r="DE30" s="10">
        <v>18789</v>
      </c>
      <c r="DG30" s="10">
        <v>11459</v>
      </c>
      <c r="DI30" s="10">
        <v>16640</v>
      </c>
      <c r="DK30" s="10">
        <v>13379</v>
      </c>
      <c r="DM30" s="10">
        <v>11605</v>
      </c>
      <c r="DN30" s="10" t="s">
        <v>1718</v>
      </c>
    </row>
    <row r="31" spans="1:118" s="10" customFormat="1" ht="15.75" customHeight="1">
      <c r="A31" s="119">
        <v>36</v>
      </c>
      <c r="B31" s="601" t="s">
        <v>197</v>
      </c>
      <c r="C31" s="121" t="str">
        <f>E31</f>
        <v>{"dossier":p.DossierName12,"buttonName":"Prüfung OK","checkStatus":"In Bearbeitung"}</v>
      </c>
      <c r="D31" s="82"/>
      <c r="E31" s="83" t="str">
        <f t="shared" si="10"/>
        <v>{"dossier":p.DossierName12,"buttonName":"Prüfung OK","checkStatus":"In Bearbeitung"}</v>
      </c>
      <c r="F31" s="609" t="s">
        <v>159</v>
      </c>
      <c r="G31" s="649" t="str">
        <f>G25</f>
        <v>p.DossierName12</v>
      </c>
      <c r="H31" s="609" t="s">
        <v>198</v>
      </c>
      <c r="I31" s="611" t="s">
        <v>199</v>
      </c>
      <c r="J31" s="609" t="s">
        <v>132</v>
      </c>
      <c r="K31" s="611" t="s">
        <v>133</v>
      </c>
      <c r="L31" s="609" t="s">
        <v>37</v>
      </c>
      <c r="M31" s="611"/>
      <c r="N31" s="609"/>
      <c r="O31" s="611"/>
      <c r="P31" s="609"/>
      <c r="Q31" s="611"/>
      <c r="R31" s="609"/>
      <c r="S31" s="611"/>
      <c r="T31" s="609"/>
      <c r="U31" s="611"/>
      <c r="V31" s="609"/>
      <c r="W31" s="611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171">
        <v>3013</v>
      </c>
      <c r="AJ31" s="156">
        <f t="shared" si="2"/>
        <v>1</v>
      </c>
      <c r="AK31" s="171">
        <v>3031</v>
      </c>
      <c r="AL31" s="156">
        <f t="shared" si="3"/>
        <v>1.005974112180551</v>
      </c>
      <c r="AM31" s="171">
        <v>3007</v>
      </c>
      <c r="AN31" s="156">
        <f t="shared" si="4"/>
        <v>0.99800862927314971</v>
      </c>
      <c r="AO31" s="82"/>
      <c r="AP31" s="156">
        <f t="shared" si="4"/>
        <v>0</v>
      </c>
      <c r="AQ31" s="82">
        <v>3023</v>
      </c>
      <c r="AR31" s="156">
        <f t="shared" si="4"/>
        <v>1.0033189512114171</v>
      </c>
      <c r="AS31" s="82">
        <v>3048</v>
      </c>
      <c r="AT31" s="156">
        <f t="shared" si="4"/>
        <v>1.0116163292399603</v>
      </c>
      <c r="AU31" s="82">
        <v>3019</v>
      </c>
      <c r="AV31" s="156">
        <f t="shared" si="4"/>
        <v>1.0019913707268504</v>
      </c>
      <c r="AW31" s="82">
        <v>3019</v>
      </c>
      <c r="AX31" s="156">
        <f t="shared" si="4"/>
        <v>1.0019913707268504</v>
      </c>
      <c r="AY31" s="2">
        <v>3008</v>
      </c>
      <c r="AZ31" s="156">
        <f t="shared" si="4"/>
        <v>0.99834052439429144</v>
      </c>
      <c r="BA31" s="2">
        <v>9539</v>
      </c>
      <c r="BB31" s="156">
        <f t="shared" si="6"/>
        <v>3.1659475605708596</v>
      </c>
      <c r="BC31" s="2">
        <v>9458</v>
      </c>
      <c r="BD31" s="2"/>
      <c r="BE31" s="2">
        <v>10373</v>
      </c>
      <c r="BF31" s="2"/>
      <c r="BG31" s="10">
        <v>10164</v>
      </c>
      <c r="BI31" s="10">
        <v>11441</v>
      </c>
      <c r="BK31" s="10">
        <v>11771</v>
      </c>
      <c r="BM31" s="10">
        <v>10852</v>
      </c>
      <c r="BO31" s="10">
        <v>10975</v>
      </c>
      <c r="BQ31" s="10">
        <v>11492</v>
      </c>
      <c r="BS31" s="10">
        <v>10906</v>
      </c>
      <c r="BU31" s="10">
        <v>10370</v>
      </c>
      <c r="BW31" s="10">
        <v>10511</v>
      </c>
      <c r="BY31" s="10">
        <v>10217</v>
      </c>
      <c r="CA31" s="10">
        <v>10742</v>
      </c>
      <c r="CC31" s="10">
        <v>11037</v>
      </c>
      <c r="CE31" s="10">
        <v>11340</v>
      </c>
      <c r="CG31" s="10">
        <v>10511</v>
      </c>
      <c r="CI31" s="10">
        <v>10601</v>
      </c>
      <c r="CK31" s="10">
        <v>10911</v>
      </c>
      <c r="CM31" s="10">
        <v>9919</v>
      </c>
      <c r="CO31" s="10">
        <v>11148</v>
      </c>
      <c r="CS31" s="10">
        <v>8301</v>
      </c>
      <c r="CW31" s="10">
        <v>8295</v>
      </c>
      <c r="CY31" s="10">
        <v>8463</v>
      </c>
      <c r="DA31" s="10">
        <v>13862</v>
      </c>
      <c r="DC31" s="10">
        <v>232</v>
      </c>
      <c r="DE31" s="10">
        <v>11832</v>
      </c>
      <c r="DG31" s="10">
        <v>10932</v>
      </c>
      <c r="DI31" s="10">
        <v>10704</v>
      </c>
      <c r="DK31" s="10">
        <v>8542</v>
      </c>
      <c r="DM31" s="10">
        <v>29746</v>
      </c>
      <c r="DN31" s="10" t="s">
        <v>1718</v>
      </c>
    </row>
    <row r="32" spans="1:118" s="10" customFormat="1" ht="15.75" customHeight="1">
      <c r="A32" s="119">
        <v>37</v>
      </c>
      <c r="B32" s="120" t="s">
        <v>134</v>
      </c>
      <c r="C32" s="121" t="str">
        <f t="shared" si="9"/>
        <v>{"username":"aventis-gemeinde-ma@diartis.ch","password":"#xFymiADPk7wJG/FWMz"}</v>
      </c>
      <c r="D32" s="82"/>
      <c r="E32" s="83" t="str">
        <f t="shared" si="10"/>
        <v>{"username":"aventis-gemeinde-ma@diartis.ch","password":"#xFymiADPk7wJG/FWMz"}</v>
      </c>
      <c r="F32" s="609" t="s">
        <v>29</v>
      </c>
      <c r="G32" s="617" t="s">
        <v>195</v>
      </c>
      <c r="H32" s="609" t="s">
        <v>31</v>
      </c>
      <c r="I32" s="618" t="s">
        <v>196</v>
      </c>
      <c r="J32" s="609" t="s">
        <v>37</v>
      </c>
      <c r="K32" s="614"/>
      <c r="L32" s="609"/>
      <c r="M32" s="611"/>
      <c r="N32" s="609"/>
      <c r="O32" s="611"/>
      <c r="P32" s="609"/>
      <c r="Q32" s="611"/>
      <c r="R32" s="609"/>
      <c r="S32" s="611"/>
      <c r="T32" s="609"/>
      <c r="U32" s="611"/>
      <c r="V32" s="609"/>
      <c r="W32" s="611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171">
        <v>4543</v>
      </c>
      <c r="AJ32" s="156">
        <f t="shared" si="2"/>
        <v>1</v>
      </c>
      <c r="AK32" s="171">
        <v>5116</v>
      </c>
      <c r="AL32" s="156">
        <f t="shared" si="3"/>
        <v>1.1261281091789566</v>
      </c>
      <c r="AM32" s="171">
        <v>17431</v>
      </c>
      <c r="AN32" s="156">
        <f t="shared" si="4"/>
        <v>3.8368919216376844</v>
      </c>
      <c r="AO32" s="82"/>
      <c r="AP32" s="156">
        <f t="shared" si="4"/>
        <v>0</v>
      </c>
      <c r="AQ32" s="82">
        <v>15851</v>
      </c>
      <c r="AR32" s="156">
        <f t="shared" si="4"/>
        <v>3.4891041162227605</v>
      </c>
      <c r="AS32" s="82">
        <v>15764</v>
      </c>
      <c r="AT32" s="156">
        <f t="shared" si="4"/>
        <v>3.4699537750385208</v>
      </c>
      <c r="AU32" s="82">
        <v>15355</v>
      </c>
      <c r="AV32" s="156">
        <f t="shared" si="4"/>
        <v>3.3799251595861763</v>
      </c>
      <c r="AW32" s="82">
        <v>10440</v>
      </c>
      <c r="AX32" s="156">
        <f t="shared" si="4"/>
        <v>2.2980409421087389</v>
      </c>
      <c r="AY32" s="2">
        <v>9867</v>
      </c>
      <c r="AZ32" s="156">
        <f t="shared" si="4"/>
        <v>2.1719128329297819</v>
      </c>
      <c r="BA32" s="2">
        <v>8096</v>
      </c>
      <c r="BB32" s="156">
        <f t="shared" si="6"/>
        <v>1.7820823244552058</v>
      </c>
      <c r="BC32" s="2">
        <v>8806</v>
      </c>
      <c r="BD32" s="2"/>
      <c r="BE32" s="2">
        <v>9174</v>
      </c>
      <c r="BF32" s="2"/>
      <c r="BG32" s="10">
        <v>8871</v>
      </c>
      <c r="BI32" s="10">
        <v>10031</v>
      </c>
      <c r="BK32" s="10">
        <v>9180</v>
      </c>
      <c r="BM32" s="10">
        <v>9402</v>
      </c>
      <c r="BO32" s="10">
        <v>9113</v>
      </c>
      <c r="BQ32" s="10">
        <v>9191</v>
      </c>
      <c r="BS32" s="10">
        <v>9434</v>
      </c>
      <c r="BU32" s="10">
        <v>8988</v>
      </c>
      <c r="BW32" s="10">
        <v>9405</v>
      </c>
      <c r="BY32" s="10">
        <v>8780</v>
      </c>
      <c r="CA32" s="10">
        <v>8178</v>
      </c>
      <c r="CC32" s="10">
        <v>8577</v>
      </c>
      <c r="CE32" s="10">
        <v>8829</v>
      </c>
      <c r="CG32" s="10">
        <v>9077</v>
      </c>
      <c r="CI32" s="10">
        <v>8744</v>
      </c>
      <c r="CK32" s="10">
        <v>5792</v>
      </c>
      <c r="CM32" s="10">
        <v>6416</v>
      </c>
      <c r="CO32" s="10">
        <v>6459</v>
      </c>
      <c r="CS32" s="10">
        <v>9592</v>
      </c>
      <c r="CW32" s="10">
        <v>8387</v>
      </c>
      <c r="CY32" s="10">
        <v>13130</v>
      </c>
      <c r="DA32" s="10">
        <v>7011</v>
      </c>
      <c r="DE32" s="10">
        <v>7389</v>
      </c>
      <c r="DG32" s="10">
        <v>8511</v>
      </c>
      <c r="DI32" s="10">
        <v>7410</v>
      </c>
      <c r="DK32" s="10">
        <v>11925</v>
      </c>
      <c r="DM32" s="10">
        <v>10813</v>
      </c>
      <c r="DN32" s="10" t="s">
        <v>1718</v>
      </c>
    </row>
    <row r="33" spans="1:118" s="10" customFormat="1" ht="15.75" customHeight="1">
      <c r="A33" s="119">
        <v>39</v>
      </c>
      <c r="B33" s="601" t="s">
        <v>197</v>
      </c>
      <c r="C33" s="121" t="str">
        <f t="shared" si="9"/>
        <v>{"dossier":p.DossierName12,"buttonName":"Bewilligen","checkStatus":"Bewilligt"}</v>
      </c>
      <c r="D33" s="82"/>
      <c r="E33" s="83" t="str">
        <f t="shared" si="10"/>
        <v>{"dossier":p.DossierName12,"buttonName":"Bewilligen","checkStatus":"Bewilligt"}</v>
      </c>
      <c r="F33" s="609" t="s">
        <v>159</v>
      </c>
      <c r="G33" s="649" t="str">
        <f>G31</f>
        <v>p.DossierName12</v>
      </c>
      <c r="H33" s="609" t="s">
        <v>198</v>
      </c>
      <c r="I33" s="611" t="s">
        <v>136</v>
      </c>
      <c r="J33" s="609" t="s">
        <v>132</v>
      </c>
      <c r="K33" s="609" t="s">
        <v>137</v>
      </c>
      <c r="L33" s="609" t="s">
        <v>37</v>
      </c>
      <c r="M33" s="611"/>
      <c r="N33" s="609"/>
      <c r="O33" s="611"/>
      <c r="P33" s="609"/>
      <c r="Q33" s="611"/>
      <c r="R33" s="609"/>
      <c r="S33" s="611"/>
      <c r="T33" s="609"/>
      <c r="U33" s="611"/>
      <c r="V33" s="609"/>
      <c r="W33" s="611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171">
        <v>3009</v>
      </c>
      <c r="AJ33" s="156">
        <f t="shared" si="2"/>
        <v>1</v>
      </c>
      <c r="AK33" s="171">
        <v>3018</v>
      </c>
      <c r="AL33" s="156">
        <f t="shared" si="3"/>
        <v>1.0029910269192424</v>
      </c>
      <c r="AM33" s="171">
        <v>3021</v>
      </c>
      <c r="AN33" s="156">
        <f t="shared" si="4"/>
        <v>1.003988035892323</v>
      </c>
      <c r="AO33" s="82"/>
      <c r="AP33" s="156">
        <f t="shared" si="4"/>
        <v>0</v>
      </c>
      <c r="AQ33" s="82">
        <v>3015</v>
      </c>
      <c r="AR33" s="156">
        <f t="shared" si="4"/>
        <v>1.0019940179461615</v>
      </c>
      <c r="AS33" s="82">
        <v>3005</v>
      </c>
      <c r="AT33" s="156">
        <f t="shared" si="4"/>
        <v>0.998670654702559</v>
      </c>
      <c r="AU33" s="82">
        <v>3024</v>
      </c>
      <c r="AV33" s="156">
        <f t="shared" si="4"/>
        <v>1.0049850448654039</v>
      </c>
      <c r="AW33" s="82">
        <v>3044</v>
      </c>
      <c r="AX33" s="156">
        <f t="shared" si="4"/>
        <v>1.0116317713526088</v>
      </c>
      <c r="AY33" s="2">
        <v>3026</v>
      </c>
      <c r="AZ33" s="156">
        <f t="shared" si="4"/>
        <v>1.0056497175141244</v>
      </c>
      <c r="BA33" s="2">
        <v>9353</v>
      </c>
      <c r="BB33" s="156">
        <f t="shared" si="6"/>
        <v>3.1083416417414425</v>
      </c>
      <c r="BC33" s="2">
        <v>9212</v>
      </c>
      <c r="BD33" s="2"/>
      <c r="BE33" s="2">
        <v>9827</v>
      </c>
      <c r="BF33" s="2"/>
      <c r="BG33" s="10">
        <v>11261</v>
      </c>
      <c r="BI33" s="10">
        <v>9880</v>
      </c>
      <c r="BK33" s="10">
        <v>10869</v>
      </c>
      <c r="BM33" s="10">
        <v>9837</v>
      </c>
      <c r="BO33" s="10">
        <v>9991</v>
      </c>
      <c r="BQ33" s="10">
        <v>10660</v>
      </c>
      <c r="BS33" s="10">
        <v>10608</v>
      </c>
      <c r="BU33" s="10">
        <v>10126</v>
      </c>
      <c r="BW33" s="10">
        <v>10822</v>
      </c>
      <c r="BY33" s="10">
        <v>10160</v>
      </c>
      <c r="CA33" s="10">
        <v>10143</v>
      </c>
      <c r="CC33" s="10">
        <v>10777</v>
      </c>
      <c r="CE33" s="10">
        <v>10459</v>
      </c>
      <c r="CG33" s="10">
        <v>10210</v>
      </c>
      <c r="CI33" s="10">
        <v>10154</v>
      </c>
      <c r="CK33" s="10">
        <v>10610</v>
      </c>
      <c r="CM33" s="10">
        <v>10454</v>
      </c>
      <c r="CO33" s="10">
        <v>10544</v>
      </c>
      <c r="CS33" s="10">
        <v>10247</v>
      </c>
      <c r="CW33" s="10">
        <v>10282</v>
      </c>
      <c r="CY33" s="10">
        <v>10335</v>
      </c>
      <c r="DA33" s="10">
        <v>12197</v>
      </c>
      <c r="DE33" s="10">
        <v>12173</v>
      </c>
      <c r="DG33" s="10">
        <v>12260</v>
      </c>
      <c r="DI33" s="10">
        <v>11941</v>
      </c>
      <c r="DK33" s="10">
        <v>9728</v>
      </c>
      <c r="DM33" s="10">
        <v>8293</v>
      </c>
      <c r="DN33" s="10" t="s">
        <v>1718</v>
      </c>
    </row>
    <row r="34" spans="1:118" s="10" customFormat="1" ht="15.75" customHeight="1" thickBot="1">
      <c r="A34" s="119">
        <v>40</v>
      </c>
      <c r="B34" s="120" t="s">
        <v>134</v>
      </c>
      <c r="C34" s="121" t="str">
        <f t="shared" si="9"/>
        <v>{"username":"Bern.Sachbearbeiterin@diartis.ch","password":"XXxa22?pdTA66-S@"}</v>
      </c>
      <c r="D34" s="82"/>
      <c r="E34" s="83" t="str">
        <f t="shared" si="10"/>
        <v>{"username":"Bern.Sachbearbeiterin@diartis.ch","password":"XXxa22?pdTA66-S@"}</v>
      </c>
      <c r="F34" s="609" t="s">
        <v>29</v>
      </c>
      <c r="G34" s="617" t="s">
        <v>30</v>
      </c>
      <c r="H34" s="609" t="s">
        <v>31</v>
      </c>
      <c r="I34" s="618" t="s">
        <v>32</v>
      </c>
      <c r="J34" s="609" t="s">
        <v>37</v>
      </c>
      <c r="K34" s="614"/>
      <c r="L34" s="609"/>
      <c r="M34" s="611"/>
      <c r="N34" s="609"/>
      <c r="O34" s="611"/>
      <c r="P34" s="609"/>
      <c r="Q34" s="611"/>
      <c r="R34" s="609"/>
      <c r="S34" s="611"/>
      <c r="T34" s="609"/>
      <c r="U34" s="611"/>
      <c r="V34" s="609"/>
      <c r="W34" s="611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171">
        <v>9119</v>
      </c>
      <c r="AJ34" s="156">
        <f t="shared" si="2"/>
        <v>1</v>
      </c>
      <c r="AK34" s="171">
        <v>9130</v>
      </c>
      <c r="AL34" s="156">
        <f t="shared" si="3"/>
        <v>1.0012062726176116</v>
      </c>
      <c r="AM34" s="171">
        <v>16350</v>
      </c>
      <c r="AN34" s="156">
        <f t="shared" si="4"/>
        <v>1.7929597543590305</v>
      </c>
      <c r="AO34" s="82"/>
      <c r="AP34" s="156">
        <f t="shared" si="4"/>
        <v>0</v>
      </c>
      <c r="AQ34" s="82">
        <v>15594</v>
      </c>
      <c r="AR34" s="156">
        <f t="shared" si="4"/>
        <v>1.7100559271849984</v>
      </c>
      <c r="AS34" s="82">
        <v>15446</v>
      </c>
      <c r="AT34" s="156">
        <f t="shared" si="4"/>
        <v>1.6938260774207698</v>
      </c>
      <c r="AU34" s="82">
        <v>15099</v>
      </c>
      <c r="AV34" s="156">
        <f t="shared" si="4"/>
        <v>1.6557736593924772</v>
      </c>
      <c r="AW34" s="82">
        <v>8941</v>
      </c>
      <c r="AX34" s="156">
        <f t="shared" si="4"/>
        <v>0.98048031582410355</v>
      </c>
      <c r="AY34" s="2">
        <v>8480</v>
      </c>
      <c r="AZ34" s="156">
        <f t="shared" si="4"/>
        <v>0.92992652703147272</v>
      </c>
      <c r="BA34" s="2">
        <v>8875</v>
      </c>
      <c r="BB34" s="156">
        <f t="shared" si="6"/>
        <v>0.97324268011843407</v>
      </c>
      <c r="BC34" s="2">
        <v>8623</v>
      </c>
      <c r="BD34" s="2"/>
      <c r="BE34" s="2">
        <v>8991</v>
      </c>
      <c r="BF34" s="2"/>
      <c r="BG34" s="10">
        <v>9671</v>
      </c>
      <c r="BI34" s="10">
        <v>8905</v>
      </c>
      <c r="BK34" s="10">
        <v>10170</v>
      </c>
      <c r="BM34" s="10">
        <v>9476</v>
      </c>
      <c r="BO34" s="10">
        <v>9051</v>
      </c>
      <c r="BQ34" s="10">
        <v>9304</v>
      </c>
      <c r="BS34" s="10">
        <v>8899</v>
      </c>
      <c r="BU34" s="10">
        <v>9132</v>
      </c>
      <c r="BW34" s="10">
        <v>9422</v>
      </c>
      <c r="BY34" s="10">
        <v>8231</v>
      </c>
      <c r="CA34" s="10">
        <v>8303</v>
      </c>
      <c r="CC34" s="10">
        <v>8223</v>
      </c>
      <c r="CE34" s="10">
        <v>8265</v>
      </c>
      <c r="CG34" s="10">
        <v>8407</v>
      </c>
      <c r="CI34" s="10">
        <v>8225</v>
      </c>
      <c r="CK34" s="10">
        <v>6358</v>
      </c>
      <c r="CM34" s="10">
        <v>7510</v>
      </c>
      <c r="CO34" s="10">
        <v>6398</v>
      </c>
      <c r="CS34" s="10">
        <v>8259</v>
      </c>
      <c r="CW34" s="10">
        <v>8182</v>
      </c>
      <c r="CY34" s="10">
        <v>11754</v>
      </c>
      <c r="DA34" s="10">
        <v>7220</v>
      </c>
      <c r="DE34" s="10">
        <v>6939</v>
      </c>
      <c r="DG34" s="10">
        <v>7225</v>
      </c>
      <c r="DI34" s="10">
        <v>7094</v>
      </c>
      <c r="DK34" s="10">
        <v>12154</v>
      </c>
      <c r="DM34" s="10">
        <v>10677</v>
      </c>
      <c r="DN34" s="10" t="s">
        <v>1718</v>
      </c>
    </row>
    <row r="35" spans="1:118" s="10" customFormat="1" ht="15.75" customHeight="1" thickBot="1">
      <c r="A35" s="119">
        <v>42</v>
      </c>
      <c r="B35" s="596" t="s">
        <v>139</v>
      </c>
      <c r="C35" s="121" t="str">
        <f>E35</f>
        <v>{"searchDossierOrKlient":p.DossierName12,"resultType":"Dossiers"}</v>
      </c>
      <c r="D35" s="56"/>
      <c r="E35" s="109" t="str">
        <f>F35&amp;G35&amp;H35&amp;I35&amp;J35&amp;K35&amp;L35&amp;M35&amp;N35&amp;O35&amp;P35&amp;Q35&amp;R35&amp;S35&amp;T35&amp;U35&amp;V35&amp;W35&amp;X35</f>
        <v>{"searchDossierOrKlient":p.DossierName12,"resultType":"Dossiers"}</v>
      </c>
      <c r="F35" s="609" t="s">
        <v>140</v>
      </c>
      <c r="G35" s="614" t="str">
        <f>G33</f>
        <v>p.DossierName12</v>
      </c>
      <c r="H35" s="609" t="s">
        <v>141</v>
      </c>
      <c r="I35" s="611" t="s">
        <v>142</v>
      </c>
      <c r="J35" s="609" t="s">
        <v>37</v>
      </c>
      <c r="K35" s="611"/>
      <c r="L35" s="609"/>
      <c r="M35" s="611"/>
      <c r="N35" s="609"/>
      <c r="O35" s="611"/>
      <c r="P35" s="609"/>
      <c r="Q35" s="611"/>
      <c r="R35" s="609"/>
      <c r="S35" s="611"/>
      <c r="T35" s="609"/>
      <c r="U35" s="611"/>
      <c r="V35" s="609"/>
      <c r="W35" s="611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157">
        <v>5012</v>
      </c>
      <c r="AJ35" s="156">
        <f t="shared" si="2"/>
        <v>1</v>
      </c>
      <c r="AK35" s="157">
        <v>5017</v>
      </c>
      <c r="AL35" s="156">
        <f t="shared" si="3"/>
        <v>1.0009976057462091</v>
      </c>
      <c r="AM35" s="157">
        <v>5010</v>
      </c>
      <c r="AN35" s="156">
        <f t="shared" si="4"/>
        <v>0.99960095770151636</v>
      </c>
      <c r="AO35" s="56"/>
      <c r="AP35" s="156">
        <f t="shared" si="4"/>
        <v>0</v>
      </c>
      <c r="AQ35" s="56">
        <v>5013</v>
      </c>
      <c r="AR35" s="156">
        <f t="shared" si="4"/>
        <v>1.0001995211492418</v>
      </c>
      <c r="AS35" s="56">
        <v>5008</v>
      </c>
      <c r="AT35" s="156">
        <f t="shared" si="4"/>
        <v>0.99920191540303271</v>
      </c>
      <c r="AU35" s="56">
        <v>5015</v>
      </c>
      <c r="AV35" s="156">
        <f t="shared" si="4"/>
        <v>1.0005985634477255</v>
      </c>
      <c r="AW35" s="56">
        <v>5014</v>
      </c>
      <c r="AX35" s="156">
        <f t="shared" si="4"/>
        <v>1.0003990422984836</v>
      </c>
      <c r="AY35" s="2">
        <v>5017</v>
      </c>
      <c r="AZ35" s="156">
        <f t="shared" si="4"/>
        <v>1.0009976057462091</v>
      </c>
      <c r="BA35" s="2">
        <v>9418</v>
      </c>
      <c r="BB35" s="156">
        <f t="shared" si="6"/>
        <v>1.8790901835594573</v>
      </c>
      <c r="BC35" s="2">
        <v>10190</v>
      </c>
      <c r="BD35" s="2"/>
      <c r="BE35" s="2">
        <v>9516</v>
      </c>
      <c r="BF35" s="2"/>
      <c r="BG35" s="10">
        <v>11953</v>
      </c>
      <c r="BI35" s="10">
        <v>11049</v>
      </c>
      <c r="BK35" s="10">
        <v>10755</v>
      </c>
      <c r="BM35" s="10">
        <v>10005</v>
      </c>
      <c r="BO35" s="10">
        <v>11109</v>
      </c>
      <c r="BQ35" s="10">
        <v>10706</v>
      </c>
      <c r="BS35" s="10">
        <v>10267</v>
      </c>
      <c r="BU35" s="10">
        <v>11132</v>
      </c>
      <c r="BW35" s="10">
        <v>10969</v>
      </c>
      <c r="BY35" s="10">
        <v>9911</v>
      </c>
      <c r="CA35" s="10">
        <v>10346</v>
      </c>
      <c r="CC35" s="10">
        <v>10745</v>
      </c>
      <c r="CE35" s="10">
        <v>10615</v>
      </c>
      <c r="CG35" s="10">
        <v>10746</v>
      </c>
      <c r="CI35" s="10">
        <v>9795</v>
      </c>
      <c r="CK35" s="10">
        <v>10001</v>
      </c>
      <c r="CM35" s="10">
        <v>10941</v>
      </c>
      <c r="CO35" s="10">
        <v>10782</v>
      </c>
      <c r="CS35" s="10">
        <v>9739</v>
      </c>
      <c r="CW35" s="10">
        <v>10620</v>
      </c>
      <c r="CY35" s="10">
        <v>10196</v>
      </c>
      <c r="DA35" s="10">
        <v>13696</v>
      </c>
      <c r="DE35" s="10">
        <v>12766</v>
      </c>
      <c r="DG35" s="10">
        <v>14670</v>
      </c>
      <c r="DI35" s="10">
        <v>13545</v>
      </c>
      <c r="DK35" s="10">
        <v>9314</v>
      </c>
      <c r="DM35" s="10">
        <v>8648</v>
      </c>
      <c r="DN35" s="10" t="s">
        <v>1718</v>
      </c>
    </row>
    <row r="36" spans="1:118" s="10" customFormat="1" ht="15.75" customHeight="1" thickBot="1">
      <c r="A36" s="119">
        <v>43</v>
      </c>
      <c r="B36" s="51" t="s">
        <v>200</v>
      </c>
      <c r="C36" s="121" t="str">
        <f ca="1">E36</f>
        <v xml:space="preserve">{"verwendungPeriode":"November 2025,Dezember 2025,Januar 2026,Februar 2026,März 2026,April 2026","status":"Zu bezahlen"}																				
</v>
      </c>
      <c r="D36" s="82"/>
      <c r="E36" s="109" t="str">
        <f ca="1">F36&amp;G36&amp;H36&amp;I36&amp;J36&amp;K36&amp;L36&amp;M36&amp;N36&amp;O36&amp;P36&amp;Q36&amp;R36&amp;S36&amp;T36&amp;U36&amp;V36&amp;W36&amp;X36</f>
        <v xml:space="preserve">{"verwendungPeriode":"November 2025,Dezember 2025,Januar 2026,Februar 2026,März 2026,April 2026","status":"Zu bezahlen"}																				
</v>
      </c>
      <c r="F36" s="609" t="s">
        <v>201</v>
      </c>
      <c r="G36" s="3955" t="str">
        <f ca="1">G68&amp;","&amp;G69&amp;","&amp;G70&amp;","&amp;G71&amp;","&amp;G72&amp;","&amp;G73</f>
        <v>November 2025,Dezember 2025,Januar 2026,Februar 2026,März 2026,April 2026</v>
      </c>
      <c r="H36" s="609"/>
      <c r="I36" s="613"/>
      <c r="J36" s="609" t="s">
        <v>202</v>
      </c>
      <c r="K36" s="614" t="s">
        <v>203</v>
      </c>
      <c r="L36" s="146" t="s">
        <v>204</v>
      </c>
      <c r="M36" s="611"/>
      <c r="N36" s="609"/>
      <c r="O36" s="609"/>
      <c r="P36" s="611"/>
      <c r="Q36" s="611"/>
      <c r="R36" s="611"/>
      <c r="S36" s="611"/>
      <c r="T36" s="611"/>
      <c r="U36" s="611"/>
      <c r="V36" s="611"/>
      <c r="W36" s="611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171">
        <v>10638</v>
      </c>
      <c r="AJ36" s="156">
        <f t="shared" si="2"/>
        <v>1</v>
      </c>
      <c r="AK36" s="171">
        <v>10860</v>
      </c>
      <c r="AL36" s="156">
        <f t="shared" si="3"/>
        <v>1.0208685843203609</v>
      </c>
      <c r="AM36" s="171">
        <v>11200</v>
      </c>
      <c r="AN36" s="156">
        <f t="shared" si="4"/>
        <v>1.0528294792254183</v>
      </c>
      <c r="AO36" s="82"/>
      <c r="AP36" s="156">
        <f t="shared" si="4"/>
        <v>0</v>
      </c>
      <c r="AQ36" s="82">
        <v>10892</v>
      </c>
      <c r="AR36" s="156">
        <f t="shared" si="4"/>
        <v>1.0238766685467193</v>
      </c>
      <c r="AS36" s="82">
        <v>11075</v>
      </c>
      <c r="AT36" s="156">
        <f t="shared" si="4"/>
        <v>1.041079150216206</v>
      </c>
      <c r="AU36" s="82">
        <v>10687</v>
      </c>
      <c r="AV36" s="156">
        <f t="shared" si="4"/>
        <v>1.0046061289716113</v>
      </c>
      <c r="AW36" s="82">
        <v>2849</v>
      </c>
      <c r="AX36" s="156">
        <f t="shared" si="4"/>
        <v>0.26781349877796579</v>
      </c>
      <c r="AY36" s="2">
        <v>2430</v>
      </c>
      <c r="AZ36" s="156">
        <f t="shared" si="4"/>
        <v>0.22842639593908629</v>
      </c>
      <c r="BA36" s="2">
        <v>5731</v>
      </c>
      <c r="BB36" s="156">
        <f t="shared" si="6"/>
        <v>0.53872908441436362</v>
      </c>
      <c r="BC36" s="2">
        <v>5816</v>
      </c>
      <c r="BD36" s="2"/>
      <c r="BE36" s="2">
        <v>6236</v>
      </c>
      <c r="BF36" s="2"/>
      <c r="BG36" s="10">
        <v>6078</v>
      </c>
      <c r="BI36" s="10">
        <v>6159</v>
      </c>
      <c r="BK36" s="10">
        <v>6255</v>
      </c>
      <c r="BM36" s="10">
        <v>6124</v>
      </c>
      <c r="BO36" s="10">
        <v>7106</v>
      </c>
      <c r="BQ36" s="10">
        <v>6208</v>
      </c>
      <c r="BS36" s="10">
        <v>6172</v>
      </c>
      <c r="BU36" s="10">
        <v>6001</v>
      </c>
      <c r="BW36" s="10">
        <v>5983</v>
      </c>
      <c r="BY36" s="10">
        <v>6020</v>
      </c>
      <c r="CA36" s="10">
        <v>6240</v>
      </c>
      <c r="CC36" s="10">
        <v>6892</v>
      </c>
      <c r="CE36" s="10">
        <v>5778</v>
      </c>
      <c r="CG36" s="10">
        <v>6040</v>
      </c>
      <c r="CI36" s="10">
        <v>5945</v>
      </c>
      <c r="CK36" s="10">
        <v>2877</v>
      </c>
      <c r="CM36" s="10">
        <v>2951</v>
      </c>
      <c r="CO36" s="10">
        <v>3785</v>
      </c>
      <c r="CS36" s="10">
        <v>6292</v>
      </c>
      <c r="CW36" s="10">
        <v>6583</v>
      </c>
      <c r="CY36" s="10">
        <v>9041</v>
      </c>
      <c r="DA36" s="10">
        <v>4942</v>
      </c>
      <c r="DE36" s="10">
        <v>4929</v>
      </c>
      <c r="DG36" s="10">
        <v>4898</v>
      </c>
      <c r="DI36" s="10">
        <v>4641</v>
      </c>
      <c r="DK36" s="10">
        <v>10279</v>
      </c>
      <c r="DM36" s="10">
        <v>10122</v>
      </c>
      <c r="DN36" s="10" t="s">
        <v>1718</v>
      </c>
    </row>
    <row r="37" spans="1:118" s="10" customFormat="1" ht="15.75" customHeight="1" thickBot="1">
      <c r="A37" s="159"/>
      <c r="B37" s="24" t="s">
        <v>205</v>
      </c>
      <c r="C37" s="38" t="str">
        <f ca="1">E37</f>
        <v>{"haftungsType":"Einseitige Solidarhaftung erfassen","haftungDurch":`${p.FamilyName12}, ${p.ManFirstName12}`,"haftungVon":"01.11.2025","haftungBis":"31.12.2025","haftungFuer":`${p.FamilyName12}, ${p.WomanFirstName12}`,"person1":"","person2":""}</v>
      </c>
      <c r="D37" s="76"/>
      <c r="E37" s="77" t="str">
        <f t="shared" ca="1" si="10"/>
        <v>{"haftungsType":"Einseitige Solidarhaftung erfassen","haftungDurch":`${p.FamilyName12}, ${p.ManFirstName12}`,"haftungVon":"01.11.2025","haftungBis":"31.12.2025","haftungFuer":`${p.FamilyName12}, ${p.WomanFirstName12}`,"person1":"","person2":""}</v>
      </c>
      <c r="F37" s="611" t="s">
        <v>206</v>
      </c>
      <c r="G37" s="611" t="s">
        <v>207</v>
      </c>
      <c r="H37" s="611" t="s">
        <v>208</v>
      </c>
      <c r="I37" s="611" t="str">
        <f>I23</f>
        <v>${p.FamilyName12}, ${p.ManFirstName12}</v>
      </c>
      <c r="J37" s="611" t="s">
        <v>209</v>
      </c>
      <c r="K37" s="615" t="str">
        <f ca="1">"01."&amp;TEXT(TODAY(),"MM")&amp;"."&amp;TEXT(TODAY(),"YYYY")</f>
        <v>01.11.2025</v>
      </c>
      <c r="L37" s="611" t="s">
        <v>210</v>
      </c>
      <c r="M37" s="615" t="str">
        <f ca="1">"31.12."&amp;TEXT(TODAY(),"YYYY")</f>
        <v>31.12.2025</v>
      </c>
      <c r="N37" s="611" t="s">
        <v>211</v>
      </c>
      <c r="O37" s="611" t="str">
        <f>"${"&amp;$G$4&amp;"}, ${"&amp;$H$57&amp;"}"</f>
        <v>${p.FamilyName12}, ${p.WomanFirstName12}</v>
      </c>
      <c r="P37" s="611" t="s">
        <v>212</v>
      </c>
      <c r="Q37" s="614"/>
      <c r="R37" s="611" t="s">
        <v>213</v>
      </c>
      <c r="S37" s="611"/>
      <c r="T37" s="611" t="s">
        <v>37</v>
      </c>
      <c r="U37" s="611"/>
      <c r="V37" s="611"/>
      <c r="W37" s="611"/>
      <c r="X37" s="76"/>
      <c r="Y37" s="76"/>
      <c r="Z37" s="76"/>
      <c r="AA37" s="76"/>
      <c r="AB37" s="76"/>
      <c r="AC37" s="128"/>
      <c r="AD37" s="76"/>
      <c r="AE37" s="76"/>
      <c r="AF37" s="76"/>
      <c r="AG37" s="76"/>
      <c r="AH37" s="76"/>
      <c r="AI37" s="170">
        <v>6846</v>
      </c>
      <c r="AJ37" s="156">
        <f t="shared" si="2"/>
        <v>1</v>
      </c>
      <c r="AK37" s="170">
        <v>7559</v>
      </c>
      <c r="AL37" s="156">
        <f t="shared" si="3"/>
        <v>1.1041484078293895</v>
      </c>
      <c r="AM37" s="76"/>
      <c r="AN37" s="156">
        <f t="shared" si="4"/>
        <v>0</v>
      </c>
      <c r="AO37" s="76"/>
      <c r="AP37" s="156">
        <f t="shared" si="4"/>
        <v>0</v>
      </c>
      <c r="AQ37" s="76"/>
      <c r="AR37" s="156">
        <f t="shared" si="4"/>
        <v>0</v>
      </c>
      <c r="AS37" s="76"/>
      <c r="AT37" s="156">
        <f t="shared" si="4"/>
        <v>0</v>
      </c>
      <c r="AU37" s="76"/>
      <c r="AV37" s="156">
        <f t="shared" si="4"/>
        <v>0</v>
      </c>
      <c r="AW37" s="76"/>
      <c r="AX37" s="156">
        <f t="shared" si="4"/>
        <v>0</v>
      </c>
      <c r="AZ37" s="156">
        <f t="shared" si="4"/>
        <v>0</v>
      </c>
      <c r="BB37" s="156">
        <f t="shared" si="6"/>
        <v>0</v>
      </c>
    </row>
    <row r="38" spans="1:118" s="10" customFormat="1" ht="15.75" customHeight="1" thickBot="1">
      <c r="A38" s="159"/>
      <c r="B38" s="24" t="s">
        <v>205</v>
      </c>
      <c r="C38" s="38" t="str">
        <f ca="1">E38</f>
        <v>{"haftungsType":"Einzelhaftung erfassen","haftungDurch":`${p.FamilyName12}, ${p.ManFirstName12}`,"haftungVon":"01.11.2025","haftungBis":"31.12.2025","haftungFuer":`${p.FamilyName12}, ${p.GirlFirstName12}`,"person1":"","person2":""}</v>
      </c>
      <c r="D38" s="76"/>
      <c r="E38" s="77" t="str">
        <f t="shared" ca="1" si="10"/>
        <v>{"haftungsType":"Einzelhaftung erfassen","haftungDurch":`${p.FamilyName12}, ${p.ManFirstName12}`,"haftungVon":"01.11.2025","haftungBis":"31.12.2025","haftungFuer":`${p.FamilyName12}, ${p.GirlFirstName12}`,"person1":"","person2":""}</v>
      </c>
      <c r="F38" s="611" t="s">
        <v>206</v>
      </c>
      <c r="G38" s="611" t="s">
        <v>214</v>
      </c>
      <c r="H38" s="611" t="s">
        <v>208</v>
      </c>
      <c r="I38" s="611" t="str">
        <f>I23</f>
        <v>${p.FamilyName12}, ${p.ManFirstName12}</v>
      </c>
      <c r="J38" s="611" t="s">
        <v>209</v>
      </c>
      <c r="K38" s="615" t="str">
        <f ca="1">"01."&amp;TEXT(TODAY(),"MM")&amp;"."&amp;TEXT(TODAY(),"YYYY")</f>
        <v>01.11.2025</v>
      </c>
      <c r="L38" s="611" t="s">
        <v>210</v>
      </c>
      <c r="M38" s="615" t="str">
        <f ca="1">"31.12."&amp;TEXT(TODAY(),"YYYY")</f>
        <v>31.12.2025</v>
      </c>
      <c r="N38" s="611" t="s">
        <v>211</v>
      </c>
      <c r="O38" s="611" t="str">
        <f>"${"&amp;$G$4&amp;"}, ${"&amp;$H$58&amp;"}"</f>
        <v>${p.FamilyName12}, ${p.GirlFirstName12}</v>
      </c>
      <c r="P38" s="611" t="s">
        <v>212</v>
      </c>
      <c r="Q38" s="614"/>
      <c r="R38" s="611" t="s">
        <v>213</v>
      </c>
      <c r="S38" s="611"/>
      <c r="T38" s="611" t="s">
        <v>37</v>
      </c>
      <c r="U38" s="611"/>
      <c r="V38" s="611"/>
      <c r="W38" s="611"/>
      <c r="X38" s="76"/>
      <c r="Y38" s="76"/>
      <c r="Z38" s="184"/>
      <c r="AA38" s="76"/>
      <c r="AB38" s="76"/>
      <c r="AC38" s="128"/>
      <c r="AD38" s="76"/>
      <c r="AE38" s="128"/>
      <c r="AF38" s="128"/>
      <c r="AG38" s="76"/>
      <c r="AH38" s="76"/>
      <c r="AI38" s="170">
        <v>5602</v>
      </c>
      <c r="AJ38" s="156">
        <f t="shared" si="2"/>
        <v>1</v>
      </c>
      <c r="AK38" s="170">
        <v>5693</v>
      </c>
      <c r="AL38" s="156">
        <f t="shared" si="3"/>
        <v>1.0162441985005355</v>
      </c>
      <c r="AM38" s="76"/>
      <c r="AN38" s="156">
        <f t="shared" si="4"/>
        <v>0</v>
      </c>
      <c r="AO38" s="76"/>
      <c r="AP38" s="156">
        <f t="shared" si="4"/>
        <v>0</v>
      </c>
      <c r="AQ38" s="76"/>
      <c r="AR38" s="156">
        <f t="shared" si="4"/>
        <v>0</v>
      </c>
      <c r="AS38" s="76"/>
      <c r="AT38" s="156">
        <f t="shared" si="4"/>
        <v>0</v>
      </c>
      <c r="AU38" s="76"/>
      <c r="AV38" s="156">
        <f t="shared" si="4"/>
        <v>0</v>
      </c>
      <c r="AW38" s="76"/>
      <c r="AX38" s="156">
        <f t="shared" si="4"/>
        <v>0</v>
      </c>
      <c r="AZ38" s="156">
        <f t="shared" si="4"/>
        <v>0</v>
      </c>
      <c r="BB38" s="156">
        <f t="shared" si="6"/>
        <v>0</v>
      </c>
    </row>
    <row r="39" spans="1:118" s="53" customFormat="1" ht="15.75" customHeight="1" thickBot="1">
      <c r="A39" s="49"/>
      <c r="B39" s="54" t="s">
        <v>22</v>
      </c>
      <c r="C39" s="55" t="s">
        <v>215</v>
      </c>
      <c r="D39" s="90"/>
      <c r="E39" s="124"/>
      <c r="F39" s="624"/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1"/>
      <c r="R39" s="611"/>
      <c r="S39" s="611"/>
      <c r="T39" s="611"/>
      <c r="U39" s="611"/>
      <c r="V39" s="611"/>
      <c r="W39" s="611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162">
        <v>4779</v>
      </c>
      <c r="AJ39" s="156">
        <f t="shared" si="2"/>
        <v>1</v>
      </c>
      <c r="AK39" s="162">
        <v>4761</v>
      </c>
      <c r="AL39" s="156">
        <f t="shared" si="3"/>
        <v>0.99623352165725043</v>
      </c>
      <c r="AM39" s="90"/>
      <c r="AN39" s="156">
        <f t="shared" si="4"/>
        <v>0</v>
      </c>
      <c r="AO39" s="90"/>
      <c r="AP39" s="156">
        <f t="shared" si="4"/>
        <v>0</v>
      </c>
      <c r="AQ39" s="90"/>
      <c r="AR39" s="156">
        <f t="shared" si="4"/>
        <v>0</v>
      </c>
      <c r="AS39" s="90"/>
      <c r="AT39" s="156">
        <f t="shared" si="4"/>
        <v>0</v>
      </c>
      <c r="AU39" s="90"/>
      <c r="AV39" s="156">
        <f t="shared" si="4"/>
        <v>0</v>
      </c>
      <c r="AW39" s="90"/>
      <c r="AX39" s="156">
        <f t="shared" si="4"/>
        <v>0</v>
      </c>
      <c r="AZ39" s="156">
        <f t="shared" si="4"/>
        <v>0</v>
      </c>
      <c r="BB39" s="156">
        <f t="shared" si="6"/>
        <v>0</v>
      </c>
    </row>
    <row r="40" spans="1:118" s="10" customFormat="1" ht="15.75" customHeight="1" thickBot="1">
      <c r="A40" s="21"/>
      <c r="B40" s="24" t="s">
        <v>216</v>
      </c>
      <c r="C40" s="38"/>
      <c r="D40" s="76"/>
      <c r="E40" s="77"/>
      <c r="F40" s="609"/>
      <c r="G40" s="611"/>
      <c r="H40" s="609"/>
      <c r="I40" s="611"/>
      <c r="J40" s="609"/>
      <c r="K40" s="611"/>
      <c r="L40" s="609"/>
      <c r="M40" s="613"/>
      <c r="N40" s="609"/>
      <c r="O40" s="609"/>
      <c r="P40" s="609"/>
      <c r="Q40" s="614"/>
      <c r="R40" s="609"/>
      <c r="S40" s="611"/>
      <c r="T40" s="611"/>
      <c r="U40" s="611"/>
      <c r="V40" s="609"/>
      <c r="W40" s="611"/>
      <c r="X40" s="76"/>
      <c r="Y40" s="76"/>
      <c r="Z40" s="184"/>
      <c r="AA40" s="76"/>
      <c r="AB40" s="76"/>
      <c r="AC40" s="128"/>
      <c r="AD40" s="76"/>
      <c r="AE40" s="128"/>
      <c r="AF40" s="128"/>
      <c r="AG40" s="76"/>
      <c r="AH40" s="76"/>
      <c r="AI40" s="170">
        <v>2013</v>
      </c>
      <c r="AJ40" s="156">
        <f t="shared" si="2"/>
        <v>1</v>
      </c>
      <c r="AK40" s="170">
        <v>2013</v>
      </c>
      <c r="AL40" s="156">
        <f t="shared" si="3"/>
        <v>1</v>
      </c>
      <c r="AM40" s="76"/>
      <c r="AN40" s="156">
        <f t="shared" si="4"/>
        <v>0</v>
      </c>
      <c r="AO40" s="76"/>
      <c r="AP40" s="156">
        <f t="shared" si="4"/>
        <v>0</v>
      </c>
      <c r="AQ40" s="76"/>
      <c r="AR40" s="156">
        <f t="shared" si="4"/>
        <v>0</v>
      </c>
      <c r="AS40" s="76"/>
      <c r="AT40" s="156">
        <f t="shared" si="4"/>
        <v>0</v>
      </c>
      <c r="AU40" s="76"/>
      <c r="AV40" s="156">
        <f t="shared" si="4"/>
        <v>0</v>
      </c>
      <c r="AW40" s="76"/>
      <c r="AX40" s="156">
        <f t="shared" si="4"/>
        <v>0</v>
      </c>
      <c r="AZ40" s="156">
        <f t="shared" si="4"/>
        <v>0</v>
      </c>
      <c r="BB40" s="156">
        <f t="shared" si="6"/>
        <v>0</v>
      </c>
    </row>
    <row r="41" spans="1:118" s="53" customFormat="1" ht="23.25" customHeight="1" thickBot="1">
      <c r="A41" s="49"/>
      <c r="B41" s="54" t="s">
        <v>22</v>
      </c>
      <c r="C41" s="55" t="s">
        <v>215</v>
      </c>
      <c r="D41" s="90"/>
      <c r="E41" s="124"/>
      <c r="F41" s="624"/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1"/>
      <c r="R41" s="611"/>
      <c r="S41" s="611"/>
      <c r="T41" s="611"/>
      <c r="U41" s="611"/>
      <c r="V41" s="611"/>
      <c r="W41" s="611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162">
        <v>10581</v>
      </c>
      <c r="AJ41" s="156">
        <f t="shared" si="2"/>
        <v>1</v>
      </c>
      <c r="AK41" s="162">
        <v>10924</v>
      </c>
      <c r="AL41" s="156">
        <f t="shared" si="3"/>
        <v>1.0324165957848974</v>
      </c>
      <c r="AM41" s="162">
        <v>9040</v>
      </c>
      <c r="AN41" s="156">
        <f t="shared" si="4"/>
        <v>0.85436159153199132</v>
      </c>
      <c r="AO41" s="90"/>
      <c r="AP41" s="156">
        <f t="shared" si="4"/>
        <v>0</v>
      </c>
      <c r="AQ41" s="90">
        <v>7964</v>
      </c>
      <c r="AR41" s="156">
        <f t="shared" si="4"/>
        <v>0.75266987997353751</v>
      </c>
      <c r="AS41" s="90">
        <v>7538</v>
      </c>
      <c r="AT41" s="156">
        <f t="shared" si="4"/>
        <v>0.71240903506284847</v>
      </c>
      <c r="AU41" s="90">
        <v>7453</v>
      </c>
      <c r="AV41" s="156">
        <f t="shared" si="4"/>
        <v>0.70437576788583312</v>
      </c>
      <c r="AW41" s="90">
        <v>7948</v>
      </c>
      <c r="AX41" s="156">
        <f t="shared" si="4"/>
        <v>0.75115773556374632</v>
      </c>
      <c r="AY41" s="2">
        <v>0</v>
      </c>
      <c r="AZ41" s="156">
        <f t="shared" si="4"/>
        <v>0</v>
      </c>
      <c r="BB41" s="156">
        <f t="shared" si="6"/>
        <v>0</v>
      </c>
    </row>
    <row r="42" spans="1:118" s="10" customFormat="1" ht="15.75" customHeight="1" thickBot="1">
      <c r="A42" s="21"/>
      <c r="B42" s="54" t="s">
        <v>139</v>
      </c>
      <c r="C42" s="89" t="str">
        <f>E42</f>
        <v>{"searchDossierOrKlient":p.DossierName3,"resultType":"Dossiers"}</v>
      </c>
      <c r="D42" s="90"/>
      <c r="E42" s="91" t="str">
        <f>F42&amp;G42&amp;H42&amp;I42&amp;J42&amp;K42&amp;L42&amp;M42&amp;N42&amp;O42&amp;P42&amp;Q42&amp;R42&amp;S42&amp;T42&amp;U42&amp;V42&amp;W42&amp;X42</f>
        <v>{"searchDossierOrKlient":p.DossierName3,"resultType":"Dossiers"}</v>
      </c>
      <c r="F42" s="609" t="s">
        <v>140</v>
      </c>
      <c r="G42" s="649" t="s">
        <v>321</v>
      </c>
      <c r="H42" s="609" t="s">
        <v>141</v>
      </c>
      <c r="I42" s="611" t="s">
        <v>142</v>
      </c>
      <c r="J42" s="609" t="s">
        <v>37</v>
      </c>
      <c r="K42" s="611"/>
      <c r="L42" s="609"/>
      <c r="M42" s="611"/>
      <c r="N42" s="609"/>
      <c r="O42" s="611"/>
      <c r="P42" s="609"/>
      <c r="Q42" s="611"/>
      <c r="R42" s="609"/>
      <c r="S42" s="611"/>
      <c r="T42" s="609"/>
      <c r="U42" s="611"/>
      <c r="V42" s="609"/>
      <c r="W42" s="611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162">
        <v>17030</v>
      </c>
      <c r="AJ42" s="156">
        <f t="shared" si="2"/>
        <v>1</v>
      </c>
      <c r="AK42" s="162">
        <v>17348</v>
      </c>
      <c r="AL42" s="156">
        <f t="shared" si="3"/>
        <v>1.0186729301233117</v>
      </c>
      <c r="AM42" s="162">
        <v>2010</v>
      </c>
      <c r="AN42" s="156">
        <f t="shared" si="4"/>
        <v>0.11802701115678214</v>
      </c>
      <c r="AO42" s="90"/>
      <c r="AP42" s="156">
        <f t="shared" si="4"/>
        <v>0</v>
      </c>
      <c r="AQ42" s="90">
        <v>2017</v>
      </c>
      <c r="AR42" s="156">
        <f t="shared" si="4"/>
        <v>0.11843805049911921</v>
      </c>
      <c r="AS42" s="90">
        <v>2018</v>
      </c>
      <c r="AT42" s="156">
        <f t="shared" si="4"/>
        <v>0.11849677040516735</v>
      </c>
      <c r="AU42" s="90">
        <v>2007</v>
      </c>
      <c r="AV42" s="156">
        <f t="shared" si="4"/>
        <v>0.1178508514386377</v>
      </c>
      <c r="AW42" s="90">
        <v>2014</v>
      </c>
      <c r="AX42" s="156">
        <f t="shared" si="4"/>
        <v>0.11826189078097475</v>
      </c>
      <c r="AY42" s="2">
        <v>283</v>
      </c>
      <c r="AZ42" s="156">
        <f t="shared" si="4"/>
        <v>1.6617733411626541E-2</v>
      </c>
      <c r="BA42" s="2">
        <v>4787</v>
      </c>
      <c r="BB42" s="156">
        <f t="shared" si="6"/>
        <v>0.2810921902524956</v>
      </c>
      <c r="BC42" s="2">
        <v>5128</v>
      </c>
      <c r="BD42" s="2"/>
      <c r="BE42" s="2">
        <v>4933</v>
      </c>
      <c r="BF42" s="2"/>
      <c r="BG42" s="10">
        <v>6390</v>
      </c>
      <c r="BI42" s="10">
        <v>5990</v>
      </c>
      <c r="BK42" s="10">
        <v>5727</v>
      </c>
      <c r="BM42" s="10">
        <v>6179</v>
      </c>
      <c r="BO42" s="10">
        <v>6000</v>
      </c>
      <c r="BQ42" s="10">
        <v>6266</v>
      </c>
      <c r="BS42" s="10">
        <v>6145</v>
      </c>
      <c r="BU42" s="10">
        <v>5958</v>
      </c>
      <c r="BW42" s="10">
        <v>4973</v>
      </c>
      <c r="BY42" s="10">
        <v>5574</v>
      </c>
      <c r="CA42" s="10">
        <v>4711</v>
      </c>
    </row>
    <row r="43" spans="1:118" s="10" customFormat="1" ht="15.75" customHeight="1" thickBot="1">
      <c r="A43" s="49">
        <v>44</v>
      </c>
      <c r="B43" s="129" t="s">
        <v>217</v>
      </c>
      <c r="C43" s="89" t="str">
        <f>E43</f>
        <v>{"dossierInstitution":p.DossierName12,"freigegebeneZahlungen":""}</v>
      </c>
      <c r="D43" s="90"/>
      <c r="E43" s="91" t="str">
        <f>F43&amp;G43&amp;H43&amp;I43&amp;J43&amp;K43&amp;L43&amp;M43&amp;N43&amp;O43&amp;P43&amp;Q43&amp;R43&amp;S43&amp;T43&amp;U43&amp;V43&amp;W43&amp;X43</f>
        <v>{"dossierInstitution":p.DossierName12,"freigegebeneZahlungen":""}</v>
      </c>
      <c r="F43" s="619" t="s">
        <v>128</v>
      </c>
      <c r="G43" s="649" t="str">
        <f>G35</f>
        <v>p.DossierName12</v>
      </c>
      <c r="H43" s="609" t="s">
        <v>218</v>
      </c>
      <c r="I43" s="4222"/>
      <c r="J43" s="609" t="s">
        <v>37</v>
      </c>
      <c r="K43" s="611"/>
      <c r="L43" s="609"/>
      <c r="M43" s="611"/>
      <c r="N43" s="609"/>
      <c r="O43" s="611"/>
      <c r="P43" s="609"/>
      <c r="Q43" s="611"/>
      <c r="R43" s="609"/>
      <c r="S43" s="611"/>
      <c r="T43" s="609"/>
      <c r="U43" s="611"/>
      <c r="V43" s="609"/>
      <c r="W43" s="611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156" t="e">
        <f t="shared" si="2"/>
        <v>#DIV/0!</v>
      </c>
      <c r="AK43" s="90"/>
      <c r="AL43" s="156" t="e">
        <f t="shared" si="3"/>
        <v>#DIV/0!</v>
      </c>
      <c r="AM43" s="162">
        <v>11263</v>
      </c>
      <c r="AN43" s="156" t="e">
        <f t="shared" si="4"/>
        <v>#DIV/0!</v>
      </c>
      <c r="AO43" s="90"/>
      <c r="AP43" s="156" t="e">
        <f t="shared" si="4"/>
        <v>#DIV/0!</v>
      </c>
      <c r="AQ43" s="90">
        <v>10932</v>
      </c>
      <c r="AR43" s="156">
        <f>AQ43/($AM43)</f>
        <v>0.97061173754772267</v>
      </c>
      <c r="AS43" s="90">
        <v>11148</v>
      </c>
      <c r="AT43" s="156">
        <f>AS43/($AM43)</f>
        <v>0.98978957648939003</v>
      </c>
      <c r="AU43" s="90"/>
      <c r="AV43" s="156">
        <f>AU43/($AM43)</f>
        <v>0</v>
      </c>
      <c r="AW43" s="90"/>
      <c r="AX43" s="156">
        <f>AW43/($AM43)</f>
        <v>0</v>
      </c>
      <c r="AZ43" s="156">
        <f>AY43/($AM43)</f>
        <v>0</v>
      </c>
      <c r="BB43" s="156">
        <f>BA43/($AM43)</f>
        <v>0</v>
      </c>
      <c r="CE43" s="10">
        <v>5061</v>
      </c>
      <c r="CG43" s="10">
        <v>5399</v>
      </c>
      <c r="CI43" s="10">
        <v>4533</v>
      </c>
      <c r="CK43" s="10">
        <v>6253</v>
      </c>
      <c r="CM43" s="10">
        <v>6286</v>
      </c>
      <c r="CO43" s="10">
        <v>7602</v>
      </c>
      <c r="CS43" s="2079">
        <v>0</v>
      </c>
      <c r="CT43" s="2080" t="s">
        <v>1403</v>
      </c>
      <c r="CW43" s="2432">
        <v>0</v>
      </c>
      <c r="CX43" s="2433" t="s">
        <v>1433</v>
      </c>
      <c r="CY43" s="10">
        <v>5116</v>
      </c>
      <c r="DA43" s="10">
        <v>5500</v>
      </c>
      <c r="DE43" s="10">
        <v>5670</v>
      </c>
      <c r="DG43" s="10">
        <v>6279</v>
      </c>
      <c r="DI43" s="10">
        <v>5201</v>
      </c>
      <c r="DK43" s="3790">
        <v>0</v>
      </c>
      <c r="DL43" s="3791" t="s">
        <v>1675</v>
      </c>
      <c r="DM43" s="10">
        <v>3781</v>
      </c>
      <c r="DN43" s="10" t="s">
        <v>1718</v>
      </c>
    </row>
    <row r="44" spans="1:118" s="10" customFormat="1" ht="15.75" customHeight="1" thickBot="1">
      <c r="A44" s="49"/>
      <c r="B44" s="19" t="s">
        <v>134</v>
      </c>
      <c r="C44" s="38" t="str">
        <f>E44</f>
        <v>{"username":"Bern.Buchhalter@diartis.ch","password":"HBcc73+ppTX42?E."}</v>
      </c>
      <c r="D44" s="90"/>
      <c r="E44" s="91" t="str">
        <f>F44&amp;G44&amp;H44&amp;I44&amp;J44&amp;K44&amp;L44&amp;M44&amp;N44&amp;O44&amp;P44&amp;Q44&amp;R44&amp;S44&amp;T44&amp;U44&amp;V44&amp;W44&amp;X44</f>
        <v>{"username":"Bern.Buchhalter@diartis.ch","password":"HBcc73+ppTX42?E."}</v>
      </c>
      <c r="F44" s="609" t="s">
        <v>29</v>
      </c>
      <c r="G44" s="611" t="s">
        <v>219</v>
      </c>
      <c r="H44" s="609" t="s">
        <v>31</v>
      </c>
      <c r="I44" s="611" t="s">
        <v>220</v>
      </c>
      <c r="J44" s="609" t="s">
        <v>37</v>
      </c>
      <c r="K44" s="614"/>
      <c r="L44" s="609"/>
      <c r="M44" s="611"/>
      <c r="N44" s="609"/>
      <c r="O44" s="611"/>
      <c r="P44" s="609"/>
      <c r="Q44" s="611"/>
      <c r="R44" s="609"/>
      <c r="S44" s="611"/>
      <c r="T44" s="609"/>
      <c r="U44" s="611"/>
      <c r="V44" s="609"/>
      <c r="W44" s="611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156" t="e">
        <f t="shared" si="2"/>
        <v>#DIV/0!</v>
      </c>
      <c r="AK44" s="90"/>
      <c r="AL44" s="156" t="e">
        <f t="shared" si="3"/>
        <v>#DIV/0!</v>
      </c>
      <c r="AM44" s="90"/>
      <c r="AN44" s="156" t="e">
        <f t="shared" si="4"/>
        <v>#DIV/0!</v>
      </c>
      <c r="AO44" s="90"/>
      <c r="AP44" s="156" t="e">
        <f t="shared" si="4"/>
        <v>#DIV/0!</v>
      </c>
      <c r="AQ44" s="90"/>
      <c r="AR44" s="156" t="e">
        <f t="shared" si="4"/>
        <v>#DIV/0!</v>
      </c>
      <c r="AS44" s="90"/>
      <c r="AT44" s="156" t="e">
        <f t="shared" si="4"/>
        <v>#DIV/0!</v>
      </c>
      <c r="AU44" s="90"/>
      <c r="AV44" s="156" t="e">
        <f t="shared" si="4"/>
        <v>#DIV/0!</v>
      </c>
      <c r="AW44" s="90"/>
      <c r="AX44" s="156" t="e">
        <f t="shared" si="4"/>
        <v>#DIV/0!</v>
      </c>
      <c r="AZ44" s="156" t="e">
        <f t="shared" si="4"/>
        <v>#DIV/0!</v>
      </c>
      <c r="BB44" s="156" t="e">
        <f t="shared" si="6"/>
        <v>#DIV/0!</v>
      </c>
    </row>
    <row r="45" spans="1:118" s="10" customFormat="1" ht="15.75" customHeight="1" thickBot="1">
      <c r="A45" s="21"/>
      <c r="B45" s="54" t="s">
        <v>139</v>
      </c>
      <c r="C45" s="89" t="str">
        <f>E45</f>
        <v>{"searchDossierOrKlient":p.DossierName12,"resultType":"Dossiers"}</v>
      </c>
      <c r="D45" s="90"/>
      <c r="E45" s="91" t="str">
        <f>F45&amp;G45&amp;H45&amp;I45&amp;J45&amp;K45&amp;L45&amp;M45&amp;N45&amp;O45&amp;P45&amp;Q45&amp;R45&amp;S45&amp;T45&amp;U45&amp;V45&amp;W45&amp;X45</f>
        <v>{"searchDossierOrKlient":p.DossierName12,"resultType":"Dossiers"}</v>
      </c>
      <c r="F45" s="609" t="s">
        <v>140</v>
      </c>
      <c r="G45" s="649" t="str">
        <f>G43</f>
        <v>p.DossierName12</v>
      </c>
      <c r="H45" s="609" t="s">
        <v>141</v>
      </c>
      <c r="I45" s="611" t="s">
        <v>142</v>
      </c>
      <c r="J45" s="609" t="s">
        <v>37</v>
      </c>
      <c r="K45" s="611"/>
      <c r="L45" s="609"/>
      <c r="M45" s="611"/>
      <c r="N45" s="609"/>
      <c r="O45" s="611"/>
      <c r="P45" s="609"/>
      <c r="Q45" s="611"/>
      <c r="R45" s="609"/>
      <c r="S45" s="611"/>
      <c r="T45" s="609"/>
      <c r="U45" s="611"/>
      <c r="V45" s="609"/>
      <c r="W45" s="611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156" t="e">
        <f t="shared" si="2"/>
        <v>#DIV/0!</v>
      </c>
      <c r="AK45" s="90"/>
      <c r="AL45" s="156" t="e">
        <f t="shared" si="3"/>
        <v>#DIV/0!</v>
      </c>
      <c r="AM45" s="90"/>
      <c r="AN45" s="156" t="e">
        <f t="shared" si="4"/>
        <v>#DIV/0!</v>
      </c>
      <c r="AO45" s="90"/>
      <c r="AP45" s="156" t="e">
        <f t="shared" si="4"/>
        <v>#DIV/0!</v>
      </c>
      <c r="AQ45" s="90"/>
      <c r="AR45" s="156" t="e">
        <f t="shared" si="4"/>
        <v>#DIV/0!</v>
      </c>
      <c r="AS45" s="90"/>
      <c r="AT45" s="156" t="e">
        <f t="shared" si="4"/>
        <v>#DIV/0!</v>
      </c>
      <c r="AU45" s="90"/>
      <c r="AV45" s="156" t="e">
        <f t="shared" si="4"/>
        <v>#DIV/0!</v>
      </c>
      <c r="AW45" s="90"/>
      <c r="AX45" s="156" t="e">
        <f t="shared" si="4"/>
        <v>#DIV/0!</v>
      </c>
      <c r="AZ45" s="156" t="e">
        <f t="shared" si="4"/>
        <v>#DIV/0!</v>
      </c>
      <c r="BB45" s="156" t="e">
        <f t="shared" si="6"/>
        <v>#DIV/0!</v>
      </c>
      <c r="BO45" s="10">
        <f>SUM(BO2:BO43)</f>
        <v>211914</v>
      </c>
      <c r="CY45" s="10">
        <f>SUM(CY2:CY43)</f>
        <v>191787</v>
      </c>
    </row>
    <row r="46" spans="1:118" s="53" customFormat="1" ht="15.75" customHeight="1" thickBot="1">
      <c r="A46" s="49"/>
      <c r="B46" s="129" t="s">
        <v>22</v>
      </c>
      <c r="C46" s="55" t="s">
        <v>126</v>
      </c>
      <c r="D46" s="90"/>
      <c r="E46" s="124"/>
      <c r="F46" s="624"/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1"/>
      <c r="R46" s="611"/>
      <c r="S46" s="611"/>
      <c r="T46" s="611"/>
      <c r="U46" s="611"/>
      <c r="V46" s="611"/>
      <c r="W46" s="611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156" t="e">
        <f t="shared" si="2"/>
        <v>#DIV/0!</v>
      </c>
      <c r="AK46" s="90"/>
      <c r="AL46" s="156" t="e">
        <f t="shared" si="3"/>
        <v>#DIV/0!</v>
      </c>
      <c r="AM46" s="90"/>
      <c r="AN46" s="156" t="e">
        <f t="shared" si="4"/>
        <v>#DIV/0!</v>
      </c>
      <c r="AO46" s="90"/>
      <c r="AP46" s="156" t="e">
        <f t="shared" si="4"/>
        <v>#DIV/0!</v>
      </c>
      <c r="AQ46" s="90"/>
      <c r="AR46" s="156" t="e">
        <f t="shared" si="4"/>
        <v>#DIV/0!</v>
      </c>
      <c r="AS46" s="90"/>
      <c r="AT46" s="156" t="e">
        <f t="shared" si="4"/>
        <v>#DIV/0!</v>
      </c>
      <c r="AU46" s="90"/>
      <c r="AV46" s="156" t="e">
        <f t="shared" si="4"/>
        <v>#DIV/0!</v>
      </c>
      <c r="AW46" s="90"/>
      <c r="AX46" s="156" t="e">
        <f t="shared" si="4"/>
        <v>#DIV/0!</v>
      </c>
      <c r="AZ46" s="156" t="e">
        <f t="shared" si="4"/>
        <v>#DIV/0!</v>
      </c>
      <c r="BB46" s="156" t="e">
        <f t="shared" si="6"/>
        <v>#DIV/0!</v>
      </c>
    </row>
    <row r="47" spans="1:118" s="10" customFormat="1" ht="15.75" customHeight="1" thickBot="1">
      <c r="A47" s="21"/>
      <c r="B47" s="135" t="s">
        <v>221</v>
      </c>
      <c r="C47" s="89" t="str">
        <f>E47</f>
        <v>{"bisValutaDatum":"31.12.2024","dossier":p.DossierName3,"zahlungenTotal":"CHF 11’918.00"}</v>
      </c>
      <c r="D47" s="90"/>
      <c r="E47" s="91" t="str">
        <f>F47&amp;G47&amp;H47&amp;I47&amp;J47&amp;K47&amp;L47&amp;M47&amp;N47&amp;O47&amp;P47&amp;Q47&amp;R47&amp;S47&amp;T47&amp;U47&amp;V47&amp;W47&amp;X47</f>
        <v>{"bisValutaDatum":"31.12.2024","dossier":p.DossierName3,"zahlungenTotal":"CHF 11’918.00"}</v>
      </c>
      <c r="F47" s="609" t="s">
        <v>222</v>
      </c>
      <c r="G47" s="611" t="s">
        <v>223</v>
      </c>
      <c r="H47" s="609" t="s">
        <v>224</v>
      </c>
      <c r="I47" s="614" t="str">
        <f>G42</f>
        <v>p.DossierName3</v>
      </c>
      <c r="J47" s="609" t="s">
        <v>225</v>
      </c>
      <c r="K47" s="613" t="s">
        <v>288</v>
      </c>
      <c r="L47" s="609" t="s">
        <v>37</v>
      </c>
      <c r="M47" s="611"/>
      <c r="N47" s="609"/>
      <c r="O47" s="611"/>
      <c r="P47" s="609"/>
      <c r="Q47" s="611"/>
      <c r="R47" s="609"/>
      <c r="S47" s="611"/>
      <c r="T47" s="609"/>
      <c r="U47" s="611"/>
      <c r="V47" s="609"/>
      <c r="W47" s="611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156" t="e">
        <f t="shared" si="2"/>
        <v>#DIV/0!</v>
      </c>
      <c r="AK47" s="90"/>
      <c r="AL47" s="156" t="e">
        <f t="shared" si="3"/>
        <v>#DIV/0!</v>
      </c>
      <c r="AM47" s="90"/>
      <c r="AN47" s="156" t="e">
        <f t="shared" ref="AN47:AT49" si="11">AM47/($AI47)</f>
        <v>#DIV/0!</v>
      </c>
      <c r="AO47" s="90"/>
      <c r="AP47" s="156" t="e">
        <f t="shared" si="11"/>
        <v>#DIV/0!</v>
      </c>
      <c r="AQ47" s="90"/>
      <c r="AR47" s="156" t="e">
        <f t="shared" si="11"/>
        <v>#DIV/0!</v>
      </c>
      <c r="AS47" s="90"/>
      <c r="AT47" s="156" t="e">
        <f t="shared" si="11"/>
        <v>#DIV/0!</v>
      </c>
      <c r="AU47" s="90"/>
      <c r="AV47" s="156" t="e">
        <f t="shared" ref="AV47:AZ49" si="12">AU47/($AI47)</f>
        <v>#DIV/0!</v>
      </c>
      <c r="AW47" s="90"/>
      <c r="AX47" s="156" t="e">
        <f t="shared" si="12"/>
        <v>#DIV/0!</v>
      </c>
      <c r="AZ47" s="156" t="e">
        <f t="shared" si="12"/>
        <v>#DIV/0!</v>
      </c>
      <c r="BB47" s="156" t="e">
        <f t="shared" si="6"/>
        <v>#DIV/0!</v>
      </c>
    </row>
    <row r="48" spans="1:118" s="53" customFormat="1" ht="15.75" customHeight="1" thickBot="1">
      <c r="A48" s="49"/>
      <c r="B48" s="54" t="s">
        <v>22</v>
      </c>
      <c r="C48" s="55" t="s">
        <v>126</v>
      </c>
      <c r="D48" s="90"/>
      <c r="E48" s="124"/>
      <c r="F48" s="624"/>
      <c r="G48" s="611"/>
      <c r="H48" s="611"/>
      <c r="I48" s="611"/>
      <c r="J48" s="611"/>
      <c r="K48" s="611"/>
      <c r="L48" s="611"/>
      <c r="M48" s="611"/>
      <c r="N48" s="611"/>
      <c r="O48" s="611"/>
      <c r="P48" s="611"/>
      <c r="Q48" s="611"/>
      <c r="R48" s="611"/>
      <c r="S48" s="611"/>
      <c r="T48" s="611"/>
      <c r="U48" s="611"/>
      <c r="V48" s="611"/>
      <c r="W48" s="611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156" t="e">
        <f t="shared" si="2"/>
        <v>#DIV/0!</v>
      </c>
      <c r="AK48" s="90"/>
      <c r="AL48" s="156" t="e">
        <f t="shared" si="3"/>
        <v>#DIV/0!</v>
      </c>
      <c r="AM48" s="90"/>
      <c r="AN48" s="156" t="e">
        <f t="shared" si="11"/>
        <v>#DIV/0!</v>
      </c>
      <c r="AO48" s="90"/>
      <c r="AP48" s="156" t="e">
        <f t="shared" si="11"/>
        <v>#DIV/0!</v>
      </c>
      <c r="AQ48" s="90"/>
      <c r="AR48" s="156" t="e">
        <f t="shared" si="11"/>
        <v>#DIV/0!</v>
      </c>
      <c r="AS48" s="90"/>
      <c r="AT48" s="156" t="e">
        <f t="shared" si="11"/>
        <v>#DIV/0!</v>
      </c>
      <c r="AU48" s="90"/>
      <c r="AV48" s="156" t="e">
        <f t="shared" si="12"/>
        <v>#DIV/0!</v>
      </c>
      <c r="AW48" s="90"/>
      <c r="AX48" s="156" t="e">
        <f t="shared" si="12"/>
        <v>#DIV/0!</v>
      </c>
      <c r="AZ48" s="156" t="e">
        <f t="shared" si="12"/>
        <v>#DIV/0!</v>
      </c>
      <c r="BB48" s="156" t="e">
        <f t="shared" si="6"/>
        <v>#DIV/0!</v>
      </c>
    </row>
    <row r="49" spans="1:54" s="10" customFormat="1" ht="15.75" customHeight="1" thickBot="1">
      <c r="A49" s="21"/>
      <c r="B49" s="16" t="s">
        <v>229</v>
      </c>
      <c r="C49" s="38" t="str">
        <f>E49</f>
        <v>{"dossier":p.DossierName12,"ausgefuehrteZahlungen":"1"}</v>
      </c>
      <c r="D49" s="38"/>
      <c r="E49" s="91" t="str">
        <f>F49&amp;G49&amp;H49&amp;I49&amp;J49&amp;K49&amp;L49&amp;M49&amp;N49&amp;O49&amp;P49&amp;Q49&amp;R49&amp;S49&amp;T49&amp;U49&amp;V49&amp;W49</f>
        <v>{"dossier":p.DossierName12,"ausgefuehrteZahlungen":"1"}</v>
      </c>
      <c r="F49" s="611" t="s">
        <v>159</v>
      </c>
      <c r="G49" s="611" t="str">
        <f>G56</f>
        <v>p.DossierName12</v>
      </c>
      <c r="H49" s="611" t="s">
        <v>230</v>
      </c>
      <c r="I49" s="609">
        <v>1</v>
      </c>
      <c r="J49" s="611" t="s">
        <v>37</v>
      </c>
      <c r="K49" s="611"/>
      <c r="L49" s="611"/>
      <c r="M49" s="611"/>
      <c r="N49" s="611"/>
      <c r="O49" s="625"/>
      <c r="P49" s="611"/>
      <c r="Q49" s="611"/>
      <c r="R49" s="611"/>
      <c r="S49" s="611"/>
      <c r="T49" s="611"/>
      <c r="U49" s="611"/>
      <c r="V49" s="611"/>
      <c r="W49" s="611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156" t="e">
        <f t="shared" si="2"/>
        <v>#DIV/0!</v>
      </c>
      <c r="AK49" s="2"/>
      <c r="AL49" s="156" t="e">
        <f t="shared" si="3"/>
        <v>#DIV/0!</v>
      </c>
      <c r="AM49" s="2"/>
      <c r="AN49" s="156" t="e">
        <f t="shared" si="11"/>
        <v>#DIV/0!</v>
      </c>
      <c r="AO49" s="2"/>
      <c r="AP49" s="156" t="e">
        <f t="shared" si="11"/>
        <v>#DIV/0!</v>
      </c>
      <c r="AQ49" s="2"/>
      <c r="AR49" s="156" t="e">
        <f t="shared" si="11"/>
        <v>#DIV/0!</v>
      </c>
      <c r="AS49" s="2"/>
      <c r="AT49" s="156" t="e">
        <f t="shared" si="11"/>
        <v>#DIV/0!</v>
      </c>
      <c r="AU49" s="2"/>
      <c r="AV49" s="156" t="e">
        <f t="shared" si="12"/>
        <v>#DIV/0!</v>
      </c>
      <c r="AW49" s="2"/>
      <c r="AX49" s="156" t="e">
        <f t="shared" si="12"/>
        <v>#DIV/0!</v>
      </c>
      <c r="AZ49" s="156" t="e">
        <f t="shared" si="12"/>
        <v>#DIV/0!</v>
      </c>
      <c r="BB49" s="156" t="e">
        <f t="shared" si="6"/>
        <v>#DIV/0!</v>
      </c>
    </row>
    <row r="50" spans="1:54" ht="15.75" customHeight="1">
      <c r="A50" s="49"/>
      <c r="B50" s="137" t="s">
        <v>134</v>
      </c>
      <c r="C50" s="88" t="s">
        <v>138</v>
      </c>
      <c r="E50" s="2" t="str">
        <f>F50&amp;G50&amp;H50&amp;I50&amp;J50&amp;K50&amp;L50&amp;M50&amp;N50&amp;O50&amp;P50&amp;Q50&amp;R50&amp;S50&amp;T50&amp;U50&amp;V50&amp;W50&amp;X50</f>
        <v>{"username":"Bern.Sachbearbeiterin@diartis.ch","password":"XXxa22?pdTA66-S@"}</v>
      </c>
      <c r="F50" s="609" t="s">
        <v>29</v>
      </c>
      <c r="G50" s="611" t="s">
        <v>30</v>
      </c>
      <c r="H50" s="609" t="s">
        <v>31</v>
      </c>
      <c r="I50" s="611" t="s">
        <v>32</v>
      </c>
      <c r="J50" s="609" t="s">
        <v>37</v>
      </c>
      <c r="AJ50" s="165"/>
      <c r="AL50" s="165"/>
      <c r="AN50" s="165"/>
      <c r="AP50" s="165"/>
      <c r="AR50" s="165"/>
      <c r="AT50" s="165"/>
      <c r="AV50" s="165"/>
      <c r="AX50" s="165"/>
      <c r="AZ50" s="165"/>
      <c r="BB50" s="165"/>
    </row>
    <row r="51" spans="1:54" ht="15.75" customHeight="1" thickBot="1">
      <c r="B51" s="54"/>
      <c r="C51" s="38"/>
      <c r="E51" s="2"/>
      <c r="AJ51" s="165"/>
      <c r="AL51" s="165"/>
      <c r="AN51" s="165"/>
      <c r="AP51" s="165"/>
      <c r="AR51" s="165"/>
      <c r="AT51" s="165"/>
      <c r="AV51" s="165"/>
      <c r="AX51" s="165"/>
      <c r="AZ51" s="165"/>
      <c r="BB51" s="165"/>
    </row>
    <row r="52" spans="1:54" ht="15.75" customHeight="1" thickBot="1">
      <c r="B52" s="179"/>
      <c r="C52" s="38"/>
      <c r="E52" s="2"/>
      <c r="AJ52" s="165"/>
      <c r="AL52" s="165"/>
      <c r="AN52" s="165"/>
      <c r="AP52" s="165"/>
      <c r="AR52" s="165"/>
      <c r="AT52" s="165"/>
      <c r="AV52" s="165"/>
      <c r="AX52" s="165"/>
      <c r="AZ52" s="165"/>
      <c r="BB52" s="165"/>
    </row>
    <row r="53" spans="1:54" ht="15.75" customHeight="1">
      <c r="B53" s="18" t="s">
        <v>235</v>
      </c>
      <c r="C53" s="38"/>
      <c r="E53" s="2"/>
      <c r="AJ53" s="165"/>
      <c r="AL53" s="165"/>
      <c r="AN53" s="165"/>
      <c r="AP53" s="165"/>
      <c r="AR53" s="165"/>
      <c r="AT53" s="165"/>
      <c r="AV53" s="165"/>
      <c r="AX53" s="165"/>
      <c r="AZ53" s="165"/>
      <c r="BB53" s="165"/>
    </row>
    <row r="54" spans="1:54" ht="15.75" customHeight="1">
      <c r="B54" s="2" t="s">
        <v>233</v>
      </c>
      <c r="C54" s="38"/>
      <c r="E54" s="2"/>
      <c r="AJ54" s="165"/>
      <c r="AL54" s="165"/>
      <c r="AN54" s="165"/>
      <c r="AP54" s="165"/>
      <c r="AR54" s="165"/>
      <c r="AT54" s="165"/>
      <c r="AV54" s="165"/>
      <c r="AX54" s="165"/>
      <c r="AZ54" s="165"/>
      <c r="BB54" s="165"/>
    </row>
    <row r="55" spans="1:54" ht="15.75" customHeight="1">
      <c r="B55" s="2" t="s">
        <v>234</v>
      </c>
      <c r="C55" s="38"/>
      <c r="E55" s="2"/>
    </row>
    <row r="56" spans="1:54" ht="15.75" customHeight="1">
      <c r="B56" s="18" t="s">
        <v>235</v>
      </c>
      <c r="C56" s="38"/>
      <c r="E56" s="2"/>
      <c r="F56" s="609" t="s">
        <v>236</v>
      </c>
      <c r="G56" s="611" t="str">
        <f>"p.DossierName"&amp;G61</f>
        <v>p.DossierName12</v>
      </c>
      <c r="H56" s="611" t="str">
        <f>"p.ManFirstName"&amp;G61</f>
        <v>p.ManFirstName12</v>
      </c>
      <c r="I56" s="611" t="str">
        <f>"p.AHVNumber"&amp;G63</f>
        <v>p.AHVNumber45</v>
      </c>
      <c r="J56" s="614" t="str">
        <f>"p.BirthdayAdult"&amp;G61</f>
        <v>p.BirthdayAdult12</v>
      </c>
    </row>
    <row r="57" spans="1:54" ht="15.75" customHeight="1">
      <c r="B57" s="2" t="s">
        <v>233</v>
      </c>
      <c r="C57" s="38"/>
      <c r="E57" s="2"/>
      <c r="F57" s="609" t="s">
        <v>237</v>
      </c>
      <c r="G57" s="611" t="str">
        <f>"p.FamilyName"&amp;G61</f>
        <v>p.FamilyName12</v>
      </c>
      <c r="H57" s="611" t="str">
        <f>"p.WomanFirstName"&amp;G61</f>
        <v>p.WomanFirstName12</v>
      </c>
      <c r="I57" s="611" t="str">
        <f>"p.AHVNumber"&amp;G63+1</f>
        <v>p.AHVNumber46</v>
      </c>
      <c r="J57" s="614" t="str">
        <f>"p.BirthdayAdult"&amp;G62</f>
        <v>p.BirthdayAdult13</v>
      </c>
    </row>
    <row r="58" spans="1:54" ht="15.75" customHeight="1">
      <c r="C58" s="38"/>
      <c r="E58" s="2"/>
      <c r="F58" s="609" t="s">
        <v>238</v>
      </c>
      <c r="G58" s="611" t="str">
        <f>G57</f>
        <v>p.FamilyName12</v>
      </c>
      <c r="H58" s="611" t="str">
        <f>"p.GirlFirstName"&amp;G61</f>
        <v>p.GirlFirstName12</v>
      </c>
      <c r="I58" s="611" t="str">
        <f>"p.AHVNumber"&amp;G63+2</f>
        <v>p.AHVNumber47</v>
      </c>
      <c r="J58" s="614" t="str">
        <f>"p.BirthdayKid"&amp;G61</f>
        <v>p.BirthdayKid12</v>
      </c>
    </row>
    <row r="59" spans="1:54" ht="15.75" customHeight="1">
      <c r="C59" s="38"/>
      <c r="E59" s="2"/>
      <c r="H59" s="611" t="str">
        <f>"p.ManFirstName"&amp;G62</f>
        <v>p.ManFirstName13</v>
      </c>
      <c r="I59" s="611" t="str">
        <f>"p.AHVNumber"&amp;G63+3</f>
        <v>p.AHVNumber48</v>
      </c>
      <c r="J59" s="614" t="str">
        <f>"p.BirthdayKid"&amp;G62</f>
        <v>p.BirthdayKid13</v>
      </c>
    </row>
    <row r="60" spans="1:54" ht="15" customHeight="1">
      <c r="C60" s="38"/>
      <c r="E60" s="2"/>
    </row>
    <row r="61" spans="1:54" ht="15.75" customHeight="1">
      <c r="C61" s="38"/>
      <c r="E61" s="2"/>
      <c r="G61" s="611">
        <v>12</v>
      </c>
    </row>
    <row r="62" spans="1:54" ht="15.75" customHeight="1">
      <c r="C62" s="38"/>
      <c r="E62" s="2"/>
      <c r="G62" s="611">
        <f>G61+1</f>
        <v>13</v>
      </c>
    </row>
    <row r="63" spans="1:54" ht="15.75" customHeight="1">
      <c r="B63" s="2" t="s">
        <v>240</v>
      </c>
      <c r="C63" s="38"/>
      <c r="E63" s="2"/>
      <c r="G63" s="611">
        <f>G61*4-4+1</f>
        <v>45</v>
      </c>
    </row>
    <row r="64" spans="1:54" ht="15.75" customHeight="1">
      <c r="B64" s="24" t="s">
        <v>276</v>
      </c>
      <c r="C64" s="38" t="s">
        <v>322</v>
      </c>
      <c r="E64" s="2"/>
      <c r="G64" s="611">
        <f>G63+1</f>
        <v>46</v>
      </c>
    </row>
    <row r="65" spans="2:10" ht="15.75" customHeight="1">
      <c r="B65" s="24" t="s">
        <v>241</v>
      </c>
      <c r="C65" s="38"/>
      <c r="E65" s="2"/>
      <c r="G65" s="611">
        <f>G63*4-4+1</f>
        <v>177</v>
      </c>
    </row>
    <row r="66" spans="2:10" ht="15.75" customHeight="1" thickBot="1">
      <c r="B66" s="24" t="s">
        <v>242</v>
      </c>
      <c r="C66" s="38"/>
      <c r="E66" s="2"/>
    </row>
    <row r="67" spans="2:10" ht="15.75" customHeight="1">
      <c r="B67" s="24" t="s">
        <v>243</v>
      </c>
      <c r="C67" s="38"/>
      <c r="E67" s="139" t="s">
        <v>245</v>
      </c>
      <c r="F67" s="651"/>
      <c r="G67" s="626"/>
      <c r="H67" s="626"/>
      <c r="I67" s="626"/>
      <c r="J67" s="627"/>
    </row>
    <row r="68" spans="2:10" ht="15.75" customHeight="1">
      <c r="B68" s="24" t="s">
        <v>244</v>
      </c>
      <c r="C68" s="38"/>
      <c r="E68" s="145"/>
      <c r="F68" s="611">
        <f ca="1">MONTH(TODAY())</f>
        <v>11</v>
      </c>
      <c r="G68" s="146" t="str">
        <f t="array" aca="1" ref="G68" ca="1">_xlfn.CHOOSEROWS(I$80:I$112,F68)&amp;" "&amp;_xlfn.CHOOSEROWS(J$80:J$112,F68)</f>
        <v>November 2025</v>
      </c>
      <c r="J68" s="628"/>
    </row>
    <row r="69" spans="2:10" ht="15.75" customHeight="1">
      <c r="B69" s="144" t="s">
        <v>246</v>
      </c>
      <c r="C69" s="38"/>
      <c r="E69" s="145"/>
      <c r="F69" s="611">
        <f ca="1">F68+1</f>
        <v>12</v>
      </c>
      <c r="G69" s="146" t="str">
        <f t="array" aca="1" ref="G69" ca="1">_xlfn.CHOOSEROWS(I$80:I$112,F69)&amp;" "&amp;_xlfn.CHOOSEROWS(J$80:J$112,F69)</f>
        <v>Dezember 2025</v>
      </c>
      <c r="J69" s="628"/>
    </row>
    <row r="70" spans="2:10" ht="15.75" customHeight="1">
      <c r="B70" s="24" t="s">
        <v>247</v>
      </c>
      <c r="C70" s="38" t="s">
        <v>323</v>
      </c>
      <c r="E70" s="145"/>
      <c r="F70" s="611">
        <f t="shared" ref="F70:F74" ca="1" si="13">F69+1</f>
        <v>13</v>
      </c>
      <c r="G70" s="146" t="str">
        <f t="array" aca="1" ref="G70" ca="1">_xlfn.CHOOSEROWS(I$80:I$112,F70)&amp;" "&amp;_xlfn.CHOOSEROWS(J$80:J$112,F70)</f>
        <v>Januar 2026</v>
      </c>
      <c r="J70" s="628"/>
    </row>
    <row r="71" spans="2:10" ht="15.75" customHeight="1">
      <c r="E71" s="145"/>
      <c r="F71" s="611">
        <f t="shared" ca="1" si="13"/>
        <v>14</v>
      </c>
      <c r="G71" s="146" t="str">
        <f t="array" aca="1" ref="G71" ca="1">_xlfn.CHOOSEROWS(I$80:I$112,F71)&amp;" "&amp;_xlfn.CHOOSEROWS(J$80:J$112,F71)</f>
        <v>Februar 2026</v>
      </c>
      <c r="J71" s="628"/>
    </row>
    <row r="72" spans="2:10" ht="15.75" customHeight="1">
      <c r="E72" s="145"/>
      <c r="F72" s="611">
        <f t="shared" ca="1" si="13"/>
        <v>15</v>
      </c>
      <c r="G72" s="146" t="str">
        <f t="array" aca="1" ref="G72" ca="1">_xlfn.CHOOSEROWS(I$80:I$112,F72)&amp;" "&amp;_xlfn.CHOOSEROWS(J$80:J$112,F72)</f>
        <v>März 2026</v>
      </c>
      <c r="J72" s="628"/>
    </row>
    <row r="73" spans="2:10" ht="15.75" customHeight="1">
      <c r="E73" s="145"/>
      <c r="F73" s="611">
        <f t="shared" ca="1" si="13"/>
        <v>16</v>
      </c>
      <c r="G73" s="146" t="str">
        <f t="array" aca="1" ref="G73" ca="1">_xlfn.CHOOSEROWS(I$80:I$112,F73)&amp;" "&amp;_xlfn.CHOOSEROWS(J$80:J$112,F73)</f>
        <v>April 2026</v>
      </c>
      <c r="J73" s="628"/>
    </row>
    <row r="74" spans="2:10" ht="15.75" customHeight="1">
      <c r="E74" s="145"/>
      <c r="F74" s="611">
        <f t="shared" ca="1" si="13"/>
        <v>17</v>
      </c>
      <c r="G74" s="146" t="str">
        <f t="array" aca="1" ref="G74" ca="1">_xlfn.CHOOSEROWS(I$80:I$112,F74)&amp;" "&amp;_xlfn.CHOOSEROWS(J$80:J$112,F74)</f>
        <v>Mai 2026</v>
      </c>
      <c r="J74" s="628"/>
    </row>
    <row r="75" spans="2:10" ht="15.75" customHeight="1">
      <c r="E75" s="145"/>
      <c r="F75" s="611"/>
      <c r="G75" s="629"/>
      <c r="J75" s="628"/>
    </row>
    <row r="76" spans="2:10" ht="15.75" customHeight="1">
      <c r="E76" s="145"/>
      <c r="F76" s="611">
        <v>13</v>
      </c>
      <c r="G76" s="611">
        <f t="array" ref="G76">_xlfn.CHOOSEROWS(J80:J103,F76)</f>
        <v>2026</v>
      </c>
      <c r="J76" s="628"/>
    </row>
    <row r="77" spans="2:10" ht="15.75" customHeight="1">
      <c r="E77" s="145"/>
      <c r="F77" s="611"/>
      <c r="J77" s="628"/>
    </row>
    <row r="78" spans="2:10" ht="15.75" customHeight="1">
      <c r="E78" s="145"/>
      <c r="F78" s="611"/>
      <c r="J78" s="628"/>
    </row>
    <row r="79" spans="2:10" ht="15.75" customHeight="1">
      <c r="E79" s="145"/>
      <c r="F79" s="611"/>
      <c r="G79" s="611" t="str">
        <f t="array" ref="G79">_xlfn.CHOOSEROWS(I79:I85,3)</f>
        <v>Februar</v>
      </c>
      <c r="J79" s="628"/>
    </row>
    <row r="80" spans="2:10" ht="15.75" customHeight="1">
      <c r="E80" s="145"/>
      <c r="F80" s="611"/>
      <c r="H80" s="609">
        <v>1</v>
      </c>
      <c r="I80" s="611" t="s">
        <v>249</v>
      </c>
      <c r="J80" s="628">
        <v>2025</v>
      </c>
    </row>
    <row r="81" spans="5:10" ht="15.75" customHeight="1">
      <c r="E81" s="145"/>
      <c r="F81" s="611"/>
      <c r="H81" s="609">
        <v>2</v>
      </c>
      <c r="I81" s="611" t="s">
        <v>250</v>
      </c>
      <c r="J81" s="628">
        <v>2025</v>
      </c>
    </row>
    <row r="82" spans="5:10" ht="15.75" customHeight="1">
      <c r="E82" s="145"/>
      <c r="F82" s="611"/>
      <c r="H82" s="609">
        <v>3</v>
      </c>
      <c r="I82" s="611" t="s">
        <v>251</v>
      </c>
      <c r="J82" s="628">
        <v>2025</v>
      </c>
    </row>
    <row r="83" spans="5:10" ht="15.75" customHeight="1">
      <c r="E83" s="145"/>
      <c r="F83" s="611"/>
      <c r="H83" s="609">
        <v>4</v>
      </c>
      <c r="I83" s="611" t="s">
        <v>252</v>
      </c>
      <c r="J83" s="628">
        <v>2025</v>
      </c>
    </row>
    <row r="84" spans="5:10" ht="15.75" customHeight="1">
      <c r="E84" s="145"/>
      <c r="F84" s="611"/>
      <c r="H84" s="609">
        <v>5</v>
      </c>
      <c r="I84" s="611" t="s">
        <v>253</v>
      </c>
      <c r="J84" s="628">
        <v>2025</v>
      </c>
    </row>
    <row r="85" spans="5:10" ht="15.75" customHeight="1">
      <c r="E85" s="145"/>
      <c r="F85" s="611"/>
      <c r="H85" s="609">
        <v>6</v>
      </c>
      <c r="I85" s="611" t="s">
        <v>254</v>
      </c>
      <c r="J85" s="628">
        <v>2025</v>
      </c>
    </row>
    <row r="86" spans="5:10" ht="15.75" customHeight="1">
      <c r="E86" s="2"/>
      <c r="F86" s="146"/>
      <c r="H86" s="609">
        <v>7</v>
      </c>
      <c r="I86" s="611" t="s">
        <v>255</v>
      </c>
      <c r="J86" s="628">
        <v>2025</v>
      </c>
    </row>
    <row r="87" spans="5:10" ht="15.75" customHeight="1">
      <c r="E87" s="2"/>
      <c r="F87" s="146"/>
      <c r="H87" s="609">
        <v>8</v>
      </c>
      <c r="I87" s="611" t="s">
        <v>256</v>
      </c>
      <c r="J87" s="628">
        <v>2025</v>
      </c>
    </row>
    <row r="88" spans="5:10" ht="15.75" customHeight="1">
      <c r="E88" s="2"/>
      <c r="F88" s="146"/>
      <c r="H88" s="609">
        <v>9</v>
      </c>
      <c r="I88" s="611" t="s">
        <v>257</v>
      </c>
      <c r="J88" s="628">
        <v>2025</v>
      </c>
    </row>
    <row r="89" spans="5:10" ht="15.75" customHeight="1">
      <c r="E89" s="2"/>
      <c r="F89" s="146"/>
      <c r="H89" s="609">
        <v>10</v>
      </c>
      <c r="I89" s="611" t="s">
        <v>258</v>
      </c>
      <c r="J89" s="628">
        <v>2025</v>
      </c>
    </row>
    <row r="90" spans="5:10" ht="15.75" customHeight="1">
      <c r="E90" s="2"/>
      <c r="F90" s="146"/>
      <c r="H90" s="609">
        <v>11</v>
      </c>
      <c r="I90" s="611" t="s">
        <v>259</v>
      </c>
      <c r="J90" s="628">
        <v>2025</v>
      </c>
    </row>
    <row r="91" spans="5:10" ht="15.75" customHeight="1">
      <c r="E91" s="2"/>
      <c r="F91" s="146"/>
      <c r="H91" s="609">
        <v>12</v>
      </c>
      <c r="I91" s="611" t="s">
        <v>260</v>
      </c>
      <c r="J91" s="628">
        <v>2025</v>
      </c>
    </row>
    <row r="92" spans="5:10" ht="15.75" customHeight="1">
      <c r="E92" s="2"/>
      <c r="F92" s="146"/>
      <c r="H92" s="609">
        <v>13</v>
      </c>
      <c r="I92" s="611" t="s">
        <v>249</v>
      </c>
      <c r="J92" s="628">
        <v>2026</v>
      </c>
    </row>
    <row r="93" spans="5:10" ht="15.75" customHeight="1">
      <c r="E93" s="2"/>
      <c r="F93" s="146"/>
      <c r="H93" s="609">
        <v>14</v>
      </c>
      <c r="I93" s="611" t="s">
        <v>250</v>
      </c>
      <c r="J93" s="628">
        <v>2026</v>
      </c>
    </row>
    <row r="94" spans="5:10" ht="15.75" customHeight="1">
      <c r="E94" s="2"/>
      <c r="F94" s="146"/>
      <c r="H94" s="609">
        <v>15</v>
      </c>
      <c r="I94" s="611" t="s">
        <v>251</v>
      </c>
      <c r="J94" s="628">
        <v>2026</v>
      </c>
    </row>
    <row r="95" spans="5:10" ht="15.75" customHeight="1">
      <c r="E95" s="2"/>
      <c r="F95" s="146"/>
      <c r="H95" s="609">
        <v>16</v>
      </c>
      <c r="I95" s="611" t="s">
        <v>252</v>
      </c>
      <c r="J95" s="628">
        <v>2026</v>
      </c>
    </row>
    <row r="96" spans="5:10" ht="15.75" customHeight="1">
      <c r="E96" s="2"/>
      <c r="F96" s="146"/>
      <c r="H96" s="609">
        <v>17</v>
      </c>
      <c r="I96" s="611" t="s">
        <v>253</v>
      </c>
      <c r="J96" s="628">
        <v>2026</v>
      </c>
    </row>
    <row r="97" spans="5:10" ht="15.75" customHeight="1">
      <c r="E97" s="2"/>
      <c r="F97" s="146"/>
      <c r="H97" s="609">
        <v>18</v>
      </c>
      <c r="I97" s="611" t="s">
        <v>254</v>
      </c>
      <c r="J97" s="628">
        <v>2026</v>
      </c>
    </row>
    <row r="98" spans="5:10" ht="15.75" customHeight="1">
      <c r="E98" s="2"/>
      <c r="F98" s="146"/>
      <c r="H98" s="609">
        <v>19</v>
      </c>
      <c r="I98" s="611" t="s">
        <v>255</v>
      </c>
      <c r="J98" s="628">
        <v>2026</v>
      </c>
    </row>
    <row r="99" spans="5:10" ht="15.75" customHeight="1">
      <c r="E99" s="2"/>
      <c r="F99" s="146"/>
      <c r="H99" s="609">
        <v>20</v>
      </c>
      <c r="I99" s="611" t="s">
        <v>256</v>
      </c>
      <c r="J99" s="628">
        <v>2026</v>
      </c>
    </row>
    <row r="100" spans="5:10" ht="15.75" customHeight="1">
      <c r="E100" s="2"/>
      <c r="F100" s="146"/>
      <c r="H100" s="609">
        <v>21</v>
      </c>
      <c r="I100" s="611" t="s">
        <v>257</v>
      </c>
      <c r="J100" s="628">
        <v>2026</v>
      </c>
    </row>
    <row r="101" spans="5:10" ht="15.75" customHeight="1">
      <c r="E101" s="2"/>
      <c r="F101" s="146"/>
      <c r="H101" s="609">
        <v>22</v>
      </c>
      <c r="I101" s="611" t="s">
        <v>258</v>
      </c>
      <c r="J101" s="628">
        <v>2026</v>
      </c>
    </row>
    <row r="102" spans="5:10" ht="15.75" customHeight="1">
      <c r="E102" s="2"/>
      <c r="F102" s="146"/>
      <c r="H102" s="609">
        <v>23</v>
      </c>
      <c r="I102" s="611" t="s">
        <v>259</v>
      </c>
      <c r="J102" s="628">
        <v>2026</v>
      </c>
    </row>
    <row r="103" spans="5:10" ht="15.75" customHeight="1" thickBot="1">
      <c r="E103" s="2"/>
      <c r="F103" s="146"/>
      <c r="G103" s="630"/>
      <c r="H103" s="609">
        <v>24</v>
      </c>
      <c r="I103" s="631" t="s">
        <v>260</v>
      </c>
      <c r="J103" s="628">
        <v>2026</v>
      </c>
    </row>
    <row r="104" spans="5:10" ht="15.75" customHeight="1">
      <c r="E104" s="2"/>
      <c r="F104" s="146"/>
      <c r="G104" s="609"/>
      <c r="H104" s="609">
        <v>25</v>
      </c>
      <c r="I104" s="611" t="s">
        <v>249</v>
      </c>
      <c r="J104" s="628">
        <v>2027</v>
      </c>
    </row>
    <row r="105" spans="5:10" ht="15.75" customHeight="1">
      <c r="E105" s="2"/>
      <c r="F105" s="146"/>
      <c r="G105" s="609"/>
      <c r="H105" s="609">
        <v>26</v>
      </c>
      <c r="I105" s="611" t="s">
        <v>250</v>
      </c>
      <c r="J105" s="628">
        <v>2027</v>
      </c>
    </row>
    <row r="106" spans="5:10" ht="15.75" customHeight="1">
      <c r="E106" s="2"/>
      <c r="F106" s="146"/>
      <c r="G106" s="609"/>
      <c r="H106" s="609">
        <v>27</v>
      </c>
      <c r="I106" s="611" t="s">
        <v>251</v>
      </c>
      <c r="J106" s="628">
        <v>2027</v>
      </c>
    </row>
    <row r="107" spans="5:10" ht="15.75" customHeight="1">
      <c r="E107" s="2"/>
      <c r="F107" s="146"/>
      <c r="G107" s="609"/>
      <c r="H107" s="609">
        <v>28</v>
      </c>
      <c r="I107" s="611" t="s">
        <v>252</v>
      </c>
      <c r="J107" s="628">
        <v>2027</v>
      </c>
    </row>
    <row r="108" spans="5:10" ht="15.75" customHeight="1">
      <c r="E108" s="2"/>
      <c r="F108" s="146"/>
      <c r="G108" s="609"/>
      <c r="H108" s="609">
        <v>29</v>
      </c>
      <c r="I108" s="611" t="s">
        <v>253</v>
      </c>
      <c r="J108" s="628">
        <v>2027</v>
      </c>
    </row>
    <row r="109" spans="5:10" ht="15.75" customHeight="1">
      <c r="E109" s="2"/>
      <c r="F109" s="146"/>
      <c r="G109" s="609"/>
      <c r="H109" s="609">
        <v>30</v>
      </c>
      <c r="I109" s="611" t="s">
        <v>254</v>
      </c>
      <c r="J109" s="628">
        <v>2027</v>
      </c>
    </row>
    <row r="110" spans="5:10" ht="15.75" customHeight="1">
      <c r="E110" s="2"/>
      <c r="F110" s="146"/>
      <c r="G110" s="609"/>
      <c r="H110" s="609">
        <v>31</v>
      </c>
      <c r="I110" s="611" t="s">
        <v>255</v>
      </c>
      <c r="J110" s="628">
        <v>2027</v>
      </c>
    </row>
    <row r="111" spans="5:10" ht="15.75" customHeight="1">
      <c r="E111" s="2"/>
      <c r="F111" s="146"/>
      <c r="G111" s="609"/>
      <c r="H111" s="609">
        <v>32</v>
      </c>
      <c r="I111" s="611" t="s">
        <v>256</v>
      </c>
      <c r="J111" s="628">
        <v>2027</v>
      </c>
    </row>
    <row r="112" spans="5:10" ht="15.75" customHeight="1">
      <c r="E112" s="2"/>
      <c r="F112" s="146"/>
      <c r="G112" s="609"/>
      <c r="H112" s="609">
        <v>33</v>
      </c>
      <c r="I112" s="611" t="s">
        <v>257</v>
      </c>
      <c r="J112" s="628">
        <v>2027</v>
      </c>
    </row>
  </sheetData>
  <conditionalFormatting sqref="AJ2:AJ139 AL2:AL139 AN2:AN139 AP2:AP139 AR2:AR139 AT2:AT139 AV2:AV139 AX2:AX139 AZ2:AZ139 BB2:BB139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K6" r:id="rId1" xr:uid="{2D2DEB82-0C0F-4FA1-86AD-B6DB372B70F1}"/>
    <hyperlink ref="G13" r:id="rId2" xr:uid="{AF193565-D2EA-4FD9-964F-D4EDB0767534}"/>
    <hyperlink ref="I13" r:id="rId3" xr:uid="{05250DC7-B5EA-4E72-8ADB-9560BDACA138}"/>
    <hyperlink ref="G15" r:id="rId4" xr:uid="{62D3057E-14BB-43BA-93AB-3A57C094D682}"/>
    <hyperlink ref="I15" r:id="rId5" xr:uid="{BDB1743A-2A03-4C36-BA8A-114660B6D9CA}"/>
    <hyperlink ref="G29" r:id="rId6" xr:uid="{5358D230-F4EC-4308-BBCB-3028AEBF32E2}"/>
    <hyperlink ref="I29" r:id="rId7" xr:uid="{4D75354D-A271-45E6-86FA-117FF613CCE7}"/>
    <hyperlink ref="G30" r:id="rId8" xr:uid="{C000E0A4-28BE-404F-9F69-42E65273ED25}"/>
    <hyperlink ref="I30" r:id="rId9" xr:uid="{1E4A3782-2DE3-4D2A-8931-744B52028D30}"/>
    <hyperlink ref="G32" r:id="rId10" xr:uid="{916110C4-3C37-486E-8BC9-217B762D9372}"/>
    <hyperlink ref="I32" r:id="rId11" xr:uid="{CFBEEC6B-37DE-46AD-9689-95CC41A5B0D3}"/>
    <hyperlink ref="G34" r:id="rId12" xr:uid="{B09F682D-D899-4096-8C8E-9514E2E26C81}"/>
    <hyperlink ref="I34" r:id="rId13" xr:uid="{655F98BB-AEB5-41B9-B9E4-F9081E8845A0}"/>
    <hyperlink ref="G50" r:id="rId14" xr:uid="{C36B2175-1B64-416E-A69A-B9B4299FFE4C}"/>
    <hyperlink ref="I50" r:id="rId15" xr:uid="{F5122E92-F839-4733-B936-2F9D7AE503E6}"/>
    <hyperlink ref="G2" r:id="rId16" xr:uid="{B7B244CC-D6C7-4277-BE31-DBD54B284CE0}"/>
  </hyperlinks>
  <pageMargins left="0.7" right="0.7" top="0.75" bottom="0.75" header="0.3" footer="0.3"/>
  <pageSetup paperSize="9" orientation="portrait" useFirstPageNumber="1" horizontalDpi="4294967295" verticalDpi="4294967295"/>
  <legacyDrawing r:id="rId17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CT7"/>
  <sheetViews>
    <sheetView zoomScaleNormal="100" workbookViewId="0">
      <pane xSplit="2" ySplit="1" topLeftCell="C2" activePane="bottomRight" state="frozen"/>
      <selection activeCell="U4" sqref="U4"/>
      <selection pane="topRight" activeCell="U4" sqref="U4"/>
      <selection pane="bottomLeft" activeCell="U4" sqref="U4"/>
      <selection pane="bottomRight" activeCell="C4" sqref="C4"/>
    </sheetView>
  </sheetViews>
  <sheetFormatPr defaultRowHeight="14.25" customHeight="1"/>
  <cols>
    <col min="1" max="1" width="9.140625" style="15" customWidth="1"/>
    <col min="2" max="2" width="43.28515625" style="15" customWidth="1"/>
    <col min="3" max="3" width="193.5703125" style="15" customWidth="1"/>
    <col min="4" max="6" width="9.140625" style="15" customWidth="1"/>
    <col min="7" max="7" width="11" style="15" customWidth="1"/>
    <col min="8" max="8" width="9.140625" style="15" customWidth="1"/>
    <col min="9" max="9" width="20.42578125" style="15" customWidth="1"/>
    <col min="10" max="10" width="18.140625" style="15" customWidth="1"/>
    <col min="11" max="11" width="16.85546875" style="15" customWidth="1"/>
    <col min="12" max="12" width="9.140625" style="15" customWidth="1"/>
    <col min="13" max="13" width="11" style="15" customWidth="1"/>
    <col min="14" max="14" width="9.140625" style="15" customWidth="1"/>
    <col min="15" max="15" width="33.140625" style="15" customWidth="1"/>
    <col min="16" max="16" width="9.140625" style="15" customWidth="1"/>
    <col min="17" max="17" width="18.42578125" style="15" customWidth="1"/>
    <col min="18" max="18" width="9.140625" style="15" customWidth="1"/>
    <col min="19" max="19" width="13.5703125" style="15" customWidth="1"/>
    <col min="20" max="24" width="9.140625" style="15" customWidth="1"/>
    <col min="25" max="33" width="0.140625" style="15" customWidth="1"/>
    <col min="34" max="34" width="14.42578125" style="15" customWidth="1"/>
    <col min="35" max="35" width="9.7109375" style="15" customWidth="1"/>
    <col min="36" max="36" width="9.7109375" style="12" customWidth="1"/>
    <col min="37" max="37" width="9.7109375" style="15" customWidth="1"/>
    <col min="38" max="38" width="9.7109375" style="12" customWidth="1"/>
    <col min="39" max="39" width="9.7109375" style="15" customWidth="1"/>
    <col min="40" max="40" width="9.7109375" style="12" customWidth="1"/>
    <col min="41" max="41" width="9.7109375" style="15" customWidth="1"/>
    <col min="42" max="42" width="9.7109375" style="12" customWidth="1"/>
    <col min="43" max="43" width="9.7109375" style="15" customWidth="1"/>
    <col min="44" max="44" width="9.7109375" style="12" customWidth="1"/>
    <col min="45" max="45" width="30" style="15" customWidth="1"/>
    <col min="46" max="46" width="9.7109375" style="12" customWidth="1"/>
    <col min="47" max="47" width="30" style="15" customWidth="1"/>
    <col min="48" max="48" width="9.7109375" style="12" customWidth="1"/>
    <col min="49" max="49" width="30" style="15" customWidth="1"/>
    <col min="50" max="50" width="9.7109375" style="12" customWidth="1"/>
    <col min="51" max="51" width="20" style="15" customWidth="1"/>
    <col min="52" max="52" width="9.7109375" style="12" customWidth="1"/>
    <col min="53" max="53" width="20" style="15" customWidth="1"/>
    <col min="54" max="54" width="50" style="15" customWidth="1"/>
    <col min="55" max="55" width="20" style="15" customWidth="1"/>
    <col min="56" max="56" width="50" style="15" customWidth="1"/>
    <col min="57" max="57" width="20" style="15" customWidth="1"/>
    <col min="58" max="58" width="50" style="15" customWidth="1"/>
    <col min="59" max="59" width="20" style="15" customWidth="1"/>
    <col min="60" max="60" width="50" style="15" customWidth="1"/>
    <col min="61" max="61" width="20" style="15" customWidth="1"/>
    <col min="62" max="62" width="50" style="15" customWidth="1"/>
    <col min="63" max="63" width="20" style="15" customWidth="1"/>
    <col min="64" max="64" width="50" style="15" customWidth="1"/>
    <col min="65" max="65" width="20" style="15" customWidth="1"/>
    <col min="66" max="66" width="50" style="15" customWidth="1"/>
    <col min="67" max="67" width="20" style="15" customWidth="1"/>
    <col min="68" max="68" width="50" style="15" customWidth="1"/>
    <col min="69" max="69" width="20" style="15" customWidth="1"/>
    <col min="70" max="70" width="50" style="15" customWidth="1"/>
    <col min="71" max="71" width="20" style="15" customWidth="1"/>
    <col min="72" max="72" width="50" style="15" customWidth="1"/>
    <col min="73" max="73" width="20" style="15" customWidth="1"/>
    <col min="74" max="74" width="50" style="15" customWidth="1"/>
    <col min="75" max="75" width="20" style="15" customWidth="1"/>
    <col min="76" max="76" width="50" style="15" customWidth="1"/>
    <col min="77" max="77" width="20" style="15" customWidth="1"/>
    <col min="78" max="78" width="50" style="15" customWidth="1"/>
    <col min="79" max="79" width="20" style="15" customWidth="1"/>
    <col min="80" max="80" width="50" style="15" customWidth="1"/>
    <col min="81" max="81" width="20" style="15" customWidth="1"/>
    <col min="82" max="82" width="50" style="15" customWidth="1"/>
    <col min="83" max="83" width="20" style="15" customWidth="1"/>
    <col min="84" max="84" width="50" style="15" customWidth="1"/>
    <col min="85" max="85" width="20" style="15" customWidth="1"/>
    <col min="86" max="86" width="50" style="15" customWidth="1"/>
    <col min="87" max="87" width="20" style="15" customWidth="1"/>
    <col min="88" max="88" width="50" style="15" customWidth="1"/>
    <col min="89" max="89" width="20" style="15" customWidth="1"/>
    <col min="90" max="90" width="50" style="15" customWidth="1"/>
    <col min="91" max="91" width="20" style="15" customWidth="1"/>
    <col min="92" max="92" width="50" style="15" customWidth="1"/>
    <col min="93" max="93" width="20" style="15" customWidth="1"/>
    <col min="94" max="94" width="50" style="15" customWidth="1"/>
    <col min="95" max="95" width="20" style="15" customWidth="1"/>
    <col min="96" max="96" width="50" style="15" customWidth="1"/>
    <col min="97" max="97" width="20" style="15" customWidth="1"/>
    <col min="98" max="98" width="50" style="15" customWidth="1"/>
    <col min="99" max="16384" width="9.140625" style="15"/>
  </cols>
  <sheetData>
    <row r="1" spans="1:98" s="10" customFormat="1" ht="18.75" customHeight="1">
      <c r="A1" s="5" t="s">
        <v>0</v>
      </c>
      <c r="B1" s="39" t="s">
        <v>1</v>
      </c>
      <c r="C1" s="39" t="s">
        <v>2</v>
      </c>
      <c r="D1" s="39" t="s">
        <v>3</v>
      </c>
      <c r="E1" s="259"/>
      <c r="F1" s="254" t="s">
        <v>4</v>
      </c>
      <c r="G1" s="2558">
        <f>3*60*1000*SpeedFaktor</f>
        <v>180000</v>
      </c>
      <c r="H1" s="2">
        <v>10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5</v>
      </c>
      <c r="AI1" s="2" t="s">
        <v>489</v>
      </c>
      <c r="AJ1" s="24" t="s">
        <v>8</v>
      </c>
      <c r="AK1" s="2" t="s">
        <v>282</v>
      </c>
      <c r="AL1" s="24" t="s">
        <v>8</v>
      </c>
      <c r="AM1" s="2" t="s">
        <v>11</v>
      </c>
      <c r="AN1" s="24" t="s">
        <v>8</v>
      </c>
      <c r="AO1" s="2" t="s">
        <v>12</v>
      </c>
      <c r="AP1" s="24" t="s">
        <v>8</v>
      </c>
      <c r="AQ1" s="2" t="s">
        <v>13</v>
      </c>
      <c r="AR1" s="24" t="s">
        <v>8</v>
      </c>
      <c r="AS1" s="10" t="s">
        <v>17</v>
      </c>
      <c r="AT1" s="24" t="s">
        <v>8</v>
      </c>
      <c r="AU1" s="10" t="s">
        <v>1285</v>
      </c>
      <c r="AV1" s="24" t="s">
        <v>8</v>
      </c>
      <c r="AW1" s="10" t="s">
        <v>1286</v>
      </c>
      <c r="AX1" s="24" t="s">
        <v>8</v>
      </c>
      <c r="AY1" s="510" t="s">
        <v>1303</v>
      </c>
      <c r="AZ1" s="24" t="s">
        <v>8</v>
      </c>
      <c r="BA1" s="806" t="s">
        <v>1311</v>
      </c>
      <c r="BB1" s="807" t="s">
        <v>572</v>
      </c>
      <c r="BC1" s="932" t="s">
        <v>1318</v>
      </c>
      <c r="BD1" s="933" t="s">
        <v>572</v>
      </c>
      <c r="BE1" s="1057" t="s">
        <v>1322</v>
      </c>
      <c r="BF1" s="1058" t="s">
        <v>572</v>
      </c>
      <c r="BG1" s="1079" t="s">
        <v>1324</v>
      </c>
      <c r="BH1" s="1080" t="s">
        <v>572</v>
      </c>
      <c r="BI1" s="1247" t="s">
        <v>1336</v>
      </c>
      <c r="BJ1" s="1248" t="s">
        <v>572</v>
      </c>
      <c r="BK1" s="1253" t="s">
        <v>1339</v>
      </c>
      <c r="BL1" s="1254" t="s">
        <v>572</v>
      </c>
      <c r="BM1" s="1280" t="s">
        <v>1341</v>
      </c>
      <c r="BN1" s="1281" t="s">
        <v>572</v>
      </c>
      <c r="BO1" s="1470" t="s">
        <v>1353</v>
      </c>
      <c r="BP1" s="1471" t="s">
        <v>572</v>
      </c>
      <c r="BQ1" s="1476" t="s">
        <v>1356</v>
      </c>
      <c r="BR1" s="1477" t="s">
        <v>572</v>
      </c>
      <c r="BS1" s="1524" t="s">
        <v>1363</v>
      </c>
      <c r="BT1" s="1525" t="s">
        <v>572</v>
      </c>
      <c r="BU1" s="1670" t="s">
        <v>1368</v>
      </c>
      <c r="BV1" s="1671" t="s">
        <v>572</v>
      </c>
      <c r="BW1" s="1811" t="s">
        <v>1371</v>
      </c>
      <c r="BX1" s="1812" t="s">
        <v>572</v>
      </c>
      <c r="BY1" s="2081" t="s">
        <v>1397</v>
      </c>
      <c r="BZ1" s="2082" t="s">
        <v>572</v>
      </c>
      <c r="CA1" s="2271" t="s">
        <v>1421</v>
      </c>
      <c r="CB1" s="2272" t="s">
        <v>572</v>
      </c>
      <c r="CC1" s="2434" t="s">
        <v>1434</v>
      </c>
      <c r="CD1" s="2435" t="s">
        <v>572</v>
      </c>
      <c r="CE1" s="2593" t="s">
        <v>1442</v>
      </c>
      <c r="CF1" s="2594" t="s">
        <v>572</v>
      </c>
      <c r="CG1" s="2780" t="s">
        <v>1460</v>
      </c>
      <c r="CH1" s="2781" t="s">
        <v>572</v>
      </c>
      <c r="CI1" s="2960" t="s">
        <v>1472</v>
      </c>
      <c r="CJ1" s="2961" t="s">
        <v>572</v>
      </c>
      <c r="CK1" s="3148" t="s">
        <v>1492</v>
      </c>
      <c r="CL1" s="3149" t="s">
        <v>572</v>
      </c>
      <c r="CM1" s="3326" t="s">
        <v>1503</v>
      </c>
      <c r="CN1" s="3327" t="s">
        <v>572</v>
      </c>
      <c r="CO1" s="3504" t="s">
        <v>1519</v>
      </c>
      <c r="CP1" s="3505" t="s">
        <v>572</v>
      </c>
      <c r="CQ1" s="3792" t="s">
        <v>1666</v>
      </c>
      <c r="CR1" s="3793" t="s">
        <v>572</v>
      </c>
      <c r="CS1" s="4015" t="s">
        <v>1717</v>
      </c>
      <c r="CT1" s="4016" t="s">
        <v>572</v>
      </c>
    </row>
    <row r="2" spans="1:98" s="10" customFormat="1" ht="18.75" customHeight="1">
      <c r="A2" s="1">
        <v>1</v>
      </c>
      <c r="B2" s="2" t="s">
        <v>21</v>
      </c>
      <c r="C2" s="51" t="str">
        <f>'001a'!B59</f>
        <v>{"url":p.aventisURL}</v>
      </c>
      <c r="D2" s="2"/>
      <c r="E2" s="209"/>
      <c r="F2" s="254"/>
      <c r="G2" s="2" t="s">
        <v>603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676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1748</v>
      </c>
      <c r="AJ2" s="156">
        <f>AI2/($AI2)</f>
        <v>1</v>
      </c>
      <c r="AK2" s="2">
        <v>1574</v>
      </c>
      <c r="AL2" s="156">
        <f>AK2/($AI2)</f>
        <v>0.9004576659038902</v>
      </c>
      <c r="AM2" s="2">
        <v>1879</v>
      </c>
      <c r="AN2" s="156">
        <f>AM2/($AI2)</f>
        <v>1.0749427917620138</v>
      </c>
      <c r="AO2" s="2">
        <v>1406</v>
      </c>
      <c r="AP2" s="156">
        <f>AO2/($AI2)</f>
        <v>0.80434782608695654</v>
      </c>
      <c r="AQ2" s="2">
        <v>1537</v>
      </c>
      <c r="AR2" s="156">
        <f>AQ2/($AI2)</f>
        <v>0.87929061784897022</v>
      </c>
      <c r="AS2" s="2">
        <v>1135</v>
      </c>
      <c r="AT2" s="156">
        <f>AS2/($AI2)</f>
        <v>0.64931350114416475</v>
      </c>
      <c r="AU2" s="2">
        <v>1283</v>
      </c>
      <c r="AV2" s="156">
        <f>AU2/($AI2)</f>
        <v>0.73398169336384445</v>
      </c>
      <c r="AW2" s="2">
        <v>568</v>
      </c>
      <c r="AX2" s="156">
        <f>AW2/($AI2)</f>
        <v>0.32494279176201374</v>
      </c>
      <c r="AY2" s="10">
        <v>1229</v>
      </c>
      <c r="AZ2" s="156">
        <f>AY2/($AI2)</f>
        <v>0.70308924485125857</v>
      </c>
      <c r="BA2" s="10">
        <v>1490</v>
      </c>
      <c r="BC2" s="10">
        <v>1403</v>
      </c>
      <c r="BE2" s="10">
        <v>1718</v>
      </c>
      <c r="BG2" s="10">
        <v>1230</v>
      </c>
      <c r="BI2" s="10">
        <v>922</v>
      </c>
      <c r="BK2" s="10">
        <v>809</v>
      </c>
      <c r="BM2" s="10">
        <v>1147</v>
      </c>
      <c r="BO2" s="10">
        <v>891</v>
      </c>
      <c r="BQ2" s="10">
        <v>1263</v>
      </c>
      <c r="BS2" s="10">
        <v>1203</v>
      </c>
      <c r="BU2" s="10">
        <v>1114</v>
      </c>
      <c r="BW2" s="10">
        <v>1165</v>
      </c>
      <c r="BY2" s="10">
        <v>1861</v>
      </c>
      <c r="CA2" s="10">
        <v>1677</v>
      </c>
      <c r="CC2" s="10">
        <v>1233</v>
      </c>
      <c r="CE2" s="10">
        <v>1255</v>
      </c>
      <c r="CG2" s="10">
        <v>1358</v>
      </c>
      <c r="CI2" s="10">
        <v>1667</v>
      </c>
      <c r="CK2" s="10">
        <v>1119</v>
      </c>
      <c r="CM2" s="10">
        <v>1188</v>
      </c>
      <c r="CO2" s="10">
        <v>1156</v>
      </c>
      <c r="CQ2" s="10">
        <v>1014</v>
      </c>
      <c r="CS2" s="10">
        <v>559</v>
      </c>
      <c r="CT2" s="10" t="s">
        <v>1718</v>
      </c>
    </row>
    <row r="3" spans="1:98" s="10" customFormat="1" ht="18" customHeight="1" thickBot="1">
      <c r="A3" s="1">
        <v>2</v>
      </c>
      <c r="B3" s="2" t="s">
        <v>25</v>
      </c>
      <c r="C3" s="2" t="s">
        <v>586</v>
      </c>
      <c r="D3" s="2"/>
      <c r="E3" s="209"/>
      <c r="F3" s="25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677" t="s">
        <v>1456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9684</v>
      </c>
      <c r="AJ3" s="156">
        <f t="shared" ref="AJ3:AZ4" si="0">AI3/($AI3)</f>
        <v>1</v>
      </c>
      <c r="AK3" s="2">
        <v>8396</v>
      </c>
      <c r="AL3" s="156">
        <f t="shared" si="0"/>
        <v>0.86699710863279633</v>
      </c>
      <c r="AM3" s="2">
        <v>9183</v>
      </c>
      <c r="AN3" s="156">
        <f t="shared" si="0"/>
        <v>0.94826517967781909</v>
      </c>
      <c r="AO3" s="2">
        <v>8687</v>
      </c>
      <c r="AP3" s="156">
        <f t="shared" si="0"/>
        <v>0.89704667492771584</v>
      </c>
      <c r="AQ3" s="2">
        <v>9806</v>
      </c>
      <c r="AR3" s="156">
        <f t="shared" si="0"/>
        <v>1.0125980999586948</v>
      </c>
      <c r="AS3" s="2">
        <v>7450</v>
      </c>
      <c r="AT3" s="156">
        <f t="shared" si="0"/>
        <v>0.76931020239570425</v>
      </c>
      <c r="AU3" s="2">
        <v>7785</v>
      </c>
      <c r="AV3" s="156">
        <f t="shared" si="0"/>
        <v>0.80390334572490707</v>
      </c>
      <c r="AW3" s="2">
        <v>4659</v>
      </c>
      <c r="AX3" s="156">
        <f t="shared" si="0"/>
        <v>0.48110285006195785</v>
      </c>
      <c r="AY3" s="10">
        <v>7077</v>
      </c>
      <c r="AZ3" s="156">
        <f t="shared" si="0"/>
        <v>0.73079306071871131</v>
      </c>
      <c r="BA3" s="10">
        <v>8416</v>
      </c>
      <c r="BC3" s="10">
        <v>6899</v>
      </c>
      <c r="BE3" s="10">
        <v>8209</v>
      </c>
      <c r="BG3" s="10">
        <v>7712</v>
      </c>
      <c r="BI3" s="10">
        <v>7799</v>
      </c>
      <c r="BK3" s="1255">
        <v>0</v>
      </c>
      <c r="BL3" s="1256" t="s">
        <v>1340</v>
      </c>
      <c r="BM3" s="10">
        <v>6719</v>
      </c>
      <c r="BO3" s="10">
        <v>5603</v>
      </c>
      <c r="BQ3" s="10">
        <v>7714</v>
      </c>
      <c r="BS3" s="10">
        <v>8027</v>
      </c>
      <c r="BU3" s="10">
        <v>8963</v>
      </c>
      <c r="BW3" s="10">
        <v>7453</v>
      </c>
      <c r="BY3" s="10">
        <v>7138</v>
      </c>
      <c r="CA3" s="10">
        <v>6911</v>
      </c>
      <c r="CC3" s="10">
        <v>7300</v>
      </c>
      <c r="CE3" s="10">
        <v>7423</v>
      </c>
      <c r="CG3" s="10">
        <v>9485</v>
      </c>
      <c r="CI3" s="10">
        <v>8266</v>
      </c>
      <c r="CK3" s="10">
        <v>9238</v>
      </c>
      <c r="CM3" s="10">
        <v>8539</v>
      </c>
      <c r="CO3" s="10">
        <v>8202</v>
      </c>
      <c r="CQ3" s="10">
        <v>8668</v>
      </c>
      <c r="CS3" s="10">
        <v>7026</v>
      </c>
      <c r="CT3" s="10" t="s">
        <v>1718</v>
      </c>
    </row>
    <row r="4" spans="1:98" s="53" customFormat="1" ht="33" customHeight="1" thickBot="1">
      <c r="A4" s="21">
        <v>3</v>
      </c>
      <c r="B4" s="260" t="s">
        <v>604</v>
      </c>
      <c r="C4" s="261" t="str">
        <f ca="1">E4</f>
        <v>{"bisDatum":"05.11.2025","dossier":p.DossierName12,"zustGemeinde":"Münchenbuchsee","buDate":"","buText":"GBL, Wohnkosten","IBAN":p.IBAN12,"sumBetrag":" CHF 898.60"}</v>
      </c>
      <c r="D4" s="24" t="s">
        <v>28</v>
      </c>
      <c r="E4" s="24" t="str">
        <f ca="1">F4&amp;G4&amp;H4&amp;I4&amp;J4&amp;K4&amp;L4&amp;M4&amp;N4&amp;O4&amp;P4&amp;Q4&amp;R4&amp;S4&amp;T4&amp;U4&amp;V4&amp;W4&amp;X4</f>
        <v>{"bisDatum":"05.11.2025","dossier":p.DossierName12,"zustGemeinde":"Münchenbuchsee","buDate":"","buText":"GBL, Wohnkosten","IBAN":p.IBAN12,"sumBetrag":" CHF 898.60"}</v>
      </c>
      <c r="F4" s="24" t="s">
        <v>605</v>
      </c>
      <c r="G4" s="615" t="str">
        <f ca="1">TEXT(TEXT(TODAY()+1,"DD")&amp;"."&amp;TEXT(TODAY()+1,"MM")&amp;"."&amp;TEXT(TODAY()+1,"YYYY"),"DD.MM.YYYY")</f>
        <v>05.11.2025</v>
      </c>
      <c r="H4" s="24" t="s">
        <v>224</v>
      </c>
      <c r="I4" s="24" t="str">
        <f>BC00!G14</f>
        <v>p.DossierName12</v>
      </c>
      <c r="J4" s="24" t="s">
        <v>606</v>
      </c>
      <c r="K4" s="611" t="s">
        <v>113</v>
      </c>
      <c r="L4" s="24" t="s">
        <v>607</v>
      </c>
      <c r="M4" s="262"/>
      <c r="N4" s="24" t="s">
        <v>608</v>
      </c>
      <c r="O4" s="15" t="s">
        <v>1453</v>
      </c>
      <c r="P4" s="24" t="s">
        <v>609</v>
      </c>
      <c r="Q4" s="24" t="s">
        <v>1349</v>
      </c>
      <c r="R4" s="24" t="s">
        <v>610</v>
      </c>
      <c r="S4" t="s">
        <v>1577</v>
      </c>
      <c r="T4" s="24" t="s">
        <v>37</v>
      </c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>
        <v>4012</v>
      </c>
      <c r="AJ4" s="156">
        <f t="shared" si="0"/>
        <v>1</v>
      </c>
      <c r="AK4" s="24">
        <v>4015</v>
      </c>
      <c r="AL4" s="156">
        <f t="shared" si="0"/>
        <v>1.0007477567298106</v>
      </c>
      <c r="AM4" s="24">
        <v>9878</v>
      </c>
      <c r="AN4" s="156">
        <f t="shared" si="0"/>
        <v>2.4621136590229313</v>
      </c>
      <c r="AO4" s="24">
        <v>9687</v>
      </c>
      <c r="AP4" s="156">
        <f t="shared" si="0"/>
        <v>2.414506480558325</v>
      </c>
      <c r="AQ4" s="24">
        <v>10167</v>
      </c>
      <c r="AR4" s="156">
        <f t="shared" si="0"/>
        <v>2.5341475573280161</v>
      </c>
      <c r="AS4" s="2">
        <v>0</v>
      </c>
      <c r="AT4" s="156">
        <f t="shared" si="0"/>
        <v>0</v>
      </c>
      <c r="AU4" s="2">
        <v>0</v>
      </c>
      <c r="AV4" s="156">
        <f t="shared" si="0"/>
        <v>0</v>
      </c>
      <c r="AW4" s="2">
        <v>0</v>
      </c>
      <c r="AX4" s="156">
        <f t="shared" si="0"/>
        <v>0</v>
      </c>
      <c r="AY4" s="511">
        <v>0</v>
      </c>
      <c r="AZ4" s="156">
        <f t="shared" si="0"/>
        <v>0</v>
      </c>
      <c r="BA4" s="808">
        <v>0</v>
      </c>
      <c r="BB4" s="809" t="s">
        <v>1312</v>
      </c>
      <c r="BC4" s="934">
        <v>0</v>
      </c>
      <c r="BD4" s="935" t="s">
        <v>1319</v>
      </c>
      <c r="BE4" s="1059">
        <v>0</v>
      </c>
      <c r="BF4" s="1060" t="s">
        <v>1323</v>
      </c>
      <c r="BG4" s="1081">
        <v>0</v>
      </c>
      <c r="BH4" s="1082" t="s">
        <v>1325</v>
      </c>
      <c r="BI4" s="1249">
        <v>0</v>
      </c>
      <c r="BJ4" s="1250" t="s">
        <v>1337</v>
      </c>
      <c r="BK4" s="53">
        <v>205</v>
      </c>
      <c r="BM4" s="1282">
        <v>0</v>
      </c>
      <c r="BN4" s="1283" t="s">
        <v>1343</v>
      </c>
      <c r="BO4" s="1472">
        <v>0</v>
      </c>
      <c r="BP4" s="1473" t="s">
        <v>1354</v>
      </c>
      <c r="BQ4" s="53">
        <v>4020</v>
      </c>
      <c r="BS4" s="53">
        <v>4152</v>
      </c>
      <c r="BU4" s="53">
        <v>4181</v>
      </c>
      <c r="BW4" s="53">
        <v>4343</v>
      </c>
      <c r="BY4" s="2083">
        <v>0</v>
      </c>
      <c r="BZ4" s="2084" t="s">
        <v>1404</v>
      </c>
      <c r="CA4" s="2273">
        <v>0</v>
      </c>
      <c r="CB4" s="2274" t="s">
        <v>1424</v>
      </c>
      <c r="CC4" s="2436">
        <v>0</v>
      </c>
      <c r="CD4" s="2437" t="s">
        <v>1435</v>
      </c>
      <c r="CE4" s="2595">
        <v>0</v>
      </c>
      <c r="CF4" s="2596" t="s">
        <v>1445</v>
      </c>
      <c r="CG4" s="53">
        <v>4426</v>
      </c>
      <c r="CI4" s="2962">
        <v>0</v>
      </c>
      <c r="CJ4" s="2963" t="s">
        <v>1481</v>
      </c>
      <c r="CK4" s="3150">
        <v>0</v>
      </c>
      <c r="CL4" s="3151" t="s">
        <v>1530</v>
      </c>
      <c r="CM4" s="53">
        <v>3706</v>
      </c>
      <c r="CO4" s="3506">
        <v>0</v>
      </c>
      <c r="CP4" s="3507" t="s">
        <v>1530</v>
      </c>
      <c r="CQ4" s="3794">
        <v>0</v>
      </c>
      <c r="CR4" s="3795" t="s">
        <v>1676</v>
      </c>
      <c r="CS4" s="4017">
        <v>0</v>
      </c>
      <c r="CT4" s="4018" t="s">
        <v>1728</v>
      </c>
    </row>
    <row r="5" spans="1:98" ht="14.25" customHeight="1">
      <c r="S5" s="397"/>
    </row>
    <row r="6" spans="1:98" ht="14.25" customHeight="1">
      <c r="S6" s="3678">
        <v>898.5</v>
      </c>
    </row>
    <row r="7" spans="1:98" ht="14.25" customHeight="1">
      <c r="S7" s="397"/>
    </row>
  </sheetData>
  <conditionalFormatting sqref="AJ2:AJ137 AL2:AL137 AN2:AN137 AP2:AP137 AR2:AR137 AT2:AT137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V2:AV137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X2:AX137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2:AZ137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CP16"/>
  <sheetViews>
    <sheetView zoomScaleNormal="100" workbookViewId="0">
      <pane xSplit="2" ySplit="1" topLeftCell="I2" activePane="bottomRight" state="frozen"/>
      <selection activeCell="U4" sqref="U4"/>
      <selection pane="topRight" activeCell="U4" sqref="U4"/>
      <selection pane="bottomLeft" activeCell="U4" sqref="U4"/>
      <selection pane="bottomRight" activeCell="U4" sqref="U4"/>
    </sheetView>
  </sheetViews>
  <sheetFormatPr defaultColWidth="9.140625" defaultRowHeight="14.25" customHeight="1"/>
  <cols>
    <col min="1" max="1" width="4.85546875" style="1" customWidth="1"/>
    <col min="2" max="2" width="44.140625" style="2" customWidth="1"/>
    <col min="3" max="3" width="110.710937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9" width="18.140625" style="2" customWidth="1"/>
    <col min="10" max="10" width="10.85546875" style="2" customWidth="1"/>
    <col min="11" max="11" width="18.140625" style="2" customWidth="1"/>
    <col min="12" max="12" width="9.140625" style="2" customWidth="1"/>
    <col min="13" max="13" width="10.7109375" style="2" customWidth="1"/>
    <col min="14" max="14" width="9.140625" style="2" customWidth="1"/>
    <col min="15" max="15" width="22.5703125" style="2" customWidth="1"/>
    <col min="16" max="16" width="13.5703125" style="2" customWidth="1"/>
    <col min="17" max="17" width="24.5703125" style="2" customWidth="1"/>
    <col min="18" max="19" width="9.140625" style="2" customWidth="1"/>
    <col min="20" max="20" width="18.7109375" style="2" customWidth="1"/>
    <col min="21" max="21" width="13.85546875" style="2" customWidth="1"/>
    <col min="22" max="34" width="9.140625" style="2" customWidth="1"/>
    <col min="35" max="36" width="9.85546875" style="2" customWidth="1"/>
    <col min="37" max="37" width="9.7109375" style="12" customWidth="1"/>
    <col min="38" max="38" width="9.42578125" style="2" customWidth="1"/>
    <col min="39" max="39" width="9.7109375" style="2" customWidth="1"/>
    <col min="40" max="40" width="9.7109375" style="12" customWidth="1"/>
    <col min="41" max="41" width="8.28515625" style="2" customWidth="1"/>
    <col min="42" max="42" width="8.28515625" style="12" customWidth="1"/>
    <col min="43" max="43" width="8.28515625" style="2" customWidth="1"/>
    <col min="44" max="44" width="8.28515625" style="12" customWidth="1"/>
    <col min="45" max="45" width="8.28515625" style="2" customWidth="1"/>
    <col min="46" max="46" width="8.28515625" style="12" customWidth="1"/>
    <col min="47" max="47" width="30" style="2" customWidth="1"/>
    <col min="48" max="48" width="8.28515625" style="12" customWidth="1"/>
    <col min="49" max="49" width="30" style="2" customWidth="1"/>
    <col min="50" max="50" width="8.28515625" style="12" customWidth="1"/>
    <col min="51" max="51" width="9.140625" style="2" customWidth="1"/>
    <col min="52" max="52" width="8.28515625" style="12" customWidth="1"/>
    <col min="53" max="53" width="30" style="2" customWidth="1"/>
    <col min="54" max="54" width="8.28515625" style="12" customWidth="1"/>
    <col min="55" max="55" width="10.28515625" style="2" customWidth="1"/>
    <col min="56" max="56" width="8.28515625" style="12" customWidth="1"/>
    <col min="57" max="57" width="20" style="2" customWidth="1"/>
    <col min="58" max="58" width="8.28515625" style="1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4*60*1000*SpeedFaktor</f>
        <v>240000</v>
      </c>
      <c r="H1" s="2">
        <v>10</v>
      </c>
      <c r="AH1" s="2" t="s">
        <v>5</v>
      </c>
      <c r="AI1" s="2" t="s">
        <v>489</v>
      </c>
      <c r="AJ1" s="2" t="s">
        <v>282</v>
      </c>
      <c r="AK1" s="24" t="s">
        <v>8</v>
      </c>
      <c r="AL1" s="2" t="s">
        <v>324</v>
      </c>
      <c r="AM1" s="2" t="s">
        <v>10</v>
      </c>
      <c r="AN1" s="24" t="s">
        <v>8</v>
      </c>
      <c r="AO1" s="2" t="s">
        <v>11</v>
      </c>
      <c r="AP1" s="24" t="s">
        <v>8</v>
      </c>
      <c r="AQ1" s="2" t="s">
        <v>12</v>
      </c>
      <c r="AR1" s="24" t="s">
        <v>8</v>
      </c>
      <c r="AS1" s="2" t="s">
        <v>13</v>
      </c>
      <c r="AT1" s="24" t="s">
        <v>8</v>
      </c>
      <c r="AU1" s="2" t="s">
        <v>65</v>
      </c>
      <c r="AV1" s="24" t="s">
        <v>8</v>
      </c>
      <c r="AW1" s="2" t="s">
        <v>15</v>
      </c>
      <c r="AX1" s="24" t="s">
        <v>8</v>
      </c>
      <c r="AY1" s="2" t="s">
        <v>17</v>
      </c>
      <c r="AZ1" s="24" t="s">
        <v>8</v>
      </c>
      <c r="BA1" s="2" t="s">
        <v>1285</v>
      </c>
      <c r="BB1" s="24" t="s">
        <v>8</v>
      </c>
      <c r="BC1" s="2" t="s">
        <v>1286</v>
      </c>
      <c r="BD1" s="24" t="s">
        <v>8</v>
      </c>
      <c r="BE1" s="512" t="s">
        <v>1303</v>
      </c>
      <c r="BF1" s="24" t="s">
        <v>8</v>
      </c>
      <c r="BG1" s="810" t="s">
        <v>1311</v>
      </c>
      <c r="BH1" s="811" t="s">
        <v>572</v>
      </c>
      <c r="BI1" s="936" t="s">
        <v>1318</v>
      </c>
      <c r="BJ1" s="937" t="s">
        <v>572</v>
      </c>
      <c r="BK1" s="1083" t="s">
        <v>1324</v>
      </c>
      <c r="BL1" s="1084" t="s">
        <v>572</v>
      </c>
      <c r="BM1" s="1284" t="s">
        <v>1341</v>
      </c>
      <c r="BN1" s="1285" t="s">
        <v>572</v>
      </c>
      <c r="BO1" s="1526" t="s">
        <v>1363</v>
      </c>
      <c r="BP1" s="1527" t="s">
        <v>572</v>
      </c>
      <c r="BQ1" s="1672" t="s">
        <v>1368</v>
      </c>
      <c r="BR1" s="1673" t="s">
        <v>572</v>
      </c>
      <c r="BS1" s="1813" t="s">
        <v>1371</v>
      </c>
      <c r="BT1" s="1814" t="s">
        <v>572</v>
      </c>
      <c r="BU1" s="2085" t="s">
        <v>1397</v>
      </c>
      <c r="BV1" s="2086" t="s">
        <v>572</v>
      </c>
      <c r="BW1" s="2275" t="s">
        <v>1421</v>
      </c>
      <c r="BX1" s="2276" t="s">
        <v>572</v>
      </c>
      <c r="BY1" s="2438" t="s">
        <v>1434</v>
      </c>
      <c r="BZ1" s="2439" t="s">
        <v>572</v>
      </c>
      <c r="CA1" s="2597" t="s">
        <v>1442</v>
      </c>
      <c r="CB1" s="2598" t="s">
        <v>572</v>
      </c>
      <c r="CC1" s="2782" t="s">
        <v>1460</v>
      </c>
      <c r="CD1" s="2783" t="s">
        <v>572</v>
      </c>
      <c r="CE1" s="2964" t="s">
        <v>1472</v>
      </c>
      <c r="CF1" s="2965" t="s">
        <v>572</v>
      </c>
      <c r="CG1" s="3152" t="s">
        <v>1492</v>
      </c>
      <c r="CH1" s="3153" t="s">
        <v>572</v>
      </c>
      <c r="CI1" s="3328" t="s">
        <v>1503</v>
      </c>
      <c r="CJ1" s="3329" t="s">
        <v>572</v>
      </c>
      <c r="CK1" s="3508" t="s">
        <v>1519</v>
      </c>
      <c r="CL1" s="3509" t="s">
        <v>572</v>
      </c>
      <c r="CM1" s="3796" t="s">
        <v>1666</v>
      </c>
      <c r="CN1" s="3797" t="s">
        <v>572</v>
      </c>
      <c r="CO1" s="4019" t="s">
        <v>1717</v>
      </c>
      <c r="CP1" s="4020" t="s">
        <v>572</v>
      </c>
    </row>
    <row r="2" spans="1:94" s="10" customFormat="1" ht="14.25" customHeight="1">
      <c r="A2" s="1">
        <v>1</v>
      </c>
      <c r="B2" s="2" t="s">
        <v>21</v>
      </c>
      <c r="C2" s="11" t="str">
        <f>'001a'!B59</f>
        <v>{"url":p.aventisURL}</v>
      </c>
      <c r="D2" s="3669"/>
      <c r="E2" s="88"/>
      <c r="F2" s="3669"/>
      <c r="G2" s="3669"/>
      <c r="H2" s="3669"/>
      <c r="I2" s="3669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1660</v>
      </c>
      <c r="AJ2" s="2">
        <v>1670</v>
      </c>
      <c r="AK2" s="156">
        <f>AJ2/($AI2)</f>
        <v>1.0060240963855422</v>
      </c>
      <c r="AL2" s="2">
        <v>1463</v>
      </c>
      <c r="AM2" s="2">
        <v>1603</v>
      </c>
      <c r="AN2" s="156">
        <f>AM2/($AI2)</f>
        <v>0.96566265060240963</v>
      </c>
      <c r="AO2" s="2">
        <v>1694</v>
      </c>
      <c r="AP2" s="156">
        <f>AO2/($AI2)</f>
        <v>1.0204819277108435</v>
      </c>
      <c r="AQ2" s="2">
        <v>1723</v>
      </c>
      <c r="AR2" s="156">
        <f>AQ2/($AI2)</f>
        <v>1.0379518072289156</v>
      </c>
      <c r="AS2" s="2">
        <v>2160</v>
      </c>
      <c r="AT2" s="156">
        <f>AS2/($AI2)</f>
        <v>1.3012048192771084</v>
      </c>
      <c r="AU2" s="2">
        <v>1307</v>
      </c>
      <c r="AV2" s="156">
        <f>AU2/($AI2)</f>
        <v>0.78734939759036149</v>
      </c>
      <c r="AW2" s="2">
        <v>1834</v>
      </c>
      <c r="AX2" s="156">
        <f>AW2/($AI2)</f>
        <v>1.1048192771084338</v>
      </c>
      <c r="AY2" s="2">
        <v>1220</v>
      </c>
      <c r="AZ2" s="156">
        <f>AY2/($AI2)</f>
        <v>0.73493975903614461</v>
      </c>
      <c r="BA2" s="2">
        <v>1545</v>
      </c>
      <c r="BB2" s="156">
        <f>BA2/($AI2)</f>
        <v>0.93072289156626509</v>
      </c>
      <c r="BC2" s="2">
        <v>629</v>
      </c>
      <c r="BD2" s="156">
        <f>BC2/($AI2)</f>
        <v>0.37891566265060239</v>
      </c>
      <c r="BE2" s="10">
        <v>894</v>
      </c>
      <c r="BF2" s="156">
        <f>BE2/($AI2)</f>
        <v>0.53855421686746985</v>
      </c>
      <c r="BG2" s="10">
        <v>1443</v>
      </c>
      <c r="BI2" s="10">
        <v>1484</v>
      </c>
      <c r="BK2" s="10">
        <v>1065</v>
      </c>
      <c r="BM2" s="10">
        <v>933</v>
      </c>
      <c r="BO2" s="10">
        <v>1225</v>
      </c>
      <c r="BQ2" s="10">
        <v>1071</v>
      </c>
      <c r="BS2" s="10">
        <v>1215</v>
      </c>
      <c r="BU2" s="10">
        <v>1649</v>
      </c>
      <c r="BW2" s="10">
        <v>801</v>
      </c>
      <c r="BY2" s="10">
        <v>1722</v>
      </c>
      <c r="CA2" s="10">
        <v>869</v>
      </c>
      <c r="CC2" s="10">
        <v>1210</v>
      </c>
      <c r="CE2" s="10">
        <v>1646</v>
      </c>
      <c r="CG2" s="10">
        <v>879</v>
      </c>
      <c r="CI2" s="10">
        <v>1132</v>
      </c>
      <c r="CK2" s="10">
        <v>845</v>
      </c>
      <c r="CM2" s="10">
        <v>925</v>
      </c>
      <c r="CO2" s="10">
        <v>528</v>
      </c>
      <c r="CP2" s="10" t="s">
        <v>1718</v>
      </c>
    </row>
    <row r="3" spans="1:94" s="10" customFormat="1" ht="15" customHeight="1" thickBot="1">
      <c r="A3" s="1">
        <v>2</v>
      </c>
      <c r="B3" s="2" t="s">
        <v>25</v>
      </c>
      <c r="C3" s="2" t="s">
        <v>586</v>
      </c>
      <c r="D3" s="3669"/>
      <c r="E3" s="88"/>
      <c r="F3" s="88"/>
      <c r="G3" s="3669"/>
      <c r="H3" s="3669"/>
      <c r="I3" s="3669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11121</v>
      </c>
      <c r="AJ3" s="2">
        <v>10088</v>
      </c>
      <c r="AK3" s="156">
        <f t="shared" ref="AK3:AK6" si="0">AJ3/($AI3)</f>
        <v>0.90711266972394566</v>
      </c>
      <c r="AL3" s="2">
        <v>9858</v>
      </c>
      <c r="AM3" s="2">
        <v>11196</v>
      </c>
      <c r="AN3" s="156">
        <f t="shared" ref="AN3:BF6" si="1">AM3/($AI3)</f>
        <v>1.0067439978419206</v>
      </c>
      <c r="AO3" s="2">
        <v>9510</v>
      </c>
      <c r="AP3" s="156">
        <f t="shared" si="1"/>
        <v>0.85513892635554356</v>
      </c>
      <c r="AQ3" s="2">
        <v>9158</v>
      </c>
      <c r="AR3" s="156">
        <f t="shared" si="1"/>
        <v>0.8234870964841291</v>
      </c>
      <c r="AS3" s="2">
        <v>10160</v>
      </c>
      <c r="AT3" s="156">
        <f t="shared" si="1"/>
        <v>0.91358690765218953</v>
      </c>
      <c r="AU3" s="2">
        <v>10502</v>
      </c>
      <c r="AV3" s="156">
        <f t="shared" si="1"/>
        <v>0.94433953781134794</v>
      </c>
      <c r="AW3" s="2">
        <v>9545</v>
      </c>
      <c r="AX3" s="156">
        <f t="shared" si="1"/>
        <v>0.85828612534843984</v>
      </c>
      <c r="AY3" s="2">
        <v>7734</v>
      </c>
      <c r="AZ3" s="156">
        <f t="shared" si="1"/>
        <v>0.69544105745886164</v>
      </c>
      <c r="BA3" s="2">
        <v>8501</v>
      </c>
      <c r="BB3" s="156">
        <f t="shared" si="1"/>
        <v>0.76440967538890392</v>
      </c>
      <c r="BC3" s="2">
        <v>5742</v>
      </c>
      <c r="BD3" s="156">
        <f t="shared" si="1"/>
        <v>0.51632047477744802</v>
      </c>
      <c r="BE3" s="10">
        <v>6656</v>
      </c>
      <c r="BF3" s="156">
        <f t="shared" si="1"/>
        <v>0.59850732847765487</v>
      </c>
      <c r="BG3" s="10">
        <v>8669</v>
      </c>
      <c r="BI3" s="10">
        <v>8215</v>
      </c>
      <c r="BK3" s="10">
        <v>7659</v>
      </c>
      <c r="BM3" s="10">
        <v>6790</v>
      </c>
      <c r="BO3" s="10">
        <v>7183</v>
      </c>
      <c r="BQ3" s="10">
        <v>7212</v>
      </c>
      <c r="BS3" s="10">
        <v>7234</v>
      </c>
      <c r="BU3" s="10">
        <v>5939</v>
      </c>
      <c r="BW3" s="10">
        <v>6508</v>
      </c>
      <c r="BY3" s="10">
        <v>6456</v>
      </c>
      <c r="CA3" s="10">
        <v>7362</v>
      </c>
      <c r="CC3" s="10">
        <v>9143</v>
      </c>
      <c r="CE3" s="10">
        <v>8830</v>
      </c>
      <c r="CG3" s="10">
        <v>8258</v>
      </c>
      <c r="CI3" s="10">
        <v>9745</v>
      </c>
      <c r="CK3" s="10">
        <v>9260</v>
      </c>
      <c r="CM3" s="10">
        <v>7688</v>
      </c>
      <c r="CO3" s="10">
        <v>5901</v>
      </c>
      <c r="CP3" s="10" t="s">
        <v>1718</v>
      </c>
    </row>
    <row r="4" spans="1:94" s="10" customFormat="1" ht="61.5" customHeight="1" thickBot="1">
      <c r="A4" s="21">
        <v>3</v>
      </c>
      <c r="B4" s="240" t="s">
        <v>611</v>
      </c>
      <c r="C4" s="187" t="str">
        <f ca="1">E4</f>
        <v>{"buchHaltung":`Regionaler Sozialdienst "Bern"`,"zeitRaum":"- 30.12.2025","belegNummer":"","dossier":p.DossierName1,"zeitRaumTyp":"Verwendungsperiode","anzeigeDetail":"Beleg","konten":"2000.01","total":"3’382.00"}</v>
      </c>
      <c r="D4" s="3670" t="s">
        <v>28</v>
      </c>
      <c r="E4" s="3671" t="str">
        <f ca="1">F4&amp;G4&amp;H4&amp;I4&amp;J4&amp;K4&amp;L4&amp;M4&amp;N4&amp;O4&amp;P4&amp;Q4&amp;R4&amp;S4&amp;T4&amp;U4&amp;V4&amp;W4&amp;X4&amp;Y4&amp;Z4&amp;AA4&amp;AB4&amp;AC4&amp;AD4&amp;AE4&amp;AF4</f>
        <v>{"buchHaltung":`Regionaler Sozialdienst "Bern"`,"zeitRaum":"- 30.12.2025","belegNummer":"","dossier":p.DossierName1,"zeitRaumTyp":"Verwendungsperiode","anzeigeDetail":"Beleg","konten":"2000.01","total":"3’382.00"}</v>
      </c>
      <c r="F4" s="3672" t="s">
        <v>612</v>
      </c>
      <c r="G4" s="3671" t="s">
        <v>227</v>
      </c>
      <c r="H4" s="3672" t="s">
        <v>613</v>
      </c>
      <c r="I4" s="3673" t="str">
        <f ca="1">"- 30.12."&amp;YEAR(TODAY())</f>
        <v>- 30.12.2025</v>
      </c>
      <c r="J4" s="264" t="s">
        <v>614</v>
      </c>
      <c r="K4" s="265"/>
      <c r="L4" s="24" t="s">
        <v>224</v>
      </c>
      <c r="M4" s="24" t="s">
        <v>449</v>
      </c>
      <c r="N4" s="24" t="s">
        <v>615</v>
      </c>
      <c r="O4" s="24" t="s">
        <v>591</v>
      </c>
      <c r="P4" s="24" t="s">
        <v>616</v>
      </c>
      <c r="Q4" s="24" t="s">
        <v>617</v>
      </c>
      <c r="R4" s="24" t="s">
        <v>618</v>
      </c>
      <c r="S4" s="24">
        <v>2000.01</v>
      </c>
      <c r="T4" s="24" t="s">
        <v>619</v>
      </c>
      <c r="U4" s="3678" t="s">
        <v>1575</v>
      </c>
      <c r="V4" s="24" t="s">
        <v>37</v>
      </c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>
        <v>6357</v>
      </c>
      <c r="AJ4" s="24">
        <v>6231</v>
      </c>
      <c r="AK4" s="156">
        <f t="shared" si="0"/>
        <v>0.98017932987258138</v>
      </c>
      <c r="AL4" s="24">
        <v>0</v>
      </c>
      <c r="AM4" s="24">
        <v>0</v>
      </c>
      <c r="AN4" s="156">
        <f t="shared" si="1"/>
        <v>0</v>
      </c>
      <c r="AO4" s="24">
        <v>0</v>
      </c>
      <c r="AP4" s="156">
        <f t="shared" si="1"/>
        <v>0</v>
      </c>
      <c r="AQ4" s="24">
        <v>0</v>
      </c>
      <c r="AR4" s="156">
        <f t="shared" si="1"/>
        <v>0</v>
      </c>
      <c r="AS4" s="24">
        <v>0</v>
      </c>
      <c r="AT4" s="156">
        <f t="shared" si="1"/>
        <v>0</v>
      </c>
      <c r="AU4" s="24">
        <v>6379</v>
      </c>
      <c r="AV4" s="156">
        <f t="shared" si="1"/>
        <v>1.0034607519270096</v>
      </c>
      <c r="AW4" s="2">
        <v>0</v>
      </c>
      <c r="AX4" s="156">
        <f t="shared" si="1"/>
        <v>0</v>
      </c>
      <c r="AY4" s="2">
        <v>6695</v>
      </c>
      <c r="AZ4" s="156">
        <f t="shared" si="1"/>
        <v>1.0531697341513293</v>
      </c>
      <c r="BA4" s="2">
        <v>6910</v>
      </c>
      <c r="BB4" s="156">
        <f t="shared" si="1"/>
        <v>1.0869907188925594</v>
      </c>
      <c r="BC4" s="2">
        <v>7352</v>
      </c>
      <c r="BD4" s="156">
        <f t="shared" si="1"/>
        <v>1.1565203712442975</v>
      </c>
      <c r="BE4" s="10">
        <v>6851</v>
      </c>
      <c r="BF4" s="156">
        <f t="shared" si="1"/>
        <v>1.0777096114519427</v>
      </c>
      <c r="BG4" s="10">
        <v>7003</v>
      </c>
      <c r="BI4" s="10">
        <v>7091</v>
      </c>
      <c r="BK4" s="10">
        <v>6736</v>
      </c>
      <c r="BM4" s="10">
        <v>6523</v>
      </c>
      <c r="BO4" s="10">
        <v>6717</v>
      </c>
      <c r="BQ4" s="10">
        <v>6559</v>
      </c>
      <c r="BS4" s="10">
        <v>6558</v>
      </c>
      <c r="BU4" s="2087">
        <v>0</v>
      </c>
      <c r="BV4" s="2088" t="s">
        <v>1446</v>
      </c>
      <c r="BW4" s="2277">
        <v>0</v>
      </c>
      <c r="BX4" s="2278" t="s">
        <v>1446</v>
      </c>
      <c r="BY4" s="10">
        <v>6912</v>
      </c>
      <c r="CA4" s="2599">
        <v>0</v>
      </c>
      <c r="CB4" s="2600" t="s">
        <v>1446</v>
      </c>
      <c r="CC4" s="10">
        <v>6671</v>
      </c>
      <c r="CE4" s="2966">
        <v>0</v>
      </c>
      <c r="CF4" s="2967" t="s">
        <v>1482</v>
      </c>
      <c r="CG4" s="3154">
        <v>0</v>
      </c>
      <c r="CH4" s="3155" t="s">
        <v>1507</v>
      </c>
      <c r="CI4" s="3330">
        <v>0</v>
      </c>
      <c r="CJ4" s="3331" t="s">
        <v>1507</v>
      </c>
      <c r="CK4" s="3510">
        <v>0</v>
      </c>
      <c r="CL4" s="3511" t="s">
        <v>1531</v>
      </c>
      <c r="CM4" s="10">
        <v>7571</v>
      </c>
      <c r="CO4" s="10">
        <v>8376</v>
      </c>
      <c r="CP4" s="10" t="s">
        <v>1718</v>
      </c>
    </row>
    <row r="5" spans="1:94">
      <c r="D5" s="3669"/>
      <c r="E5" s="3674"/>
      <c r="F5" s="3669"/>
      <c r="G5" s="3669"/>
      <c r="H5" s="3669"/>
      <c r="I5" s="3669"/>
      <c r="AK5" s="165" t="e">
        <f t="shared" si="0"/>
        <v>#DIV/0!</v>
      </c>
      <c r="AN5" s="165" t="e">
        <f t="shared" si="1"/>
        <v>#DIV/0!</v>
      </c>
      <c r="AP5" s="165" t="e">
        <f t="shared" si="1"/>
        <v>#DIV/0!</v>
      </c>
      <c r="AR5" s="165" t="e">
        <f t="shared" si="1"/>
        <v>#DIV/0!</v>
      </c>
      <c r="AT5" s="165"/>
      <c r="AV5" s="165"/>
      <c r="AX5" s="165"/>
      <c r="AZ5" s="165"/>
      <c r="BB5" s="165"/>
      <c r="BD5" s="165"/>
      <c r="BF5" s="165"/>
    </row>
    <row r="6" spans="1:94" ht="15">
      <c r="B6" s="266"/>
      <c r="D6" s="3669"/>
      <c r="E6" s="3674"/>
      <c r="F6" s="3669"/>
      <c r="G6" s="3669"/>
      <c r="H6" s="3669"/>
      <c r="I6" s="3669"/>
      <c r="U6" s="3678" t="s">
        <v>1575</v>
      </c>
      <c r="AK6" s="165" t="e">
        <f t="shared" si="0"/>
        <v>#DIV/0!</v>
      </c>
      <c r="AN6" s="165" t="e">
        <f t="shared" si="1"/>
        <v>#DIV/0!</v>
      </c>
      <c r="AP6" s="165" t="e">
        <f t="shared" si="1"/>
        <v>#DIV/0!</v>
      </c>
      <c r="AR6" s="165" t="e">
        <f t="shared" si="1"/>
        <v>#DIV/0!</v>
      </c>
      <c r="AT6" s="165"/>
      <c r="AV6" s="165"/>
      <c r="AX6" s="165"/>
      <c r="AZ6" s="165"/>
      <c r="BB6" s="165"/>
      <c r="BD6" s="165"/>
      <c r="BF6" s="165"/>
    </row>
    <row r="7" spans="1:94" ht="15">
      <c r="D7" s="3669"/>
      <c r="E7" s="3674"/>
      <c r="F7" s="3669"/>
      <c r="G7" s="3669"/>
      <c r="H7" s="3669"/>
      <c r="I7" s="3675" t="str">
        <f ca="1">TEXT(TEXT(28,"DD")&amp;"."&amp;TEXT(TODAY(),"MM")&amp;"."&amp;TEXT(TODAY(),"YYYY"),"DD.MM.YYYY")</f>
        <v>28.11.2025</v>
      </c>
      <c r="U7" s="3678" t="s">
        <v>1576</v>
      </c>
      <c r="AK7" s="165"/>
      <c r="AN7" s="165"/>
      <c r="AP7" s="165"/>
      <c r="AR7" s="165"/>
      <c r="AT7" s="165"/>
      <c r="AV7" s="165"/>
      <c r="AX7" s="165"/>
      <c r="AZ7" s="165"/>
      <c r="BB7" s="165"/>
      <c r="BD7" s="165"/>
      <c r="BF7" s="165"/>
    </row>
    <row r="8" spans="1:94">
      <c r="D8" s="3669"/>
      <c r="E8" s="3674"/>
      <c r="F8" s="3669"/>
      <c r="G8" s="3669"/>
      <c r="H8" s="3669"/>
      <c r="I8" s="3669"/>
      <c r="AK8" s="2"/>
      <c r="AN8" s="2"/>
      <c r="AP8" s="2"/>
      <c r="AR8" s="2"/>
      <c r="AT8" s="2"/>
      <c r="AV8" s="2"/>
      <c r="AX8" s="2"/>
      <c r="AZ8" s="2"/>
      <c r="BB8" s="2"/>
      <c r="BD8" s="2"/>
      <c r="BF8" s="2"/>
    </row>
    <row r="9" spans="1:94">
      <c r="B9" s="2" t="s">
        <v>620</v>
      </c>
      <c r="C9" s="2" t="s">
        <v>621</v>
      </c>
      <c r="D9" s="3669"/>
      <c r="E9" s="3674"/>
      <c r="F9" s="3669"/>
      <c r="G9" s="3669"/>
      <c r="H9" s="3669"/>
      <c r="I9" s="3669"/>
      <c r="AK9" s="2"/>
      <c r="AN9" s="2"/>
      <c r="AP9" s="2"/>
      <c r="AR9" s="2"/>
      <c r="AT9" s="2"/>
      <c r="AV9" s="2"/>
      <c r="AX9" s="2"/>
      <c r="AZ9" s="2"/>
      <c r="BB9" s="2"/>
      <c r="BD9" s="2"/>
      <c r="BF9" s="2"/>
    </row>
    <row r="10" spans="1:94">
      <c r="D10" s="3669"/>
      <c r="E10" s="3674"/>
      <c r="F10" s="3669"/>
      <c r="G10" s="3669"/>
      <c r="H10" s="3669"/>
      <c r="I10" s="3669"/>
    </row>
    <row r="11" spans="1:94">
      <c r="D11" s="3669"/>
      <c r="E11" s="3674"/>
      <c r="F11" s="3669"/>
      <c r="G11" s="3669"/>
      <c r="H11" s="3669"/>
      <c r="I11" s="3669"/>
    </row>
    <row r="12" spans="1:94">
      <c r="D12" s="3669"/>
      <c r="E12" s="3674"/>
      <c r="F12" s="3669"/>
      <c r="G12" s="3669"/>
      <c r="H12" s="3669"/>
      <c r="I12" s="3669"/>
    </row>
    <row r="13" spans="1:94">
      <c r="D13" s="3669"/>
      <c r="E13" s="3674"/>
      <c r="F13" s="3669"/>
      <c r="G13" s="3669"/>
      <c r="H13" s="3669"/>
      <c r="I13" s="3669"/>
    </row>
    <row r="14" spans="1:94"/>
    <row r="15" spans="1:94"/>
    <row r="16" spans="1:94" ht="14.25" customHeight="1">
      <c r="K16" s="2" t="s">
        <v>1518</v>
      </c>
    </row>
  </sheetData>
  <conditionalFormatting sqref="AK2:AK147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N2:AN147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P2:AP147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R2:AR147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T2:AT147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V2:AV147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X2:AX147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2:AZ147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147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147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147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CR13"/>
  <sheetViews>
    <sheetView zoomScale="115" zoomScaleNormal="115" workbookViewId="0">
      <pane xSplit="2" ySplit="2" topLeftCell="D3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RowHeight="14.25" customHeight="1"/>
  <cols>
    <col min="1" max="1" width="9.140625" style="15" customWidth="1"/>
    <col min="2" max="2" width="42.42578125" style="15" customWidth="1"/>
    <col min="3" max="3" width="161.7109375" style="15" customWidth="1"/>
    <col min="4" max="6" width="9.140625" style="15" customWidth="1"/>
    <col min="7" max="7" width="41" style="15" customWidth="1"/>
    <col min="8" max="8" width="31.7109375" style="15" customWidth="1"/>
    <col min="9" max="11" width="9.140625" style="15" customWidth="1"/>
    <col min="12" max="12" width="11.140625" style="15" customWidth="1"/>
    <col min="13" max="13" width="9.140625" style="15" customWidth="1"/>
    <col min="14" max="14" width="19.28515625" style="15" customWidth="1"/>
    <col min="15" max="34" width="9.140625" style="15" customWidth="1"/>
    <col min="35" max="35" width="30" style="15" customWidth="1"/>
    <col min="36" max="36" width="9.7109375" style="12" customWidth="1"/>
    <col min="37" max="37" width="10.85546875" style="15" customWidth="1"/>
    <col min="38" max="38" width="9.7109375" style="12" customWidth="1"/>
    <col min="39" max="39" width="10.42578125" style="15" customWidth="1"/>
    <col min="40" max="40" width="10.42578125" style="12" customWidth="1"/>
    <col min="41" max="41" width="10.42578125" style="15" customWidth="1"/>
    <col min="42" max="42" width="10.42578125" style="12" customWidth="1"/>
    <col min="43" max="43" width="10.42578125" style="15" customWidth="1"/>
    <col min="44" max="44" width="10.42578125" style="12" customWidth="1"/>
    <col min="45" max="45" width="10.42578125" style="15" customWidth="1"/>
    <col min="46" max="46" width="10.42578125" style="12" customWidth="1"/>
    <col min="47" max="47" width="11" style="15" customWidth="1"/>
    <col min="48" max="48" width="10.42578125" style="12" customWidth="1"/>
    <col min="49" max="49" width="10.5703125" style="15" customWidth="1"/>
    <col min="50" max="50" width="10.42578125" style="12" customWidth="1"/>
    <col min="51" max="51" width="11.28515625" style="15" customWidth="1"/>
    <col min="52" max="52" width="10.42578125" style="12" customWidth="1"/>
    <col min="53" max="53" width="20" style="15" customWidth="1"/>
    <col min="54" max="54" width="50" style="15" customWidth="1"/>
    <col min="55" max="55" width="20" style="15" customWidth="1"/>
    <col min="56" max="56" width="50" style="15" customWidth="1"/>
    <col min="57" max="57" width="20" style="15" customWidth="1"/>
    <col min="58" max="58" width="50" style="15" customWidth="1"/>
    <col min="59" max="59" width="9.140625" style="15" customWidth="1"/>
    <col min="60" max="60" width="30" style="15" customWidth="1"/>
    <col min="61" max="61" width="50" style="15" customWidth="1"/>
    <col min="62" max="62" width="30" style="15" customWidth="1"/>
    <col min="63" max="63" width="50" style="15" customWidth="1"/>
    <col min="64" max="64" width="30" style="15" customWidth="1"/>
    <col min="65" max="65" width="50" style="15" customWidth="1"/>
    <col min="66" max="66" width="9.140625" style="15" customWidth="1"/>
    <col min="67" max="67" width="20" style="15" customWidth="1"/>
    <col min="68" max="68" width="50" style="15" customWidth="1"/>
    <col min="69" max="69" width="20" style="15" customWidth="1"/>
    <col min="70" max="70" width="50" style="15" customWidth="1"/>
    <col min="71" max="71" width="20" style="15" customWidth="1"/>
    <col min="72" max="72" width="50" style="15" customWidth="1"/>
    <col min="73" max="73" width="20" style="15" customWidth="1"/>
    <col min="74" max="74" width="50" style="15" customWidth="1"/>
    <col min="75" max="75" width="20" style="15" customWidth="1"/>
    <col min="76" max="76" width="50" style="15" customWidth="1"/>
    <col min="77" max="77" width="20" style="15" customWidth="1"/>
    <col min="78" max="78" width="50" style="15" customWidth="1"/>
    <col min="79" max="79" width="20" style="15" customWidth="1"/>
    <col min="80" max="80" width="50" style="15" customWidth="1"/>
    <col min="81" max="81" width="20" style="15" customWidth="1"/>
    <col min="82" max="82" width="50" style="15" customWidth="1"/>
    <col min="83" max="83" width="20" style="15" customWidth="1"/>
    <col min="84" max="84" width="50" style="15" customWidth="1"/>
    <col min="85" max="85" width="20" style="15" customWidth="1"/>
    <col min="86" max="86" width="50" style="15" customWidth="1"/>
    <col min="87" max="87" width="20" style="15" customWidth="1"/>
    <col min="88" max="88" width="50" style="15" customWidth="1"/>
    <col min="89" max="89" width="20" style="15" customWidth="1"/>
    <col min="90" max="90" width="50" style="15" customWidth="1"/>
    <col min="91" max="91" width="20" style="15" customWidth="1"/>
    <col min="92" max="92" width="50" style="15" customWidth="1"/>
    <col min="93" max="93" width="20" style="15" customWidth="1"/>
    <col min="94" max="94" width="50" style="15" customWidth="1"/>
    <col min="95" max="95" width="20" style="15" customWidth="1"/>
    <col min="96" max="96" width="50" style="15" customWidth="1"/>
    <col min="97" max="16384" width="9.140625" style="15"/>
  </cols>
  <sheetData>
    <row r="1" spans="1:96" s="10" customFormat="1" ht="15" customHeight="1">
      <c r="A1" s="5" t="s">
        <v>0</v>
      </c>
      <c r="B1" s="39" t="s">
        <v>1</v>
      </c>
      <c r="C1" s="39" t="s">
        <v>2</v>
      </c>
      <c r="D1" s="39" t="s">
        <v>3</v>
      </c>
      <c r="E1" s="259"/>
      <c r="F1" s="254" t="s">
        <v>4</v>
      </c>
      <c r="G1" s="2558">
        <f>3*60*1000*SpeedFaktor</f>
        <v>180000</v>
      </c>
      <c r="H1" s="2">
        <v>10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5</v>
      </c>
      <c r="AI1" s="2" t="s">
        <v>489</v>
      </c>
      <c r="AJ1" s="24" t="s">
        <v>8</v>
      </c>
      <c r="AK1" s="2" t="s">
        <v>282</v>
      </c>
      <c r="AL1" s="24" t="s">
        <v>8</v>
      </c>
      <c r="AM1" s="2" t="s">
        <v>10</v>
      </c>
      <c r="AN1" s="24" t="s">
        <v>8</v>
      </c>
      <c r="AO1" s="2" t="s">
        <v>11</v>
      </c>
      <c r="AP1" s="24" t="s">
        <v>8</v>
      </c>
      <c r="AQ1" s="2" t="s">
        <v>12</v>
      </c>
      <c r="AR1" s="24" t="s">
        <v>8</v>
      </c>
      <c r="AS1" s="2" t="s">
        <v>13</v>
      </c>
      <c r="AT1" s="24" t="s">
        <v>8</v>
      </c>
      <c r="AU1" s="2" t="s">
        <v>65</v>
      </c>
      <c r="AV1" s="24" t="s">
        <v>8</v>
      </c>
      <c r="AW1" s="10" t="s">
        <v>15</v>
      </c>
      <c r="AX1" s="24" t="s">
        <v>8</v>
      </c>
      <c r="AY1" s="513" t="s">
        <v>1303</v>
      </c>
      <c r="AZ1" s="24" t="s">
        <v>8</v>
      </c>
      <c r="BA1" s="812" t="s">
        <v>1311</v>
      </c>
      <c r="BB1" s="813" t="s">
        <v>572</v>
      </c>
      <c r="BC1" s="938" t="s">
        <v>1318</v>
      </c>
      <c r="BD1" s="939" t="s">
        <v>572</v>
      </c>
      <c r="BE1" s="1085" t="s">
        <v>1324</v>
      </c>
      <c r="BF1" s="1086" t="s">
        <v>572</v>
      </c>
      <c r="BG1" s="7" t="s">
        <v>5</v>
      </c>
      <c r="BH1" s="10" t="s">
        <v>17</v>
      </c>
      <c r="BI1" s="10" t="s">
        <v>622</v>
      </c>
      <c r="BJ1" s="10" t="s">
        <v>1285</v>
      </c>
      <c r="BK1" s="10" t="s">
        <v>19</v>
      </c>
      <c r="BL1" s="10" t="s">
        <v>1286</v>
      </c>
      <c r="BM1" s="10" t="s">
        <v>20</v>
      </c>
      <c r="BO1" s="1286" t="s">
        <v>1341</v>
      </c>
      <c r="BP1" s="1287" t="s">
        <v>572</v>
      </c>
      <c r="BQ1" s="1528" t="s">
        <v>1363</v>
      </c>
      <c r="BR1" s="1529" t="s">
        <v>572</v>
      </c>
      <c r="BS1" s="1674" t="s">
        <v>1368</v>
      </c>
      <c r="BT1" s="1675" t="s">
        <v>572</v>
      </c>
      <c r="BU1" s="1815" t="s">
        <v>1371</v>
      </c>
      <c r="BV1" s="1816" t="s">
        <v>572</v>
      </c>
      <c r="BW1" s="2089" t="s">
        <v>1397</v>
      </c>
      <c r="BX1" s="2090" t="s">
        <v>572</v>
      </c>
      <c r="BY1" s="2279" t="s">
        <v>1421</v>
      </c>
      <c r="BZ1" s="2280" t="s">
        <v>572</v>
      </c>
      <c r="CA1" s="2440" t="s">
        <v>1434</v>
      </c>
      <c r="CB1" s="2441" t="s">
        <v>572</v>
      </c>
      <c r="CC1" s="2601" t="s">
        <v>1442</v>
      </c>
      <c r="CD1" s="2602" t="s">
        <v>572</v>
      </c>
      <c r="CE1" s="2784" t="s">
        <v>1460</v>
      </c>
      <c r="CF1" s="2785" t="s">
        <v>572</v>
      </c>
      <c r="CG1" s="2968" t="s">
        <v>1472</v>
      </c>
      <c r="CH1" s="2969" t="s">
        <v>572</v>
      </c>
      <c r="CI1" s="3156" t="s">
        <v>1492</v>
      </c>
      <c r="CJ1" s="3157" t="s">
        <v>572</v>
      </c>
      <c r="CK1" s="3332" t="s">
        <v>1503</v>
      </c>
      <c r="CL1" s="3333" t="s">
        <v>572</v>
      </c>
      <c r="CM1" s="3512" t="s">
        <v>1519</v>
      </c>
      <c r="CN1" s="3513" t="s">
        <v>572</v>
      </c>
      <c r="CO1" s="3798" t="s">
        <v>1666</v>
      </c>
      <c r="CP1" s="3799" t="s">
        <v>572</v>
      </c>
      <c r="CQ1" s="4021" t="s">
        <v>1717</v>
      </c>
      <c r="CR1" s="4022" t="s">
        <v>572</v>
      </c>
    </row>
    <row r="2" spans="1:96" s="10" customFormat="1" ht="15" customHeight="1">
      <c r="A2" s="119">
        <v>1</v>
      </c>
      <c r="B2" s="122" t="s">
        <v>21</v>
      </c>
      <c r="C2" s="122" t="str">
        <f>'001a'!B59</f>
        <v>{"url":p.aventisURL}</v>
      </c>
      <c r="D2" s="2"/>
      <c r="E2" s="209"/>
      <c r="F2" s="254"/>
      <c r="G2" s="2" t="s">
        <v>603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1558</v>
      </c>
      <c r="AJ2" s="156">
        <f>AI2/($AI2)</f>
        <v>1</v>
      </c>
      <c r="AK2" s="2">
        <v>1678</v>
      </c>
      <c r="AL2" s="156">
        <f>AK2/($AI2)</f>
        <v>1.0770218228498074</v>
      </c>
      <c r="AM2" s="2">
        <v>1450</v>
      </c>
      <c r="AN2" s="156">
        <f>AM2/($AI2)</f>
        <v>0.93068035943517335</v>
      </c>
      <c r="AO2" s="2">
        <v>1800</v>
      </c>
      <c r="AP2" s="156">
        <f>AO2/($AI2)</f>
        <v>1.1553273427471116</v>
      </c>
      <c r="AQ2" s="2">
        <v>1573</v>
      </c>
      <c r="AR2" s="156">
        <f>AQ2/($AI2)</f>
        <v>1.009627727856226</v>
      </c>
      <c r="AS2" s="2">
        <v>1620</v>
      </c>
      <c r="AT2" s="156">
        <f>AS2/($AI2)</f>
        <v>1.0397946084724006</v>
      </c>
      <c r="AU2" s="2">
        <v>1662</v>
      </c>
      <c r="AV2" s="156">
        <f>AU2/($AI2)</f>
        <v>1.0667522464698331</v>
      </c>
      <c r="AW2" s="2">
        <v>1559</v>
      </c>
      <c r="AX2" s="156">
        <f>AW2/($AI2)</f>
        <v>1.0006418485237485</v>
      </c>
      <c r="AY2" s="10">
        <v>1168</v>
      </c>
      <c r="AZ2" s="156">
        <f>AY2/($AI2)</f>
        <v>0.74967907573812576</v>
      </c>
      <c r="BA2" s="10">
        <v>1541</v>
      </c>
      <c r="BC2" s="10">
        <v>1321</v>
      </c>
      <c r="BE2" s="10">
        <v>1196</v>
      </c>
      <c r="BH2" s="2">
        <v>1462</v>
      </c>
      <c r="BI2" s="2"/>
      <c r="BJ2" s="2">
        <v>1276</v>
      </c>
      <c r="BK2" s="2"/>
      <c r="BL2" s="2">
        <v>536</v>
      </c>
      <c r="BM2" s="2"/>
      <c r="BO2" s="10">
        <v>1258</v>
      </c>
      <c r="BQ2" s="10">
        <v>1273</v>
      </c>
      <c r="BS2" s="10">
        <v>1167</v>
      </c>
      <c r="BU2" s="10">
        <v>1166</v>
      </c>
      <c r="BW2" s="10">
        <v>1591</v>
      </c>
      <c r="BY2" s="10">
        <v>1589</v>
      </c>
      <c r="CA2" s="10">
        <v>1566</v>
      </c>
      <c r="CC2" s="10">
        <v>1122</v>
      </c>
      <c r="CE2" s="10">
        <v>1449</v>
      </c>
      <c r="CG2" s="10">
        <v>1346</v>
      </c>
      <c r="CI2" s="10">
        <v>1238</v>
      </c>
      <c r="CK2" s="10">
        <v>1131</v>
      </c>
      <c r="CM2" s="10">
        <v>871</v>
      </c>
      <c r="CO2" s="10">
        <v>856</v>
      </c>
      <c r="CQ2" s="10">
        <v>564</v>
      </c>
      <c r="CR2" s="10" t="s">
        <v>1718</v>
      </c>
    </row>
    <row r="3" spans="1:96" s="10" customFormat="1" ht="15.75" customHeight="1">
      <c r="A3" s="119">
        <v>3</v>
      </c>
      <c r="B3" s="120" t="s">
        <v>25</v>
      </c>
      <c r="C3" s="121" t="str">
        <f>E3</f>
        <v>{"username":"bern.sozialarbeiterin1a@diartis.ch","password":"SMze97-jkSJ59!F.","fullname":"Sozialarbeiterin 1A Bern","team":"Sozialarbeit Bern 1"}</v>
      </c>
      <c r="D3" s="13"/>
      <c r="E3" s="45" t="str">
        <f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46" t="s">
        <v>29</v>
      </c>
      <c r="G3" s="13" t="s">
        <v>71</v>
      </c>
      <c r="H3" s="46" t="s">
        <v>31</v>
      </c>
      <c r="I3" s="13" t="s">
        <v>72</v>
      </c>
      <c r="J3" s="46" t="s">
        <v>73</v>
      </c>
      <c r="K3" s="13" t="s">
        <v>74</v>
      </c>
      <c r="L3" s="46" t="s">
        <v>75</v>
      </c>
      <c r="M3" s="13" t="s">
        <v>76</v>
      </c>
      <c r="N3" s="46" t="s">
        <v>37</v>
      </c>
      <c r="O3" s="13"/>
      <c r="P3" s="46"/>
      <c r="Q3" s="13"/>
      <c r="R3" s="46"/>
      <c r="S3" s="13"/>
      <c r="T3" s="46"/>
      <c r="U3" s="13"/>
      <c r="V3" s="46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>
        <v>9790</v>
      </c>
      <c r="AJ3" s="156">
        <f t="shared" ref="AJ3:AJ6" si="0">AI3/($AI3)</f>
        <v>1</v>
      </c>
      <c r="AK3" s="13">
        <v>8173</v>
      </c>
      <c r="AL3" s="156">
        <f t="shared" ref="AL3:AL6" si="1">AK3/($AI3)</f>
        <v>0.83483146067415726</v>
      </c>
      <c r="AM3" s="13">
        <v>10711</v>
      </c>
      <c r="AN3" s="156">
        <f t="shared" ref="AN3:AN6" si="2">AM3/($AI3)</f>
        <v>1.0940755873340142</v>
      </c>
      <c r="AO3" s="13">
        <v>10135</v>
      </c>
      <c r="AP3" s="156">
        <f t="shared" ref="AP3:AP5" si="3">AO3/($AI3)</f>
        <v>1.0352400408580185</v>
      </c>
      <c r="AQ3" s="13">
        <v>9026</v>
      </c>
      <c r="AR3" s="156">
        <f t="shared" ref="AR3:AR5" si="4">AQ3/($AI3)</f>
        <v>0.9219611848825332</v>
      </c>
      <c r="AS3" s="13">
        <v>10259</v>
      </c>
      <c r="AT3" s="156">
        <f t="shared" ref="AT3:AZ5" si="5">AS3/($AI3)</f>
        <v>1.047906026557712</v>
      </c>
      <c r="AU3" s="13">
        <v>11445</v>
      </c>
      <c r="AV3" s="156">
        <f t="shared" si="5"/>
        <v>1.169050051072523</v>
      </c>
      <c r="AW3" s="2">
        <v>9677</v>
      </c>
      <c r="AX3" s="156">
        <f t="shared" si="5"/>
        <v>0.98845760980592445</v>
      </c>
      <c r="AY3" s="10">
        <v>7097</v>
      </c>
      <c r="AZ3" s="156">
        <f t="shared" si="5"/>
        <v>0.72492339121552607</v>
      </c>
      <c r="BA3" s="10">
        <v>8011</v>
      </c>
      <c r="BC3" s="10">
        <v>7696</v>
      </c>
      <c r="BE3" s="10">
        <v>7241</v>
      </c>
      <c r="BH3" s="2">
        <v>7323</v>
      </c>
      <c r="BI3" s="2"/>
      <c r="BJ3" s="2">
        <v>9847</v>
      </c>
      <c r="BK3" s="2"/>
      <c r="BL3" s="2">
        <v>4879</v>
      </c>
      <c r="BM3" s="2"/>
      <c r="BO3" s="10">
        <v>6750</v>
      </c>
      <c r="BQ3" s="10">
        <v>7710</v>
      </c>
      <c r="BS3" s="10">
        <v>7949</v>
      </c>
      <c r="BU3" s="10">
        <v>7216</v>
      </c>
      <c r="BW3" s="10">
        <v>6090</v>
      </c>
      <c r="BY3" s="10">
        <v>7912</v>
      </c>
      <c r="CA3" s="10">
        <v>6534</v>
      </c>
      <c r="CC3" s="10">
        <v>7759</v>
      </c>
      <c r="CE3" s="10">
        <v>9909</v>
      </c>
      <c r="CG3" s="10">
        <v>8310</v>
      </c>
      <c r="CI3" s="10">
        <v>8221</v>
      </c>
      <c r="CK3" s="10">
        <v>9162</v>
      </c>
      <c r="CM3" s="10">
        <v>9594</v>
      </c>
      <c r="CO3" s="10">
        <v>7874</v>
      </c>
      <c r="CQ3" s="10">
        <v>6423</v>
      </c>
      <c r="CR3" s="10" t="s">
        <v>1718</v>
      </c>
    </row>
    <row r="4" spans="1:96" s="10" customFormat="1" ht="18" customHeight="1">
      <c r="A4" s="119">
        <v>3</v>
      </c>
      <c r="B4" s="122" t="s">
        <v>139</v>
      </c>
      <c r="C4" s="122" t="str">
        <f>G4&amp;H4&amp;I4&amp;J4</f>
        <v>{"searchDossierOrKlient":p.DossierName1,"resultType":"Dossiers"}</v>
      </c>
      <c r="D4" s="2"/>
      <c r="E4" s="209"/>
      <c r="F4" s="254"/>
      <c r="G4" s="2" t="s">
        <v>140</v>
      </c>
      <c r="H4" s="267" t="s">
        <v>449</v>
      </c>
      <c r="I4" s="2" t="s">
        <v>623</v>
      </c>
      <c r="J4" s="2"/>
      <c r="K4" s="2"/>
      <c r="L4" s="2"/>
      <c r="M4" s="2"/>
      <c r="N4" s="24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>
        <v>11011</v>
      </c>
      <c r="AJ4" s="156">
        <f t="shared" si="0"/>
        <v>1</v>
      </c>
      <c r="AK4" s="2">
        <v>10935</v>
      </c>
      <c r="AL4" s="156">
        <f t="shared" si="1"/>
        <v>0.99309781127962948</v>
      </c>
      <c r="AM4" s="2">
        <v>11541</v>
      </c>
      <c r="AN4" s="156">
        <f t="shared" si="2"/>
        <v>1.0481336844973208</v>
      </c>
      <c r="AO4" s="2">
        <v>11325</v>
      </c>
      <c r="AP4" s="156">
        <f t="shared" si="3"/>
        <v>1.0285169376078467</v>
      </c>
      <c r="AQ4" s="2">
        <v>11093</v>
      </c>
      <c r="AR4" s="156">
        <f t="shared" si="4"/>
        <v>1.0074470983561892</v>
      </c>
      <c r="AS4" s="2">
        <v>10796</v>
      </c>
      <c r="AT4" s="156">
        <f t="shared" si="5"/>
        <v>0.98047407138316234</v>
      </c>
      <c r="AU4" s="2">
        <v>2905</v>
      </c>
      <c r="AV4" s="156">
        <f t="shared" si="5"/>
        <v>0.2638270820089002</v>
      </c>
      <c r="AW4" s="2">
        <v>2751</v>
      </c>
      <c r="AX4" s="156">
        <f t="shared" si="5"/>
        <v>0.24984106802288619</v>
      </c>
      <c r="AY4" s="10">
        <v>5307</v>
      </c>
      <c r="AZ4" s="156">
        <f t="shared" si="5"/>
        <v>0.48197257288166379</v>
      </c>
      <c r="BA4" s="10">
        <v>5486</v>
      </c>
      <c r="BC4" s="10">
        <v>5231</v>
      </c>
      <c r="BE4" s="10">
        <v>5335</v>
      </c>
      <c r="BH4" s="2">
        <v>5015</v>
      </c>
      <c r="BI4" s="2"/>
      <c r="BJ4" s="2">
        <v>5194</v>
      </c>
      <c r="BK4" s="2"/>
      <c r="BL4" s="2">
        <v>5797</v>
      </c>
      <c r="BM4" s="2"/>
      <c r="BO4" s="10">
        <v>5384</v>
      </c>
      <c r="BQ4" s="10">
        <v>3067</v>
      </c>
      <c r="BS4" s="10">
        <v>2896</v>
      </c>
      <c r="BU4" s="10">
        <v>3035</v>
      </c>
      <c r="BW4" s="10">
        <v>5398</v>
      </c>
      <c r="BY4" s="10">
        <v>5303</v>
      </c>
      <c r="CA4" s="10">
        <v>5313</v>
      </c>
      <c r="CC4" s="10">
        <v>5529</v>
      </c>
      <c r="CE4" s="10">
        <v>5344</v>
      </c>
      <c r="CG4" s="10">
        <v>4629</v>
      </c>
      <c r="CI4" s="10">
        <v>4734</v>
      </c>
      <c r="CK4" s="10">
        <v>4866</v>
      </c>
      <c r="CM4" s="10">
        <v>4708</v>
      </c>
      <c r="CO4" s="10">
        <v>4867</v>
      </c>
      <c r="CQ4" s="10">
        <v>4769</v>
      </c>
      <c r="CR4" s="10" t="s">
        <v>1718</v>
      </c>
    </row>
    <row r="5" spans="1:96" s="10" customFormat="1" ht="20.25" customHeight="1">
      <c r="A5" s="21">
        <v>4</v>
      </c>
      <c r="B5" s="242" t="s">
        <v>624</v>
      </c>
      <c r="C5" s="24" t="str">
        <f ca="1">E5</f>
        <v xml:space="preserve">	{"klient":`${p.FamilyName1}, ${p.ManFirstName1}`,"dossier":p.DossierName1,"stichDatum":"31.12.2025","zeilenTotal":"CHF 0.00"}</v>
      </c>
      <c r="D5" s="24" t="s">
        <v>28</v>
      </c>
      <c r="E5" s="268" t="str">
        <f ca="1">G5&amp;H5&amp;I5&amp;J5&amp;K5&amp;L5&amp;M5&amp;N5&amp;O5&amp;P5&amp;Q5&amp;R5&amp;S5&amp;T5&amp;U5&amp;V5&amp;W5&amp;X5&amp;Y5&amp;AB5&amp;AC5&amp;AD5&amp;AE5</f>
        <v xml:space="preserve">	{"klient":`${p.FamilyName1}, ${p.ManFirstName1}`,"dossier":p.DossierName1,"stichDatum":"31.12.2025","zeilenTotal":"CHF 0.00"}</v>
      </c>
      <c r="F5" s="269"/>
      <c r="G5" s="24" t="s">
        <v>625</v>
      </c>
      <c r="H5" s="24" t="s">
        <v>492</v>
      </c>
      <c r="I5" s="270" t="s">
        <v>626</v>
      </c>
      <c r="J5" s="24" t="s">
        <v>449</v>
      </c>
      <c r="K5" s="24" t="s">
        <v>627</v>
      </c>
      <c r="L5" s="271" t="str">
        <f ca="1">"31.12."&amp;YEAR(TODAY())</f>
        <v>31.12.2025</v>
      </c>
      <c r="M5" s="270" t="s">
        <v>628</v>
      </c>
      <c r="N5" s="15" t="s">
        <v>629</v>
      </c>
      <c r="O5" s="270" t="s">
        <v>37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>
        <v>3235</v>
      </c>
      <c r="AJ5" s="156">
        <f t="shared" si="0"/>
        <v>1</v>
      </c>
      <c r="AK5" s="24">
        <v>0</v>
      </c>
      <c r="AL5" s="156">
        <f t="shared" si="1"/>
        <v>0</v>
      </c>
      <c r="AM5" s="24">
        <v>0</v>
      </c>
      <c r="AN5" s="156">
        <f t="shared" si="2"/>
        <v>0</v>
      </c>
      <c r="AO5" s="24">
        <v>0</v>
      </c>
      <c r="AP5" s="156">
        <f t="shared" si="3"/>
        <v>0</v>
      </c>
      <c r="AQ5" s="24">
        <v>0</v>
      </c>
      <c r="AR5" s="156">
        <f t="shared" si="4"/>
        <v>0</v>
      </c>
      <c r="AS5" s="24">
        <v>2865</v>
      </c>
      <c r="AT5" s="156">
        <f t="shared" si="5"/>
        <v>0.88562596599690879</v>
      </c>
      <c r="AU5" s="24">
        <v>4148</v>
      </c>
      <c r="AV5" s="156">
        <f t="shared" si="5"/>
        <v>1.282225656877898</v>
      </c>
      <c r="AW5" s="2">
        <v>3910</v>
      </c>
      <c r="AX5" s="156">
        <f t="shared" si="5"/>
        <v>1.2086553323029365</v>
      </c>
      <c r="AY5" s="10">
        <v>2966</v>
      </c>
      <c r="AZ5" s="156">
        <f t="shared" si="5"/>
        <v>0.91684698608964454</v>
      </c>
      <c r="BA5" s="10">
        <v>3248</v>
      </c>
      <c r="BC5" s="10">
        <v>3312</v>
      </c>
      <c r="BE5" s="10">
        <v>3186</v>
      </c>
      <c r="BH5" s="2">
        <v>2966</v>
      </c>
      <c r="BI5" s="2"/>
      <c r="BJ5" s="2">
        <v>4401</v>
      </c>
      <c r="BK5" s="2"/>
      <c r="BL5" s="2">
        <v>3178</v>
      </c>
      <c r="BM5" s="2"/>
      <c r="BO5" s="10">
        <v>3888</v>
      </c>
      <c r="BQ5" s="1530">
        <v>0</v>
      </c>
      <c r="BR5" s="1531" t="s">
        <v>1364</v>
      </c>
      <c r="BS5" s="10">
        <v>3538</v>
      </c>
      <c r="BU5" s="10">
        <v>3359</v>
      </c>
      <c r="BW5" s="2091">
        <v>0</v>
      </c>
      <c r="BX5" s="2092" t="s">
        <v>1405</v>
      </c>
      <c r="BY5" s="10">
        <v>4931</v>
      </c>
      <c r="CA5" s="10">
        <v>3926</v>
      </c>
      <c r="CC5" s="10">
        <v>4002</v>
      </c>
      <c r="CE5" s="10">
        <v>4225</v>
      </c>
      <c r="CG5" s="10">
        <v>3777</v>
      </c>
      <c r="CI5" s="10">
        <v>4388</v>
      </c>
      <c r="CK5" s="10">
        <v>2973</v>
      </c>
      <c r="CM5" s="3514">
        <v>0</v>
      </c>
      <c r="CN5" s="3515" t="s">
        <v>1532</v>
      </c>
      <c r="CO5" s="10">
        <v>6502</v>
      </c>
      <c r="CQ5" s="10">
        <v>5044</v>
      </c>
      <c r="CR5" s="10" t="s">
        <v>1718</v>
      </c>
    </row>
    <row r="6" spans="1:96">
      <c r="N6" s="24"/>
      <c r="AJ6" s="156" t="e">
        <f t="shared" si="0"/>
        <v>#DIV/0!</v>
      </c>
      <c r="AL6" s="156" t="e">
        <f t="shared" si="1"/>
        <v>#DIV/0!</v>
      </c>
      <c r="AN6" s="156" t="e">
        <f t="shared" si="2"/>
        <v>#DIV/0!</v>
      </c>
      <c r="AP6" s="2"/>
      <c r="AR6" s="2"/>
      <c r="AT6" s="2"/>
      <c r="AV6" s="2"/>
      <c r="AX6" s="2"/>
      <c r="AZ6" s="2"/>
    </row>
    <row r="7" spans="1:96">
      <c r="B7" s="15" t="s">
        <v>630</v>
      </c>
      <c r="AJ7" s="156"/>
      <c r="AL7" s="156"/>
      <c r="AN7" s="156"/>
      <c r="AP7" s="2"/>
      <c r="AR7" s="2"/>
      <c r="AT7" s="2"/>
      <c r="AV7" s="2"/>
      <c r="AX7" s="2"/>
      <c r="AZ7" s="2"/>
    </row>
    <row r="8" spans="1:96">
      <c r="AJ8" s="2"/>
      <c r="AL8" s="2"/>
      <c r="AN8" s="2"/>
      <c r="AP8" s="2"/>
      <c r="AR8" s="2"/>
      <c r="AT8" s="2"/>
      <c r="AV8" s="2"/>
      <c r="AX8" s="2"/>
      <c r="AZ8" s="2"/>
    </row>
    <row r="9" spans="1:96">
      <c r="N9" s="263"/>
      <c r="AJ9" s="2"/>
      <c r="AL9" s="2"/>
      <c r="AN9" s="2"/>
      <c r="AP9" s="2"/>
      <c r="AR9" s="2"/>
      <c r="AT9" s="2"/>
      <c r="AV9" s="2"/>
      <c r="AX9" s="2"/>
      <c r="AZ9" s="2"/>
    </row>
    <row r="10" spans="1:96">
      <c r="E10" s="272"/>
      <c r="F10" s="272"/>
      <c r="G10" s="272"/>
      <c r="AJ10" s="2"/>
      <c r="AL10" s="2"/>
      <c r="AN10" s="2"/>
      <c r="AP10" s="2"/>
      <c r="AR10" s="2"/>
      <c r="AT10" s="2"/>
      <c r="AV10" s="2"/>
      <c r="AX10" s="2"/>
      <c r="AZ10" s="2"/>
    </row>
    <row r="11" spans="1:96">
      <c r="E11" s="272"/>
      <c r="F11" s="272" t="s">
        <v>631</v>
      </c>
      <c r="G11" s="272"/>
      <c r="AJ11" s="2"/>
      <c r="AL11" s="2"/>
      <c r="AN11" s="2"/>
      <c r="AP11" s="2"/>
      <c r="AR11" s="2"/>
      <c r="AT11" s="2"/>
      <c r="AV11" s="2"/>
      <c r="AX11" s="2"/>
      <c r="AZ11" s="2"/>
    </row>
    <row r="12" spans="1:96">
      <c r="AJ12" s="2"/>
      <c r="AL12" s="2"/>
      <c r="AN12" s="2"/>
      <c r="AP12" s="2"/>
      <c r="AR12" s="2"/>
      <c r="AT12" s="2"/>
      <c r="AV12" s="2"/>
      <c r="AX12" s="2"/>
      <c r="AZ12" s="2"/>
    </row>
    <row r="13" spans="1:96">
      <c r="N13" s="263" t="s">
        <v>632</v>
      </c>
      <c r="AJ13" s="2"/>
      <c r="AL13" s="2"/>
      <c r="AN13" s="2"/>
      <c r="AP13" s="2"/>
      <c r="AR13" s="2"/>
      <c r="AT13" s="2"/>
      <c r="AV13" s="2"/>
      <c r="AX13" s="2"/>
      <c r="AZ13" s="2"/>
    </row>
  </sheetData>
  <conditionalFormatting sqref="AJ2:AJ147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L2:AL147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N2:AN147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P2:AP147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R2:AR147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T2:AT147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V2:AV147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X2:AX147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2:AZ147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CP5"/>
  <sheetViews>
    <sheetView zoomScaleNormal="100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ColWidth="9.140625" defaultRowHeight="14.25" customHeight="1"/>
  <cols>
    <col min="1" max="1" width="4.85546875" style="1" customWidth="1"/>
    <col min="2" max="2" width="44.140625" style="2" customWidth="1"/>
    <col min="3" max="3" width="162.42578125" style="2" customWidth="1"/>
    <col min="4" max="4" width="9.140625" style="2" customWidth="1"/>
    <col min="5" max="5" width="9.85546875" style="3" customWidth="1"/>
    <col min="6" max="6" width="15" style="2" customWidth="1"/>
    <col min="7" max="7" width="12" style="2" customWidth="1"/>
    <col min="8" max="8" width="16.140625" style="2" customWidth="1"/>
    <col min="9" max="9" width="13.42578125" style="2" customWidth="1"/>
    <col min="10" max="10" width="14" style="2" customWidth="1"/>
    <col min="11" max="11" width="7.85546875" style="2" customWidth="1"/>
    <col min="12" max="12" width="14.28515625" style="2" customWidth="1"/>
    <col min="13" max="13" width="15.5703125" style="2" customWidth="1"/>
    <col min="14" max="14" width="15.85546875" style="2" customWidth="1"/>
    <col min="15" max="15" width="1.5703125" style="2" customWidth="1"/>
    <col min="16" max="16" width="3" style="2" customWidth="1"/>
    <col min="17" max="17" width="15" style="2" customWidth="1"/>
    <col min="18" max="18" width="10.28515625" style="2" customWidth="1"/>
    <col min="19" max="33" width="1.140625" style="2" customWidth="1"/>
    <col min="34" max="34" width="9.140625" style="2" customWidth="1"/>
    <col min="35" max="38" width="9.85546875" style="2" customWidth="1"/>
    <col min="39" max="39" width="9.85546875" style="12" customWidth="1"/>
    <col min="40" max="40" width="9.85546875" style="2" customWidth="1"/>
    <col min="41" max="41" width="9.85546875" style="12" customWidth="1"/>
    <col min="42" max="42" width="9.85546875" style="2" customWidth="1"/>
    <col min="43" max="43" width="9.85546875" style="12" customWidth="1"/>
    <col min="44" max="44" width="9.85546875" style="2" customWidth="1"/>
    <col min="45" max="45" width="9.85546875" style="12" customWidth="1"/>
    <col min="46" max="46" width="11.28515625" style="2" customWidth="1"/>
    <col min="47" max="47" width="9.85546875" style="12" customWidth="1"/>
    <col min="48" max="48" width="10.85546875" style="2" customWidth="1"/>
    <col min="49" max="49" width="9.85546875" style="12" customWidth="1"/>
    <col min="50" max="50" width="11.7109375" style="2" customWidth="1"/>
    <col min="51" max="51" width="9.85546875" style="12" customWidth="1"/>
    <col min="52" max="52" width="11.42578125" style="2" customWidth="1"/>
    <col min="53" max="53" width="9.85546875" style="12" customWidth="1"/>
    <col min="54" max="54" width="11.28515625" style="2" customWidth="1"/>
    <col min="55" max="55" width="9.85546875" style="12" customWidth="1"/>
    <col min="56" max="56" width="20" style="2" customWidth="1"/>
    <col min="57" max="57" width="9.85546875" style="12" customWidth="1"/>
    <col min="58" max="58" width="9.140625" style="2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s="4" customFormat="1" ht="15" customHeight="1">
      <c r="A1" s="39" t="s">
        <v>0</v>
      </c>
      <c r="B1" s="39" t="s">
        <v>1</v>
      </c>
      <c r="C1" s="39" t="s">
        <v>2</v>
      </c>
      <c r="D1" s="39" t="s">
        <v>3</v>
      </c>
      <c r="E1" s="40"/>
      <c r="F1" s="4" t="s">
        <v>4</v>
      </c>
      <c r="G1" s="2558">
        <f>3*60*1000*SpeedFaktor</f>
        <v>180000</v>
      </c>
      <c r="H1" s="4">
        <v>100</v>
      </c>
      <c r="AH1" s="4" t="s">
        <v>5</v>
      </c>
      <c r="AI1" s="4" t="s">
        <v>489</v>
      </c>
      <c r="AJ1" s="4" t="s">
        <v>282</v>
      </c>
      <c r="AK1" s="4" t="s">
        <v>324</v>
      </c>
      <c r="AL1" s="4" t="s">
        <v>10</v>
      </c>
      <c r="AM1" s="43" t="s">
        <v>8</v>
      </c>
      <c r="AN1" s="4" t="s">
        <v>11</v>
      </c>
      <c r="AO1" s="43" t="s">
        <v>8</v>
      </c>
      <c r="AP1" s="4" t="s">
        <v>12</v>
      </c>
      <c r="AQ1" s="43" t="s">
        <v>8</v>
      </c>
      <c r="AR1" s="4" t="s">
        <v>13</v>
      </c>
      <c r="AS1" s="43" t="s">
        <v>8</v>
      </c>
      <c r="AT1" s="4" t="s">
        <v>65</v>
      </c>
      <c r="AU1" s="43" t="s">
        <v>8</v>
      </c>
      <c r="AV1" s="4" t="s">
        <v>15</v>
      </c>
      <c r="AW1" s="43" t="s">
        <v>8</v>
      </c>
      <c r="AX1" s="4" t="s">
        <v>17</v>
      </c>
      <c r="AY1" s="43" t="s">
        <v>8</v>
      </c>
      <c r="AZ1" s="4" t="s">
        <v>1285</v>
      </c>
      <c r="BA1" s="43" t="s">
        <v>8</v>
      </c>
      <c r="BB1" s="4" t="s">
        <v>1286</v>
      </c>
      <c r="BC1" s="43" t="s">
        <v>8</v>
      </c>
      <c r="BD1" s="1425" t="s">
        <v>1303</v>
      </c>
      <c r="BE1" s="43" t="s">
        <v>8</v>
      </c>
      <c r="BG1" s="1426" t="s">
        <v>1311</v>
      </c>
      <c r="BH1" s="1427" t="s">
        <v>572</v>
      </c>
      <c r="BI1" s="1428" t="s">
        <v>1318</v>
      </c>
      <c r="BJ1" s="1429" t="s">
        <v>572</v>
      </c>
      <c r="BK1" s="1430" t="s">
        <v>1324</v>
      </c>
      <c r="BL1" s="1431" t="s">
        <v>572</v>
      </c>
      <c r="BM1" s="1432" t="s">
        <v>1341</v>
      </c>
      <c r="BN1" s="1433" t="s">
        <v>572</v>
      </c>
      <c r="BO1" s="1532" t="s">
        <v>1363</v>
      </c>
      <c r="BP1" s="1533" t="s">
        <v>572</v>
      </c>
      <c r="BQ1" s="1676" t="s">
        <v>1368</v>
      </c>
      <c r="BR1" s="1677" t="s">
        <v>572</v>
      </c>
      <c r="BS1" s="1817" t="s">
        <v>1371</v>
      </c>
      <c r="BT1" s="1818" t="s">
        <v>572</v>
      </c>
      <c r="BU1" s="2093" t="s">
        <v>1397</v>
      </c>
      <c r="BV1" s="2094" t="s">
        <v>572</v>
      </c>
      <c r="BW1" s="2281" t="s">
        <v>1421</v>
      </c>
      <c r="BX1" s="2282" t="s">
        <v>572</v>
      </c>
      <c r="BY1" s="2442" t="s">
        <v>1434</v>
      </c>
      <c r="BZ1" s="2443" t="s">
        <v>572</v>
      </c>
      <c r="CA1" s="2603" t="s">
        <v>1442</v>
      </c>
      <c r="CB1" s="2604" t="s">
        <v>572</v>
      </c>
      <c r="CC1" s="2786" t="s">
        <v>1460</v>
      </c>
      <c r="CD1" s="2787" t="s">
        <v>572</v>
      </c>
      <c r="CE1" s="2970" t="s">
        <v>1472</v>
      </c>
      <c r="CF1" s="2971" t="s">
        <v>572</v>
      </c>
      <c r="CG1" s="3158" t="s">
        <v>1492</v>
      </c>
      <c r="CH1" s="3159" t="s">
        <v>572</v>
      </c>
      <c r="CI1" s="3334" t="s">
        <v>1503</v>
      </c>
      <c r="CJ1" s="3335" t="s">
        <v>572</v>
      </c>
      <c r="CK1" s="3516" t="s">
        <v>1519</v>
      </c>
      <c r="CL1" s="3517" t="s">
        <v>572</v>
      </c>
      <c r="CM1" s="3800" t="s">
        <v>1666</v>
      </c>
      <c r="CN1" s="3801" t="s">
        <v>572</v>
      </c>
      <c r="CO1" s="4023" t="s">
        <v>1717</v>
      </c>
      <c r="CP1" s="4024" t="s">
        <v>572</v>
      </c>
    </row>
    <row r="2" spans="1:94" s="10" customFormat="1" ht="14.25" customHeight="1">
      <c r="A2" s="122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1741</v>
      </c>
      <c r="AJ2" s="2">
        <v>1660</v>
      </c>
      <c r="AK2" s="2">
        <v>1390</v>
      </c>
      <c r="AL2" s="2">
        <v>2139</v>
      </c>
      <c r="AM2" s="156">
        <f>AL2/($AI2)</f>
        <v>1.2286042504307868</v>
      </c>
      <c r="AN2" s="2">
        <v>2070</v>
      </c>
      <c r="AO2" s="156">
        <f>AN2/($AI2)</f>
        <v>1.1889718552556003</v>
      </c>
      <c r="AP2" s="2">
        <v>1743</v>
      </c>
      <c r="AQ2" s="156">
        <f>AP2/($AI2)</f>
        <v>1.0011487650775417</v>
      </c>
      <c r="AR2" s="2">
        <v>1592</v>
      </c>
      <c r="AS2" s="156">
        <f>AR2/($AI2)</f>
        <v>0.91441700172314766</v>
      </c>
      <c r="AT2" s="2">
        <v>1526</v>
      </c>
      <c r="AU2" s="156">
        <f>AT2/($AI2)</f>
        <v>0.8765077541642734</v>
      </c>
      <c r="AV2" s="2">
        <v>1565</v>
      </c>
      <c r="AW2" s="156">
        <f>AV2/($AI2)</f>
        <v>0.89890867317633549</v>
      </c>
      <c r="AX2" s="2">
        <v>1228</v>
      </c>
      <c r="AY2" s="156">
        <f>AX2/($AI2)</f>
        <v>0.70534175761056861</v>
      </c>
      <c r="AZ2" s="2">
        <v>1276</v>
      </c>
      <c r="BA2" s="156">
        <f>AZ2/($AI2)</f>
        <v>0.73291211947156809</v>
      </c>
      <c r="BB2" s="2">
        <v>559</v>
      </c>
      <c r="BC2" s="156">
        <f>BB2/($AI2)</f>
        <v>0.32107983917288913</v>
      </c>
      <c r="BD2" s="10">
        <v>1139</v>
      </c>
      <c r="BE2" s="156">
        <f>BD2/($AI2)</f>
        <v>0.65422171165996557</v>
      </c>
      <c r="BG2" s="10">
        <v>1489</v>
      </c>
      <c r="BI2" s="10">
        <v>1326</v>
      </c>
      <c r="BK2" s="10">
        <v>1189</v>
      </c>
      <c r="BM2" s="10">
        <v>1249</v>
      </c>
      <c r="BO2" s="10">
        <v>1208</v>
      </c>
      <c r="BQ2" s="10">
        <v>1231</v>
      </c>
      <c r="BS2" s="10">
        <v>1168</v>
      </c>
      <c r="BU2" s="10">
        <v>1678</v>
      </c>
      <c r="BW2" s="10">
        <v>1719</v>
      </c>
      <c r="BY2" s="10">
        <v>1597</v>
      </c>
      <c r="CA2" s="10">
        <v>1154</v>
      </c>
      <c r="CC2" s="10">
        <v>1311</v>
      </c>
      <c r="CE2" s="10">
        <v>1493</v>
      </c>
      <c r="CG2" s="10">
        <v>1133</v>
      </c>
      <c r="CI2" s="10">
        <v>1154</v>
      </c>
      <c r="CK2" s="10">
        <v>1222</v>
      </c>
      <c r="CM2" s="10">
        <v>885</v>
      </c>
      <c r="CO2" s="10">
        <v>525</v>
      </c>
      <c r="CP2" s="10" t="s">
        <v>1718</v>
      </c>
    </row>
    <row r="3" spans="1:94" s="10" customFormat="1" ht="14.25" customHeight="1" thickBot="1">
      <c r="A3" s="122">
        <v>2</v>
      </c>
      <c r="B3" s="122" t="s">
        <v>25</v>
      </c>
      <c r="C3" s="120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9201</v>
      </c>
      <c r="AJ3" s="2">
        <v>10032</v>
      </c>
      <c r="AK3" s="2">
        <v>9547</v>
      </c>
      <c r="AL3" s="2">
        <v>12143</v>
      </c>
      <c r="AM3" s="156">
        <f>AL3/($AI3)</f>
        <v>1.3197478534941853</v>
      </c>
      <c r="AN3" s="2">
        <v>9961</v>
      </c>
      <c r="AO3" s="156">
        <f>AN3/($AI3)</f>
        <v>1.0825997174220194</v>
      </c>
      <c r="AP3" s="2">
        <v>9258</v>
      </c>
      <c r="AQ3" s="156">
        <f>AP3/($AI3)</f>
        <v>1.0061949788066515</v>
      </c>
      <c r="AR3" s="2">
        <v>9455</v>
      </c>
      <c r="AS3" s="156">
        <f>AR3/($AI3)</f>
        <v>1.0276056950331485</v>
      </c>
      <c r="AT3" s="2">
        <v>10775</v>
      </c>
      <c r="AU3" s="156">
        <f>AT3/($AI3)</f>
        <v>1.1710683621345506</v>
      </c>
      <c r="AV3" s="2">
        <v>9829</v>
      </c>
      <c r="AW3" s="156">
        <f>AV3/($AI3)</f>
        <v>1.068253450711879</v>
      </c>
      <c r="AX3" s="2">
        <v>7197</v>
      </c>
      <c r="AY3" s="156">
        <f>AX3/($AI3)</f>
        <v>0.78219758721878052</v>
      </c>
      <c r="AZ3" s="2">
        <v>9849</v>
      </c>
      <c r="BA3" s="156">
        <f>AZ3/($AI3)</f>
        <v>1.0704271274861428</v>
      </c>
      <c r="BB3" s="2">
        <v>4851</v>
      </c>
      <c r="BC3" s="156">
        <f>BB3/($AI3)</f>
        <v>0.52722530159765246</v>
      </c>
      <c r="BD3" s="10">
        <v>6763</v>
      </c>
      <c r="BE3" s="156">
        <f>BD3/($AI3)</f>
        <v>0.735028801217259</v>
      </c>
      <c r="BG3" s="10">
        <v>8176</v>
      </c>
      <c r="BI3" s="10">
        <v>8057</v>
      </c>
      <c r="BK3" s="10">
        <v>7340</v>
      </c>
      <c r="BM3" s="10">
        <v>6858</v>
      </c>
      <c r="BO3" s="10">
        <v>6832</v>
      </c>
      <c r="BQ3" s="10">
        <v>7799</v>
      </c>
      <c r="BS3" s="10">
        <v>7613</v>
      </c>
      <c r="BU3" s="10">
        <v>6641</v>
      </c>
      <c r="BW3" s="10">
        <v>7170</v>
      </c>
      <c r="BY3" s="10">
        <v>6555</v>
      </c>
      <c r="CA3" s="10">
        <v>8499</v>
      </c>
      <c r="CC3" s="10">
        <v>9240</v>
      </c>
      <c r="CE3" s="10">
        <v>8016</v>
      </c>
      <c r="CG3" s="10">
        <v>7981</v>
      </c>
      <c r="CI3" s="10">
        <v>8178</v>
      </c>
      <c r="CK3" s="10">
        <v>9058</v>
      </c>
      <c r="CM3" s="10">
        <v>7675</v>
      </c>
      <c r="CO3" s="10">
        <v>6295</v>
      </c>
      <c r="CP3" s="10" t="s">
        <v>1718</v>
      </c>
    </row>
    <row r="4" spans="1:94" s="10" customFormat="1" ht="27.75" customHeight="1" thickBot="1">
      <c r="A4" s="187">
        <v>3</v>
      </c>
      <c r="B4" s="240" t="s">
        <v>634</v>
      </c>
      <c r="C4" s="187" t="str">
        <f>E4</f>
        <v xml:space="preserve"> {"name":`${p.FamilyName1}`,"vorname":`${p.GirlFirstName1}`,"geburtsTag":`${p.BirthdayKid1}`,"aHV":`${p.AHVNumber3}`,"dossierName":`${p.DossierName1}`}</v>
      </c>
      <c r="D4" s="187" t="s">
        <v>28</v>
      </c>
      <c r="E4" s="187" t="str">
        <f>F4&amp;G4&amp;H4&amp;I4&amp;J4&amp;K4&amp;L4&amp;M4&amp;N4&amp;O4&amp;P4&amp;Q4&amp;R4&amp;S4&amp;T4&amp;U4&amp;V4&amp;W4&amp;X4&amp;Y4&amp;Z4&amp;AA4&amp;AB4&amp;AC4&amp;AD4&amp;AE4</f>
        <v xml:space="preserve"> {"name":`${p.FamilyName1}`,"vorname":`${p.GirlFirstName1}`,"geburtsTag":`${p.BirthdayKid1}`,"aHV":`${p.AHVNumber3}`,"dossierName":`${p.DossierName1}`}</v>
      </c>
      <c r="F4" s="240" t="s">
        <v>635</v>
      </c>
      <c r="G4" s="187" t="s">
        <v>636</v>
      </c>
      <c r="H4" s="255" t="s">
        <v>637</v>
      </c>
      <c r="I4" s="273" t="s">
        <v>638</v>
      </c>
      <c r="J4" s="24" t="s">
        <v>639</v>
      </c>
      <c r="K4" s="264" t="s">
        <v>640</v>
      </c>
      <c r="L4" s="265" t="s">
        <v>641</v>
      </c>
      <c r="M4" s="187" t="s">
        <v>642</v>
      </c>
      <c r="N4" s="24" t="s">
        <v>643</v>
      </c>
      <c r="O4" s="187" t="s">
        <v>644</v>
      </c>
      <c r="P4" s="187" t="s">
        <v>160</v>
      </c>
      <c r="Q4" s="24"/>
      <c r="R4" s="24"/>
      <c r="S4" s="25"/>
      <c r="T4" s="24"/>
      <c r="U4" s="25"/>
      <c r="V4" s="24"/>
      <c r="W4" s="24"/>
      <c r="X4" s="24"/>
      <c r="Y4" s="25"/>
      <c r="Z4" s="24"/>
      <c r="AA4" s="25"/>
      <c r="AB4" s="24"/>
      <c r="AC4" s="24"/>
      <c r="AD4" s="24"/>
      <c r="AE4" s="24"/>
      <c r="AF4" s="24"/>
      <c r="AG4" s="24"/>
      <c r="AH4" s="24"/>
      <c r="AI4" s="24">
        <v>8681</v>
      </c>
      <c r="AJ4" s="24">
        <v>5028</v>
      </c>
      <c r="AK4" s="24">
        <v>0</v>
      </c>
      <c r="AL4" s="24">
        <v>7106</v>
      </c>
      <c r="AM4" s="156">
        <f>AL4/($AI4)</f>
        <v>0.81856928925239025</v>
      </c>
      <c r="AN4" s="24">
        <v>6458</v>
      </c>
      <c r="AO4" s="156">
        <f>AN4/($AI4)</f>
        <v>0.7439235111162309</v>
      </c>
      <c r="AP4" s="24">
        <v>12436</v>
      </c>
      <c r="AQ4" s="156">
        <f>AP4/($AI4)</f>
        <v>1.432553853242714</v>
      </c>
      <c r="AR4" s="24">
        <v>6005</v>
      </c>
      <c r="AS4" s="156">
        <f>AR4/($AI4)</f>
        <v>0.69174058288215645</v>
      </c>
      <c r="AT4" s="24">
        <v>6047</v>
      </c>
      <c r="AU4" s="156">
        <f>AT4/($AI4)</f>
        <v>0.69657873516875934</v>
      </c>
      <c r="AV4" s="2">
        <v>5769</v>
      </c>
      <c r="AW4" s="156">
        <f>AV4/($AI4)</f>
        <v>0.66455477479553049</v>
      </c>
      <c r="AX4" s="2">
        <v>7295</v>
      </c>
      <c r="AY4" s="156">
        <f>AX4/($AI4)</f>
        <v>0.84034097454210344</v>
      </c>
      <c r="AZ4" s="2">
        <v>8172</v>
      </c>
      <c r="BA4" s="156">
        <f>AZ4/($AI4)</f>
        <v>0.94136620205045507</v>
      </c>
      <c r="BB4" s="2">
        <v>9896</v>
      </c>
      <c r="BC4" s="156">
        <f>BB4/($AI4)</f>
        <v>1.1399608340052989</v>
      </c>
      <c r="BD4" s="10">
        <v>7362</v>
      </c>
      <c r="BE4" s="156">
        <f>BD4/($AI4)</f>
        <v>0.84805897938025576</v>
      </c>
      <c r="BG4" s="10">
        <v>7242</v>
      </c>
      <c r="BI4" s="10">
        <v>3955</v>
      </c>
      <c r="BK4" s="10">
        <v>4623</v>
      </c>
      <c r="BM4" s="10">
        <v>7891</v>
      </c>
      <c r="BO4" s="10">
        <v>3728</v>
      </c>
      <c r="BQ4" s="10">
        <v>3677</v>
      </c>
      <c r="BS4" s="10">
        <v>3628</v>
      </c>
      <c r="BU4" s="10">
        <v>6733</v>
      </c>
      <c r="BW4" s="10">
        <v>8226</v>
      </c>
      <c r="BY4" s="10">
        <v>8279</v>
      </c>
      <c r="CA4" s="10">
        <v>4269</v>
      </c>
      <c r="CC4" s="10">
        <v>3617</v>
      </c>
      <c r="CE4" s="10">
        <v>2339</v>
      </c>
      <c r="CG4" s="10">
        <v>5276</v>
      </c>
      <c r="CI4" s="10">
        <v>4499</v>
      </c>
      <c r="CK4" s="10">
        <v>4042</v>
      </c>
      <c r="CM4" s="3802">
        <v>0</v>
      </c>
      <c r="CN4" s="3803" t="s">
        <v>1677</v>
      </c>
      <c r="CO4" s="4025">
        <v>0</v>
      </c>
      <c r="CP4" s="4026" t="s">
        <v>1729</v>
      </c>
    </row>
    <row r="5" spans="1:94">
      <c r="AM5" s="2"/>
      <c r="AO5" s="2"/>
      <c r="AQ5" s="2"/>
      <c r="AS5" s="2"/>
      <c r="AU5" s="2"/>
      <c r="AW5" s="2"/>
      <c r="AY5" s="2"/>
      <c r="BA5" s="2"/>
      <c r="BC5" s="2"/>
      <c r="BE5" s="2"/>
    </row>
  </sheetData>
  <conditionalFormatting sqref="AM2:AM4 AO2:AO4 AQ2:AQ4 AS2:AS4 AU2:AU4 AW2:AW4 AY2:AY4 AY6:AY146 AW6:AW146 AU6:AU146 AS6:AS146 AQ6:AQ146 AO6:AO146 AM6:AM146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4 BA6:BA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4 BC6:BC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4 BE6:BE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CP8"/>
  <sheetViews>
    <sheetView zoomScaleNormal="100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G9" sqref="G9"/>
    </sheetView>
  </sheetViews>
  <sheetFormatPr defaultRowHeight="14.25" customHeight="1"/>
  <cols>
    <col min="1" max="1" width="10.7109375" style="1" customWidth="1"/>
    <col min="2" max="2" width="28.28515625" style="15" customWidth="1"/>
    <col min="3" max="3" width="196.7109375" style="15" customWidth="1"/>
    <col min="4" max="19" width="9.140625" style="15" customWidth="1"/>
    <col min="20" max="20" width="17.5703125" style="15" customWidth="1"/>
    <col min="21" max="21" width="15.140625" style="15" customWidth="1"/>
    <col min="22" max="34" width="9.140625" style="15" customWidth="1"/>
    <col min="35" max="38" width="10.140625" style="15" customWidth="1"/>
    <col min="39" max="39" width="10.140625" style="12" customWidth="1"/>
    <col min="40" max="40" width="10.140625" style="15" customWidth="1"/>
    <col min="41" max="41" width="10.140625" style="12" customWidth="1"/>
    <col min="42" max="42" width="9.5703125" style="15" customWidth="1"/>
    <col min="43" max="43" width="10.140625" style="12" customWidth="1"/>
    <col min="44" max="44" width="9.5703125" style="15" customWidth="1"/>
    <col min="45" max="45" width="10.140625" style="12" customWidth="1"/>
    <col min="46" max="46" width="10.5703125" style="15" customWidth="1"/>
    <col min="47" max="47" width="9.85546875" style="12" customWidth="1"/>
    <col min="48" max="48" width="11" style="15" customWidth="1"/>
    <col min="49" max="49" width="10.140625" style="12" customWidth="1"/>
    <col min="50" max="50" width="11.5703125" style="15" customWidth="1"/>
    <col min="51" max="51" width="10.140625" style="12" customWidth="1"/>
    <col min="52" max="52" width="10.85546875" style="15" customWidth="1"/>
    <col min="53" max="53" width="10.85546875" style="12" customWidth="1"/>
    <col min="54" max="54" width="10.85546875" style="15" customWidth="1"/>
    <col min="55" max="55" width="10.85546875" style="12" customWidth="1"/>
    <col min="56" max="56" width="10.85546875" style="15" customWidth="1"/>
    <col min="57" max="57" width="10.85546875" style="12" customWidth="1"/>
    <col min="58" max="58" width="9.140625" style="15"/>
    <col min="59" max="59" width="20" style="15" customWidth="1"/>
    <col min="60" max="60" width="50" style="15" customWidth="1"/>
    <col min="61" max="61" width="20" style="15" customWidth="1"/>
    <col min="62" max="62" width="50" style="15" customWidth="1"/>
    <col min="63" max="63" width="20" style="15" customWidth="1"/>
    <col min="64" max="64" width="50" style="15" customWidth="1"/>
    <col min="65" max="65" width="20" style="15" customWidth="1"/>
    <col min="66" max="66" width="50" style="15" customWidth="1"/>
    <col min="67" max="67" width="20" style="15" customWidth="1"/>
    <col min="68" max="68" width="50" style="15" customWidth="1"/>
    <col min="69" max="69" width="20" style="15" customWidth="1"/>
    <col min="70" max="70" width="50" style="15" customWidth="1"/>
    <col min="71" max="71" width="20" style="15" customWidth="1"/>
    <col min="72" max="72" width="50" style="15" customWidth="1"/>
    <col min="73" max="73" width="20" style="15" customWidth="1"/>
    <col min="74" max="74" width="50" style="15" customWidth="1"/>
    <col min="75" max="75" width="20" style="15" customWidth="1"/>
    <col min="76" max="76" width="50" style="15" customWidth="1"/>
    <col min="77" max="77" width="20" style="15" customWidth="1"/>
    <col min="78" max="78" width="50" style="15" customWidth="1"/>
    <col min="79" max="79" width="20" style="15" customWidth="1"/>
    <col min="80" max="80" width="50" style="15" customWidth="1"/>
    <col min="81" max="81" width="20" style="15" customWidth="1"/>
    <col min="82" max="82" width="50" style="15" customWidth="1"/>
    <col min="83" max="83" width="20" style="15" customWidth="1"/>
    <col min="84" max="84" width="50" style="15" customWidth="1"/>
    <col min="85" max="85" width="20" style="15" customWidth="1"/>
    <col min="86" max="86" width="50" style="15" customWidth="1"/>
    <col min="87" max="87" width="20" style="15" customWidth="1"/>
    <col min="88" max="88" width="50" style="15" customWidth="1"/>
    <col min="89" max="89" width="20" style="15" customWidth="1"/>
    <col min="90" max="90" width="50" style="15" customWidth="1"/>
    <col min="91" max="91" width="20" style="15" customWidth="1"/>
    <col min="92" max="92" width="50" style="15" customWidth="1"/>
    <col min="93" max="93" width="20" style="15" customWidth="1"/>
    <col min="94" max="94" width="50" style="15" customWidth="1"/>
    <col min="95" max="16384" width="9.140625" style="15"/>
  </cols>
  <sheetData>
    <row r="1" spans="1:94" s="10" customFormat="1" ht="15.75" customHeight="1">
      <c r="A1" s="39" t="s">
        <v>0</v>
      </c>
      <c r="B1" s="37" t="s">
        <v>60</v>
      </c>
      <c r="C1" s="38" t="s">
        <v>61</v>
      </c>
      <c r="D1" s="39" t="s">
        <v>3</v>
      </c>
      <c r="E1" s="40"/>
      <c r="F1" s="41" t="s">
        <v>4</v>
      </c>
      <c r="G1" s="2558">
        <f>3*60*1000*SpeedFaktor</f>
        <v>180000</v>
      </c>
      <c r="H1" s="41">
        <v>100</v>
      </c>
      <c r="I1" s="2"/>
      <c r="J1" s="41"/>
      <c r="K1" s="2"/>
      <c r="L1" s="41"/>
      <c r="M1" s="2"/>
      <c r="N1" s="41"/>
      <c r="O1" s="2"/>
      <c r="P1" s="41"/>
      <c r="Q1" s="2"/>
      <c r="R1" s="41"/>
      <c r="S1" s="2"/>
      <c r="T1" s="41"/>
      <c r="U1" s="2"/>
      <c r="V1" s="4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5</v>
      </c>
      <c r="AI1" s="2" t="s">
        <v>489</v>
      </c>
      <c r="AJ1" s="2" t="s">
        <v>282</v>
      </c>
      <c r="AK1" s="2" t="s">
        <v>324</v>
      </c>
      <c r="AL1" s="2" t="s">
        <v>10</v>
      </c>
      <c r="AM1" s="24" t="s">
        <v>8</v>
      </c>
      <c r="AN1" s="2" t="s">
        <v>11</v>
      </c>
      <c r="AO1" s="24" t="s">
        <v>8</v>
      </c>
      <c r="AP1" s="2" t="s">
        <v>12</v>
      </c>
      <c r="AQ1" s="24" t="s">
        <v>8</v>
      </c>
      <c r="AR1" s="2" t="s">
        <v>13</v>
      </c>
      <c r="AS1" s="24" t="s">
        <v>8</v>
      </c>
      <c r="AT1" s="2" t="s">
        <v>65</v>
      </c>
      <c r="AU1" s="24" t="s">
        <v>8</v>
      </c>
      <c r="AV1" s="10" t="s">
        <v>15</v>
      </c>
      <c r="AW1" s="24" t="s">
        <v>8</v>
      </c>
      <c r="AX1" s="10" t="s">
        <v>645</v>
      </c>
      <c r="AY1" s="24" t="s">
        <v>8</v>
      </c>
      <c r="AZ1" s="10" t="s">
        <v>1285</v>
      </c>
      <c r="BA1" s="24" t="s">
        <v>8</v>
      </c>
      <c r="BB1" s="10" t="s">
        <v>1286</v>
      </c>
      <c r="BC1" s="24" t="s">
        <v>8</v>
      </c>
      <c r="BD1" s="514" t="s">
        <v>1303</v>
      </c>
      <c r="BE1" s="24" t="s">
        <v>8</v>
      </c>
      <c r="BG1" s="814" t="s">
        <v>1311</v>
      </c>
      <c r="BH1" s="815" t="s">
        <v>572</v>
      </c>
      <c r="BI1" s="940" t="s">
        <v>1318</v>
      </c>
      <c r="BJ1" s="941" t="s">
        <v>572</v>
      </c>
      <c r="BK1" s="1087" t="s">
        <v>1324</v>
      </c>
      <c r="BL1" s="1088" t="s">
        <v>572</v>
      </c>
      <c r="BM1" s="1288" t="s">
        <v>1341</v>
      </c>
      <c r="BN1" s="1289" t="s">
        <v>572</v>
      </c>
      <c r="BO1" s="1534" t="s">
        <v>1363</v>
      </c>
      <c r="BP1" s="1535" t="s">
        <v>572</v>
      </c>
      <c r="BQ1" s="1678" t="s">
        <v>1368</v>
      </c>
      <c r="BR1" s="1679" t="s">
        <v>572</v>
      </c>
      <c r="BS1" s="1819" t="s">
        <v>1371</v>
      </c>
      <c r="BT1" s="1820" t="s">
        <v>572</v>
      </c>
      <c r="BU1" s="2095" t="s">
        <v>1397</v>
      </c>
      <c r="BV1" s="2096" t="s">
        <v>572</v>
      </c>
      <c r="BW1" s="2283" t="s">
        <v>1421</v>
      </c>
      <c r="BX1" s="2284" t="s">
        <v>572</v>
      </c>
      <c r="BY1" s="2444" t="s">
        <v>1434</v>
      </c>
      <c r="BZ1" s="2445" t="s">
        <v>572</v>
      </c>
      <c r="CA1" s="2605" t="s">
        <v>1442</v>
      </c>
      <c r="CB1" s="2606" t="s">
        <v>572</v>
      </c>
      <c r="CC1" s="2788" t="s">
        <v>1460</v>
      </c>
      <c r="CD1" s="2789" t="s">
        <v>572</v>
      </c>
      <c r="CE1" s="2972" t="s">
        <v>1472</v>
      </c>
      <c r="CF1" s="2973" t="s">
        <v>572</v>
      </c>
      <c r="CG1" s="3160" t="s">
        <v>1492</v>
      </c>
      <c r="CH1" s="3161" t="s">
        <v>572</v>
      </c>
      <c r="CI1" s="3336" t="s">
        <v>1503</v>
      </c>
      <c r="CJ1" s="3337" t="s">
        <v>572</v>
      </c>
      <c r="CK1" s="3518" t="s">
        <v>1519</v>
      </c>
      <c r="CL1" s="3519" t="s">
        <v>572</v>
      </c>
      <c r="CM1" s="3804" t="s">
        <v>1666</v>
      </c>
      <c r="CN1" s="3805" t="s">
        <v>572</v>
      </c>
      <c r="CO1" s="4027" t="s">
        <v>1717</v>
      </c>
      <c r="CP1" s="4028" t="s">
        <v>572</v>
      </c>
    </row>
    <row r="2" spans="1:94" s="10" customFormat="1" ht="15.75" customHeight="1">
      <c r="A2" s="119">
        <v>1</v>
      </c>
      <c r="B2" s="122" t="s">
        <v>21</v>
      </c>
      <c r="C2" s="591" t="str">
        <f>'001a'!B59</f>
        <v>{"url":p.aventisURL}</v>
      </c>
      <c r="D2" s="13"/>
      <c r="E2" s="45" t="str">
        <f>F2&amp;G2&amp;H2&amp;I2&amp;J2&amp;K2&amp;L2&amp;M2&amp;N2&amp;O2&amp;P2&amp;Q2&amp;R2&amp;S2&amp;T2&amp;U2&amp;V2&amp;W2&amp;X2</f>
        <v>{"url":"https://dev.aventis.swiss"}</v>
      </c>
      <c r="F2" s="152" t="s">
        <v>67</v>
      </c>
      <c r="G2" s="153" t="s">
        <v>68</v>
      </c>
      <c r="H2" s="152" t="s">
        <v>37</v>
      </c>
      <c r="I2" s="13"/>
      <c r="J2" s="152"/>
      <c r="K2" s="13"/>
      <c r="L2" s="152"/>
      <c r="M2" s="13"/>
      <c r="N2" s="152"/>
      <c r="O2" s="13"/>
      <c r="P2" s="152"/>
      <c r="Q2" s="13"/>
      <c r="R2" s="152"/>
      <c r="S2" s="13"/>
      <c r="T2" s="152"/>
      <c r="U2" s="13"/>
      <c r="V2" s="152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>
        <v>1531</v>
      </c>
      <c r="AJ2" s="13">
        <v>1471</v>
      </c>
      <c r="AK2" s="13">
        <v>1518</v>
      </c>
      <c r="AL2" s="13">
        <v>2147</v>
      </c>
      <c r="AM2" s="156">
        <f>AL2/($AI2)</f>
        <v>1.402351404310908</v>
      </c>
      <c r="AN2" s="13">
        <v>1512</v>
      </c>
      <c r="AO2" s="156">
        <f>AN2/($AI2)</f>
        <v>0.98758981058131945</v>
      </c>
      <c r="AP2" s="13">
        <v>1592</v>
      </c>
      <c r="AQ2" s="156">
        <f>AP2/($AI2)</f>
        <v>1.0398432397126061</v>
      </c>
      <c r="AR2" s="13">
        <v>1419</v>
      </c>
      <c r="AS2" s="156">
        <f>AR2/($AI2)</f>
        <v>0.92684519921619857</v>
      </c>
      <c r="AT2" s="13">
        <v>1854</v>
      </c>
      <c r="AU2" s="156">
        <f>AT2/($AI2)</f>
        <v>1.2109732201175702</v>
      </c>
      <c r="AV2" s="2">
        <v>1347</v>
      </c>
      <c r="AW2" s="156">
        <f>AV2/($AI2)</f>
        <v>0.87981711299804055</v>
      </c>
      <c r="AX2" s="2">
        <v>1204</v>
      </c>
      <c r="AY2" s="156">
        <f>AX2/($AI2)</f>
        <v>0.78641410842586545</v>
      </c>
      <c r="AZ2" s="2">
        <v>1396</v>
      </c>
      <c r="BA2" s="156">
        <f>AZ2/($AI2)</f>
        <v>0.91182233834095361</v>
      </c>
      <c r="BB2" s="2">
        <v>556</v>
      </c>
      <c r="BC2" s="156">
        <f>BB2/($AI2)</f>
        <v>0.36316133246244287</v>
      </c>
      <c r="BD2" s="10">
        <v>1861</v>
      </c>
      <c r="BE2" s="156">
        <f>BD2/($AI2)</f>
        <v>1.2155453951665578</v>
      </c>
      <c r="BG2" s="10">
        <v>1350</v>
      </c>
      <c r="BI2" s="10">
        <v>1141</v>
      </c>
      <c r="BK2" s="10">
        <v>1254</v>
      </c>
      <c r="BM2" s="10">
        <v>1189</v>
      </c>
      <c r="BO2" s="10">
        <v>1210</v>
      </c>
      <c r="BQ2" s="10">
        <v>1327</v>
      </c>
      <c r="BS2" s="10">
        <v>1302</v>
      </c>
      <c r="BU2" s="10">
        <v>1570</v>
      </c>
      <c r="BW2" s="10">
        <v>1558</v>
      </c>
      <c r="BY2" s="10">
        <v>1763</v>
      </c>
      <c r="CA2" s="10">
        <v>1102</v>
      </c>
      <c r="CC2" s="10">
        <v>1157</v>
      </c>
      <c r="CE2" s="10">
        <v>1436</v>
      </c>
      <c r="CG2" s="10">
        <v>1111</v>
      </c>
      <c r="CI2" s="10">
        <v>1114</v>
      </c>
      <c r="CK2" s="10">
        <v>1101</v>
      </c>
      <c r="CM2" s="10">
        <v>935</v>
      </c>
      <c r="CO2" s="10">
        <v>586</v>
      </c>
      <c r="CP2" s="10" t="s">
        <v>1718</v>
      </c>
    </row>
    <row r="3" spans="1:94" s="10" customFormat="1" ht="15.75" customHeight="1">
      <c r="A3" s="119">
        <v>2</v>
      </c>
      <c r="B3" s="122" t="s">
        <v>25</v>
      </c>
      <c r="C3" s="121" t="str">
        <f>E3</f>
        <v>{"username":"bern.sozialarbeiterin1a@diartis.ch","password":"SMze97-jkSJ59!F.","fullname":"Sozialarbeiterin 1A Bern","team":"Sozialarbeit Bern 1"}</v>
      </c>
      <c r="D3" s="13"/>
      <c r="E3" s="45" t="str">
        <f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152" t="s">
        <v>29</v>
      </c>
      <c r="G3" s="13" t="s">
        <v>71</v>
      </c>
      <c r="H3" s="152" t="s">
        <v>31</v>
      </c>
      <c r="I3" s="13" t="s">
        <v>72</v>
      </c>
      <c r="J3" s="152" t="s">
        <v>73</v>
      </c>
      <c r="K3" s="13" t="s">
        <v>74</v>
      </c>
      <c r="L3" s="152" t="s">
        <v>75</v>
      </c>
      <c r="M3" s="13" t="s">
        <v>76</v>
      </c>
      <c r="N3" s="152" t="s">
        <v>37</v>
      </c>
      <c r="O3" s="13"/>
      <c r="P3" s="152"/>
      <c r="Q3" s="13"/>
      <c r="R3" s="152"/>
      <c r="S3" s="13"/>
      <c r="T3" s="152"/>
      <c r="U3" s="13"/>
      <c r="V3" s="152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>
        <v>9365</v>
      </c>
      <c r="AJ3" s="13">
        <v>9508</v>
      </c>
      <c r="AK3" s="13">
        <v>8605</v>
      </c>
      <c r="AL3" s="13">
        <v>12376</v>
      </c>
      <c r="AM3" s="156">
        <f t="shared" ref="AM3:BC4" si="0">AL3/($AI3)</f>
        <v>1.3215162840363055</v>
      </c>
      <c r="AN3" s="13">
        <v>10723</v>
      </c>
      <c r="AO3" s="156">
        <f t="shared" si="0"/>
        <v>1.1450080085424452</v>
      </c>
      <c r="AP3" s="13">
        <v>9641</v>
      </c>
      <c r="AQ3" s="156">
        <f t="shared" si="0"/>
        <v>1.0294714361986119</v>
      </c>
      <c r="AR3" s="13">
        <v>9421</v>
      </c>
      <c r="AS3" s="156">
        <f t="shared" si="0"/>
        <v>1.005979711692472</v>
      </c>
      <c r="AT3" s="13">
        <v>9849</v>
      </c>
      <c r="AU3" s="156">
        <f t="shared" si="0"/>
        <v>1.0516817939135077</v>
      </c>
      <c r="AV3" s="2">
        <v>10484</v>
      </c>
      <c r="AW3" s="156">
        <f t="shared" si="0"/>
        <v>1.1194874532835024</v>
      </c>
      <c r="AX3" s="2">
        <v>7897</v>
      </c>
      <c r="AY3" s="156">
        <f t="shared" si="0"/>
        <v>0.84324612920448483</v>
      </c>
      <c r="AZ3" s="2">
        <v>7701</v>
      </c>
      <c r="BA3" s="156">
        <f t="shared" si="0"/>
        <v>0.82231713828083286</v>
      </c>
      <c r="BB3" s="2">
        <v>4964</v>
      </c>
      <c r="BC3" s="156">
        <f t="shared" si="0"/>
        <v>0.5300587293112653</v>
      </c>
      <c r="BD3" s="10">
        <v>8276</v>
      </c>
      <c r="BE3" s="156">
        <f t="shared" ref="BE3:BE4" si="1">BD3/($AI3)</f>
        <v>0.88371596369460759</v>
      </c>
      <c r="BG3" s="10">
        <v>7915</v>
      </c>
      <c r="BI3" s="10">
        <v>7157</v>
      </c>
      <c r="BK3" s="10">
        <v>7221</v>
      </c>
      <c r="BM3" s="10">
        <v>6958</v>
      </c>
      <c r="BO3" s="10">
        <v>7191</v>
      </c>
      <c r="BQ3" s="10">
        <v>8858</v>
      </c>
      <c r="BS3" s="10">
        <v>7116</v>
      </c>
      <c r="BU3" s="10">
        <v>6422</v>
      </c>
      <c r="BW3" s="10">
        <v>7025</v>
      </c>
      <c r="BY3" s="10">
        <v>6109</v>
      </c>
      <c r="CA3" s="10">
        <v>7072</v>
      </c>
      <c r="CC3" s="10">
        <v>9255</v>
      </c>
      <c r="CE3" s="10">
        <v>7912</v>
      </c>
      <c r="CG3" s="10">
        <v>8559</v>
      </c>
      <c r="CI3" s="10">
        <v>9155</v>
      </c>
      <c r="CK3" s="10">
        <v>8686</v>
      </c>
      <c r="CM3" s="10">
        <v>7487</v>
      </c>
      <c r="CO3" s="10">
        <v>45349</v>
      </c>
      <c r="CP3" s="10" t="s">
        <v>1718</v>
      </c>
    </row>
    <row r="4" spans="1:94" s="10" customFormat="1" ht="17.25" customHeight="1">
      <c r="A4" s="21">
        <v>3</v>
      </c>
      <c r="B4" s="24" t="s">
        <v>646</v>
      </c>
      <c r="C4" s="187" t="str">
        <f>E4</f>
        <v>{"name":p.FamilyName1,"vorname":p.ManFirstName1,"AHVNummer":p.AHVNumber1,"geburtsdatum":p.BirthdayAdult1,"geschlecht":"","strasse":"","hausNr":"","ort":""}</v>
      </c>
      <c r="D4" s="24" t="s">
        <v>28</v>
      </c>
      <c r="E4" s="187" t="str">
        <f>F4&amp;G4&amp;H4&amp;I4&amp;J4&amp;K4&amp;L4&amp;M4&amp;N4&amp;O4&amp;P4&amp;Q4&amp;R4&amp;S4&amp;T4&amp;U4&amp;V4&amp;W4&amp;X4</f>
        <v>{"name":p.FamilyName1,"vorname":p.ManFirstName1,"AHVNummer":p.AHVNumber1,"geburtsdatum":p.BirthdayAdult1,"geschlecht":"","strasse":"","hausNr":"","ort":""}</v>
      </c>
      <c r="F4" s="274" t="s">
        <v>78</v>
      </c>
      <c r="G4" s="24" t="s">
        <v>647</v>
      </c>
      <c r="H4" s="274" t="s">
        <v>79</v>
      </c>
      <c r="I4" s="24" t="s">
        <v>648</v>
      </c>
      <c r="J4" s="274" t="s">
        <v>649</v>
      </c>
      <c r="K4" s="275" t="s">
        <v>650</v>
      </c>
      <c r="L4" s="274" t="s">
        <v>151</v>
      </c>
      <c r="M4" s="24" t="s">
        <v>651</v>
      </c>
      <c r="N4" s="274" t="s">
        <v>652</v>
      </c>
      <c r="O4" s="24"/>
      <c r="P4" s="274" t="s">
        <v>101</v>
      </c>
      <c r="Q4" s="24"/>
      <c r="R4" s="274" t="s">
        <v>653</v>
      </c>
      <c r="S4" s="24"/>
      <c r="T4" s="274" t="s">
        <v>103</v>
      </c>
      <c r="U4" s="24"/>
      <c r="V4" s="274" t="s">
        <v>37</v>
      </c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>
        <v>4014</v>
      </c>
      <c r="AJ4" s="24">
        <v>4027</v>
      </c>
      <c r="AK4" s="24">
        <v>0</v>
      </c>
      <c r="AL4" s="24">
        <v>5827</v>
      </c>
      <c r="AM4" s="156">
        <f t="shared" si="0"/>
        <v>1.4516691579471848</v>
      </c>
      <c r="AN4" s="24">
        <v>5034</v>
      </c>
      <c r="AO4" s="156">
        <f t="shared" si="0"/>
        <v>1.2541106128550075</v>
      </c>
      <c r="AP4" s="24">
        <v>5001</v>
      </c>
      <c r="AQ4" s="156">
        <f t="shared" si="0"/>
        <v>1.2458893871449925</v>
      </c>
      <c r="AR4" s="24">
        <v>5262</v>
      </c>
      <c r="AS4" s="156">
        <f t="shared" si="0"/>
        <v>1.3109118086696563</v>
      </c>
      <c r="AT4" s="24">
        <v>4958</v>
      </c>
      <c r="AU4" s="156">
        <f t="shared" si="0"/>
        <v>1.2351768809167911</v>
      </c>
      <c r="AV4" s="2">
        <v>5415</v>
      </c>
      <c r="AW4" s="156">
        <f t="shared" si="0"/>
        <v>1.3490284005979074</v>
      </c>
      <c r="AX4" s="2">
        <v>3360</v>
      </c>
      <c r="AY4" s="156">
        <f t="shared" si="0"/>
        <v>0.83707025411061287</v>
      </c>
      <c r="AZ4" s="2">
        <v>3364</v>
      </c>
      <c r="BA4" s="156">
        <f t="shared" si="0"/>
        <v>0.83806676631788735</v>
      </c>
      <c r="BB4" s="2">
        <v>2712</v>
      </c>
      <c r="BC4" s="156">
        <f t="shared" si="0"/>
        <v>0.67563527653213751</v>
      </c>
      <c r="BD4" s="10">
        <v>3597</v>
      </c>
      <c r="BE4" s="156">
        <f t="shared" si="1"/>
        <v>0.89611360239162929</v>
      </c>
      <c r="BG4" s="10">
        <v>4102</v>
      </c>
      <c r="BI4" s="10">
        <v>3334</v>
      </c>
      <c r="BK4" s="10">
        <v>3870</v>
      </c>
      <c r="BM4" s="10">
        <v>3120</v>
      </c>
      <c r="BO4" s="10">
        <v>3382</v>
      </c>
      <c r="BQ4" s="10">
        <v>4445</v>
      </c>
      <c r="BS4" s="10">
        <v>3473</v>
      </c>
      <c r="BU4" s="10">
        <v>2881</v>
      </c>
      <c r="BW4" s="10">
        <v>2960</v>
      </c>
      <c r="BY4" s="10">
        <v>2876</v>
      </c>
      <c r="CA4" s="10">
        <v>3282</v>
      </c>
      <c r="CC4" s="10">
        <v>3415</v>
      </c>
      <c r="CE4" s="10">
        <v>2544</v>
      </c>
      <c r="CG4" s="10">
        <v>2981</v>
      </c>
      <c r="CI4" s="10">
        <v>3705</v>
      </c>
      <c r="CK4" s="10">
        <v>7049</v>
      </c>
      <c r="CM4" s="3806">
        <v>0</v>
      </c>
      <c r="CN4" s="3807" t="s">
        <v>1678</v>
      </c>
      <c r="CO4" s="4029">
        <v>0</v>
      </c>
      <c r="CP4" s="4030" t="s">
        <v>1730</v>
      </c>
    </row>
    <row r="5" spans="1:94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56"/>
      <c r="AN5" s="2"/>
      <c r="AO5" s="156"/>
      <c r="AP5" s="2"/>
      <c r="AQ5" s="156"/>
      <c r="AR5" s="2"/>
      <c r="AS5" s="156"/>
      <c r="AT5" s="2"/>
      <c r="AU5" s="156"/>
      <c r="AW5" s="156"/>
      <c r="AY5" s="156"/>
      <c r="BA5" s="156"/>
      <c r="BC5" s="156"/>
      <c r="BE5" s="156"/>
    </row>
    <row r="6" spans="1:94" ht="42.75" customHeight="1">
      <c r="B6" s="2" t="s">
        <v>654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156"/>
      <c r="AN6" s="2"/>
      <c r="AO6" s="156"/>
      <c r="AP6" s="2"/>
      <c r="AQ6" s="156"/>
      <c r="AR6" s="2"/>
      <c r="AS6" s="156"/>
      <c r="AT6" s="2"/>
      <c r="AU6" s="156"/>
      <c r="AW6" s="156"/>
      <c r="AY6" s="156"/>
      <c r="BA6" s="156"/>
      <c r="BC6" s="156"/>
      <c r="BE6" s="156"/>
    </row>
    <row r="7" spans="1:94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W7" s="2"/>
      <c r="AY7" s="2"/>
      <c r="BA7" s="2"/>
      <c r="BC7" s="2"/>
      <c r="BE7" s="2"/>
    </row>
    <row r="8" spans="1:94" ht="57" customHeight="1">
      <c r="B8" s="2" t="s">
        <v>655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W8" s="2"/>
      <c r="AY8" s="2"/>
      <c r="BA8" s="2"/>
      <c r="BC8" s="2"/>
      <c r="BE8" s="2"/>
    </row>
  </sheetData>
  <conditionalFormatting sqref="AM2:AM146 AU2:AU146 BA2:BA146 BC2:BC146 BE2:BE146 AO2:AO146 AQ2:AQ146 AS2:AS146 AY2:AY146 AW2:AW146">
    <cfRule type="colorScale" priority="1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G2" r:id="rId1" xr:uid="{00000000-0004-0000-1300-000000000000}"/>
  </hyperlinks>
  <pageMargins left="0.7" right="0.7" top="0.75" bottom="0.75" header="0.3" footer="0.3"/>
  <pageSetup paperSize="9" orientation="portrait" useFirstPageNumber="1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CR21"/>
  <sheetViews>
    <sheetView zoomScaleNormal="100" workbookViewId="0">
      <pane xSplit="2" ySplit="2" topLeftCell="E3" activePane="bottomRight" state="frozen"/>
      <selection activeCell="H1" sqref="H1"/>
      <selection pane="topRight" activeCell="H1" sqref="H1"/>
      <selection pane="bottomLeft" activeCell="H1" sqref="H1"/>
      <selection pane="bottomRight" activeCell="P12" sqref="P12"/>
    </sheetView>
  </sheetViews>
  <sheetFormatPr defaultColWidth="9.140625" defaultRowHeight="14.25" customHeight="1"/>
  <cols>
    <col min="1" max="1" width="9.140625" style="1" customWidth="1"/>
    <col min="2" max="2" width="43.42578125" style="2" customWidth="1"/>
    <col min="3" max="3" width="170.28515625" style="2" customWidth="1"/>
    <col min="4" max="4" width="9.140625" style="2" customWidth="1"/>
    <col min="5" max="5" width="9.85546875" style="3" customWidth="1"/>
    <col min="6" max="6" width="9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22.5703125" style="2" customWidth="1"/>
    <col min="17" max="17" width="13.5703125" style="2" customWidth="1"/>
    <col min="18" max="18" width="29.7109375" style="2" customWidth="1"/>
    <col min="19" max="34" width="9.140625" style="2" customWidth="1"/>
    <col min="35" max="38" width="9.85546875" style="2" customWidth="1"/>
    <col min="39" max="39" width="9.85546875" style="12" customWidth="1"/>
    <col min="40" max="40" width="9.85546875" style="2" customWidth="1"/>
    <col min="41" max="41" width="9.85546875" style="12" customWidth="1"/>
    <col min="42" max="42" width="9.85546875" style="2" customWidth="1"/>
    <col min="43" max="43" width="9.85546875" style="12" customWidth="1"/>
    <col min="44" max="44" width="9.85546875" style="2" customWidth="1"/>
    <col min="45" max="45" width="9.85546875" style="12" customWidth="1"/>
    <col min="46" max="46" width="11" style="2" customWidth="1"/>
    <col min="47" max="47" width="9.85546875" style="12" customWidth="1"/>
    <col min="48" max="48" width="10.28515625" style="2" customWidth="1"/>
    <col min="49" max="49" width="9.85546875" style="12" customWidth="1"/>
    <col min="50" max="50" width="9.140625" style="2" customWidth="1"/>
    <col min="51" max="51" width="20" style="2" customWidth="1"/>
    <col min="52" max="52" width="50" style="2" customWidth="1"/>
    <col min="53" max="53" width="20" style="2" customWidth="1"/>
    <col min="54" max="54" width="50" style="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9.140625" style="2" customWidth="1"/>
    <col min="60" max="60" width="30" style="2" customWidth="1"/>
    <col min="61" max="61" width="50" style="2" customWidth="1"/>
    <col min="62" max="62" width="30" style="2" customWidth="1"/>
    <col min="63" max="63" width="50" style="2" customWidth="1"/>
    <col min="64" max="64" width="30" style="2" customWidth="1"/>
    <col min="65" max="65" width="50" style="2" customWidth="1"/>
    <col min="66" max="66" width="9.140625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95" width="20" style="2" customWidth="1"/>
    <col min="96" max="96" width="50" style="2" customWidth="1"/>
    <col min="97" max="16384" width="9.140625" style="2"/>
  </cols>
  <sheetData>
    <row r="1" spans="1:96" s="4" customFormat="1" ht="15.75" customHeight="1">
      <c r="A1" s="39" t="s">
        <v>0</v>
      </c>
      <c r="B1" s="39" t="s">
        <v>1</v>
      </c>
      <c r="C1" s="39" t="s">
        <v>2</v>
      </c>
      <c r="D1" s="39" t="s">
        <v>3</v>
      </c>
      <c r="E1" s="40"/>
      <c r="F1" s="4" t="s">
        <v>4</v>
      </c>
      <c r="G1" s="2558">
        <f>4*60*1000*SpeedFaktor</f>
        <v>240000</v>
      </c>
      <c r="H1" s="4">
        <v>10</v>
      </c>
      <c r="AH1" s="4" t="s">
        <v>5</v>
      </c>
      <c r="AI1" s="4" t="s">
        <v>489</v>
      </c>
      <c r="AJ1" s="4" t="s">
        <v>282</v>
      </c>
      <c r="AK1" s="4" t="s">
        <v>656</v>
      </c>
      <c r="AL1" s="4" t="s">
        <v>10</v>
      </c>
      <c r="AM1" s="43" t="s">
        <v>8</v>
      </c>
      <c r="AN1" s="4" t="s">
        <v>11</v>
      </c>
      <c r="AO1" s="43" t="s">
        <v>8</v>
      </c>
      <c r="AP1" s="4" t="s">
        <v>12</v>
      </c>
      <c r="AQ1" s="43" t="s">
        <v>8</v>
      </c>
      <c r="AR1" s="4" t="s">
        <v>13</v>
      </c>
      <c r="AS1" s="43" t="s">
        <v>8</v>
      </c>
      <c r="AT1" s="4" t="s">
        <v>65</v>
      </c>
      <c r="AU1" s="43" t="s">
        <v>8</v>
      </c>
      <c r="AV1" s="4" t="s">
        <v>15</v>
      </c>
      <c r="AW1" s="43" t="s">
        <v>8</v>
      </c>
      <c r="AY1" s="1434" t="s">
        <v>1303</v>
      </c>
      <c r="AZ1" s="1435" t="s">
        <v>572</v>
      </c>
      <c r="BA1" s="1436" t="s">
        <v>1311</v>
      </c>
      <c r="BB1" s="1437" t="s">
        <v>572</v>
      </c>
      <c r="BC1" s="1438" t="s">
        <v>1318</v>
      </c>
      <c r="BD1" s="1439" t="s">
        <v>572</v>
      </c>
      <c r="BE1" s="1440" t="s">
        <v>1324</v>
      </c>
      <c r="BF1" s="1441" t="s">
        <v>572</v>
      </c>
      <c r="BG1" s="7" t="s">
        <v>5</v>
      </c>
      <c r="BH1" s="4" t="s">
        <v>17</v>
      </c>
      <c r="BI1" s="4" t="s">
        <v>622</v>
      </c>
      <c r="BJ1" s="4" t="s">
        <v>1285</v>
      </c>
      <c r="BK1" s="4" t="s">
        <v>19</v>
      </c>
      <c r="BL1" s="4" t="s">
        <v>1286</v>
      </c>
      <c r="BM1" s="4" t="s">
        <v>20</v>
      </c>
      <c r="BO1" s="1442" t="s">
        <v>1341</v>
      </c>
      <c r="BP1" s="1443" t="s">
        <v>572</v>
      </c>
      <c r="BQ1" s="1536" t="s">
        <v>1363</v>
      </c>
      <c r="BR1" s="1537" t="s">
        <v>572</v>
      </c>
      <c r="BS1" s="1680" t="s">
        <v>1368</v>
      </c>
      <c r="BT1" s="1681" t="s">
        <v>572</v>
      </c>
      <c r="BU1" s="1821" t="s">
        <v>1371</v>
      </c>
      <c r="BV1" s="1822" t="s">
        <v>572</v>
      </c>
      <c r="BW1" s="2097" t="s">
        <v>1397</v>
      </c>
      <c r="BX1" s="2098" t="s">
        <v>572</v>
      </c>
      <c r="BY1" s="2285" t="s">
        <v>1421</v>
      </c>
      <c r="BZ1" s="2286" t="s">
        <v>572</v>
      </c>
      <c r="CA1" s="2446" t="s">
        <v>1434</v>
      </c>
      <c r="CB1" s="2447" t="s">
        <v>572</v>
      </c>
      <c r="CC1" s="2607" t="s">
        <v>1442</v>
      </c>
      <c r="CD1" s="2608" t="s">
        <v>572</v>
      </c>
      <c r="CE1" s="2790" t="s">
        <v>1460</v>
      </c>
      <c r="CF1" s="2791" t="s">
        <v>572</v>
      </c>
      <c r="CG1" s="2974" t="s">
        <v>1472</v>
      </c>
      <c r="CH1" s="2975" t="s">
        <v>572</v>
      </c>
      <c r="CI1" s="3162" t="s">
        <v>1492</v>
      </c>
      <c r="CJ1" s="3163" t="s">
        <v>572</v>
      </c>
      <c r="CK1" s="3338" t="s">
        <v>1503</v>
      </c>
      <c r="CL1" s="3339" t="s">
        <v>572</v>
      </c>
      <c r="CM1" s="3520" t="s">
        <v>1519</v>
      </c>
      <c r="CN1" s="3521" t="s">
        <v>572</v>
      </c>
      <c r="CO1" s="3808" t="s">
        <v>1666</v>
      </c>
      <c r="CP1" s="3809" t="s">
        <v>572</v>
      </c>
      <c r="CQ1" s="4031" t="s">
        <v>1717</v>
      </c>
      <c r="CR1" s="4032" t="s">
        <v>572</v>
      </c>
    </row>
    <row r="2" spans="1:96" ht="14.25" customHeight="1">
      <c r="A2" s="693">
        <v>1</v>
      </c>
      <c r="B2" s="676" t="s">
        <v>21</v>
      </c>
      <c r="C2" s="694" t="str">
        <f>'001a'!B59</f>
        <v>{"url":p.aventisURL}</v>
      </c>
      <c r="G2" s="2" t="s">
        <v>233</v>
      </c>
      <c r="AI2" s="2">
        <v>1588</v>
      </c>
      <c r="AJ2" s="2">
        <v>1467</v>
      </c>
      <c r="AK2" s="2">
        <v>1608</v>
      </c>
      <c r="AL2" s="2">
        <v>2249</v>
      </c>
      <c r="AM2" s="156">
        <f>AL2/($AI2)</f>
        <v>1.4162468513853905</v>
      </c>
      <c r="AN2" s="2">
        <v>1508</v>
      </c>
      <c r="AO2" s="156">
        <f>AN2/($AI2)</f>
        <v>0.94962216624685136</v>
      </c>
      <c r="AP2" s="2">
        <v>1377</v>
      </c>
      <c r="AQ2" s="156">
        <f>AP2/($AI2)</f>
        <v>0.86712846347607053</v>
      </c>
      <c r="AR2" s="2">
        <v>1447</v>
      </c>
      <c r="AS2" s="156">
        <f>AR2/($AI2)</f>
        <v>0.91120906801007562</v>
      </c>
      <c r="AT2" s="2">
        <v>1476</v>
      </c>
      <c r="AU2" s="156">
        <f>AT2/($AI2)</f>
        <v>0.92947103274559195</v>
      </c>
      <c r="AV2" s="2">
        <v>1367</v>
      </c>
      <c r="AW2" s="156">
        <f>AV2/($AI2)</f>
        <v>0.86083123425692698</v>
      </c>
      <c r="AY2" s="2">
        <v>1162</v>
      </c>
      <c r="BA2" s="2">
        <v>1371</v>
      </c>
      <c r="BC2" s="2">
        <v>1244</v>
      </c>
      <c r="BE2" s="2">
        <v>1308</v>
      </c>
      <c r="BH2" s="2">
        <v>1256</v>
      </c>
      <c r="BJ2" s="2">
        <v>1175</v>
      </c>
      <c r="BL2" s="2">
        <v>565</v>
      </c>
      <c r="BO2" s="2">
        <v>1165</v>
      </c>
      <c r="BQ2" s="2">
        <v>1994</v>
      </c>
      <c r="BS2" s="2">
        <v>1237</v>
      </c>
      <c r="BU2" s="2">
        <v>1229</v>
      </c>
      <c r="BW2" s="2">
        <v>1697</v>
      </c>
      <c r="BY2" s="2">
        <v>1613</v>
      </c>
      <c r="CA2" s="2">
        <v>1788</v>
      </c>
      <c r="CC2" s="2">
        <v>1018</v>
      </c>
      <c r="CE2" s="2">
        <v>1392</v>
      </c>
      <c r="CG2" s="2">
        <v>1470</v>
      </c>
      <c r="CI2" s="2">
        <v>1118</v>
      </c>
      <c r="CK2" s="2">
        <v>1190</v>
      </c>
      <c r="CM2" s="2">
        <v>1138</v>
      </c>
      <c r="CO2" s="2">
        <v>1017</v>
      </c>
      <c r="CQ2" s="2">
        <v>575</v>
      </c>
      <c r="CR2" s="2" t="s">
        <v>1718</v>
      </c>
    </row>
    <row r="3" spans="1:96" ht="14.25" customHeight="1">
      <c r="A3" s="693">
        <v>2</v>
      </c>
      <c r="B3" s="676" t="s">
        <v>25</v>
      </c>
      <c r="C3" s="695" t="s">
        <v>633</v>
      </c>
      <c r="AI3" s="2">
        <v>23836</v>
      </c>
      <c r="AJ3" s="2">
        <v>9119</v>
      </c>
      <c r="AK3" s="2">
        <v>10307</v>
      </c>
      <c r="AL3" s="2">
        <v>12597</v>
      </c>
      <c r="AM3" s="156">
        <f t="shared" ref="AM3:AM7" si="0">AL3/($AI3)</f>
        <v>0.52848632320859201</v>
      </c>
      <c r="AN3" s="2">
        <v>8988</v>
      </c>
      <c r="AO3" s="156">
        <f t="shared" ref="AO3:AO7" si="1">AN3/($AI3)</f>
        <v>0.37707669071991945</v>
      </c>
      <c r="AP3" s="2">
        <v>8824</v>
      </c>
      <c r="AQ3" s="156">
        <f t="shared" ref="AQ3:AQ7" si="2">AP3/($AI3)</f>
        <v>0.37019634166806509</v>
      </c>
      <c r="AR3" s="2">
        <v>9421</v>
      </c>
      <c r="AS3" s="156">
        <f t="shared" ref="AS3:AW7" si="3">AR3/($AI3)</f>
        <v>0.39524249035073</v>
      </c>
      <c r="AT3" s="2">
        <v>10475</v>
      </c>
      <c r="AU3" s="156">
        <f t="shared" si="3"/>
        <v>0.43946131901325725</v>
      </c>
      <c r="AV3" s="2">
        <v>9932</v>
      </c>
      <c r="AW3" s="156">
        <f t="shared" si="3"/>
        <v>0.41668065111595903</v>
      </c>
      <c r="AY3" s="2">
        <v>7107</v>
      </c>
      <c r="BA3" s="2">
        <v>7801</v>
      </c>
      <c r="BC3" s="2">
        <v>6973</v>
      </c>
      <c r="BE3" s="2">
        <v>7624</v>
      </c>
      <c r="BH3" s="2">
        <v>7108</v>
      </c>
      <c r="BJ3" s="2">
        <v>10847</v>
      </c>
      <c r="BL3" s="2">
        <v>4749</v>
      </c>
      <c r="BO3" s="2">
        <v>6533</v>
      </c>
      <c r="BQ3" s="2">
        <v>7250</v>
      </c>
      <c r="BS3" s="2">
        <v>8129</v>
      </c>
      <c r="BU3" s="2">
        <v>7064</v>
      </c>
      <c r="BW3" s="2">
        <v>6903</v>
      </c>
      <c r="BY3" s="2">
        <v>6629</v>
      </c>
      <c r="CA3" s="2">
        <v>6263</v>
      </c>
      <c r="CC3" s="2">
        <v>7100</v>
      </c>
      <c r="CE3" s="2">
        <v>10655</v>
      </c>
      <c r="CG3" s="2">
        <v>7871</v>
      </c>
      <c r="CI3" s="2">
        <v>8200</v>
      </c>
      <c r="CK3" s="2">
        <v>10988</v>
      </c>
      <c r="CM3" s="2">
        <v>8125</v>
      </c>
      <c r="CO3" s="2">
        <v>9053</v>
      </c>
      <c r="CQ3" s="2">
        <v>6292</v>
      </c>
      <c r="CR3" s="2" t="s">
        <v>1718</v>
      </c>
    </row>
    <row r="4" spans="1:96" s="15" customFormat="1" ht="18" customHeight="1">
      <c r="A4" s="693">
        <v>3</v>
      </c>
      <c r="B4" s="676" t="s">
        <v>139</v>
      </c>
      <c r="C4" s="676" t="str">
        <f>G4&amp;H4&amp;I4&amp;J4</f>
        <v>{"searchDossierOrKlient":p.DossierName1,"resultType":"Dossiers"}</v>
      </c>
      <c r="D4" s="2"/>
      <c r="E4" s="2"/>
      <c r="F4" s="2"/>
      <c r="G4" s="276" t="s">
        <v>140</v>
      </c>
      <c r="H4" s="277" t="s">
        <v>449</v>
      </c>
      <c r="I4" s="276" t="s">
        <v>623</v>
      </c>
      <c r="J4" s="2"/>
      <c r="K4" s="276"/>
      <c r="L4" s="2"/>
      <c r="M4" s="276"/>
      <c r="N4" s="2"/>
      <c r="O4" s="276"/>
      <c r="P4" s="2"/>
      <c r="Q4" s="276"/>
      <c r="R4" s="2"/>
      <c r="S4" s="276"/>
      <c r="T4" s="2"/>
      <c r="U4" s="278"/>
      <c r="V4" s="2"/>
      <c r="W4" s="278"/>
      <c r="X4" s="2"/>
      <c r="Y4" s="278"/>
      <c r="Z4" s="2"/>
      <c r="AA4" s="2"/>
      <c r="AB4" s="2"/>
      <c r="AC4" s="2"/>
      <c r="AD4" s="2"/>
      <c r="AE4" s="2"/>
      <c r="AF4" s="2"/>
      <c r="AG4" s="2"/>
      <c r="AH4" s="2"/>
      <c r="AI4" s="2">
        <v>11222</v>
      </c>
      <c r="AJ4" s="2">
        <v>10989</v>
      </c>
      <c r="AK4" s="2">
        <v>10550</v>
      </c>
      <c r="AL4" s="2">
        <v>11686</v>
      </c>
      <c r="AM4" s="156">
        <f t="shared" si="0"/>
        <v>1.0413473534129389</v>
      </c>
      <c r="AN4" s="2">
        <v>11652</v>
      </c>
      <c r="AO4" s="156">
        <f t="shared" si="1"/>
        <v>1.0383175904473356</v>
      </c>
      <c r="AP4" s="2">
        <v>11094</v>
      </c>
      <c r="AQ4" s="156">
        <f t="shared" si="2"/>
        <v>0.98859383354125829</v>
      </c>
      <c r="AR4" s="2">
        <v>10855</v>
      </c>
      <c r="AS4" s="156">
        <f t="shared" si="3"/>
        <v>0.96729638210657631</v>
      </c>
      <c r="AT4" s="2">
        <v>2795</v>
      </c>
      <c r="AU4" s="156">
        <f t="shared" si="3"/>
        <v>0.24906433790768134</v>
      </c>
      <c r="AV4" s="2">
        <v>2832</v>
      </c>
      <c r="AW4" s="156">
        <f t="shared" si="3"/>
        <v>0.2523614328996614</v>
      </c>
      <c r="AY4" s="15">
        <v>5307</v>
      </c>
      <c r="BA4" s="15">
        <v>5478</v>
      </c>
      <c r="BC4" s="15">
        <v>5367</v>
      </c>
      <c r="BE4" s="15">
        <v>5316</v>
      </c>
      <c r="BH4" s="2">
        <v>5051</v>
      </c>
      <c r="BI4" s="2"/>
      <c r="BJ4" s="2">
        <v>5264</v>
      </c>
      <c r="BK4" s="2"/>
      <c r="BL4" s="2">
        <v>5076</v>
      </c>
      <c r="BM4" s="2"/>
      <c r="BO4" s="15">
        <v>5323</v>
      </c>
      <c r="BQ4" s="15">
        <v>2895</v>
      </c>
      <c r="BS4" s="15">
        <v>3251</v>
      </c>
      <c r="BU4" s="15">
        <v>2940</v>
      </c>
      <c r="BW4" s="15">
        <v>5320</v>
      </c>
      <c r="BY4" s="15">
        <v>5283</v>
      </c>
      <c r="CA4" s="15">
        <v>5287</v>
      </c>
      <c r="CC4" s="15">
        <v>4905</v>
      </c>
      <c r="CE4" s="15">
        <v>4652</v>
      </c>
      <c r="CG4" s="15">
        <v>5096</v>
      </c>
      <c r="CI4" s="15">
        <v>4735</v>
      </c>
      <c r="CK4" s="15">
        <v>4936</v>
      </c>
      <c r="CM4" s="15">
        <v>4533</v>
      </c>
      <c r="CO4" s="15">
        <v>4900</v>
      </c>
      <c r="CQ4" s="15">
        <v>4679</v>
      </c>
      <c r="CR4" s="15" t="s">
        <v>1718</v>
      </c>
    </row>
    <row r="5" spans="1:96" s="53" customFormat="1" ht="18" customHeight="1">
      <c r="A5" s="21">
        <v>5</v>
      </c>
      <c r="B5" s="240" t="s">
        <v>337</v>
      </c>
      <c r="C5" s="231" t="str">
        <f ca="1">E5</f>
        <v>{"aufgabenStatus":"Nicht begonnen","aufgabenTitel":"Eine wichtige Aufgabe_012","faelligkeitDatum":"16.11.2025","zugewiesenAn":"Bern Sozialarbeiterin 1B","check":"Eine wichtige Aufgabe_012"}</v>
      </c>
      <c r="D5" s="24" t="s">
        <v>28</v>
      </c>
      <c r="E5" s="231" t="str">
        <f ca="1">G5&amp;H5&amp;I5&amp;J5&amp;K5&amp;L5&amp;M5&amp;N5&amp;O5&amp;P5&amp;Q5&amp;R5&amp;S5&amp;T5&amp;U5&amp;V5&amp;W5&amp;X5</f>
        <v>{"aufgabenStatus":"Nicht begonnen","aufgabenTitel":"Eine wichtige Aufgabe_012","faelligkeitDatum":"16.11.2025","zugewiesenAn":"Bern Sozialarbeiterin 1B","check":"Eine wichtige Aufgabe_012"}</v>
      </c>
      <c r="F5" s="279"/>
      <c r="G5" s="280"/>
      <c r="H5" s="280"/>
      <c r="I5" s="280" t="s">
        <v>338</v>
      </c>
      <c r="J5" s="24" t="s">
        <v>339</v>
      </c>
      <c r="K5" s="280" t="s">
        <v>340</v>
      </c>
      <c r="L5" s="24" t="str">
        <f>"Eine wichtige Aufgabe_012"</f>
        <v>Eine wichtige Aufgabe_012</v>
      </c>
      <c r="M5" s="280" t="s">
        <v>341</v>
      </c>
      <c r="N5" s="232" t="str">
        <f ca="1">TEXT(TEXT(TODAY()+12,"DD")&amp;"."&amp;TEXT(TODAY()+12,"MM")&amp;"."&amp;TEXT(TODAY()+12,"YYYY"),"DD.MM.YYYY")</f>
        <v>16.11.2025</v>
      </c>
      <c r="O5" s="280" t="s">
        <v>343</v>
      </c>
      <c r="P5" s="24" t="s">
        <v>344</v>
      </c>
      <c r="Q5" s="280" t="s">
        <v>345</v>
      </c>
      <c r="R5" s="24" t="str">
        <f>L5</f>
        <v>Eine wichtige Aufgabe_012</v>
      </c>
      <c r="S5" s="280" t="s">
        <v>37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>
        <v>6660</v>
      </c>
      <c r="AJ5" s="231">
        <v>0</v>
      </c>
      <c r="AK5" s="231">
        <v>0</v>
      </c>
      <c r="AL5" s="24">
        <v>7869</v>
      </c>
      <c r="AM5" s="156">
        <f t="shared" si="0"/>
        <v>1.1815315315315316</v>
      </c>
      <c r="AN5" s="24">
        <v>7391</v>
      </c>
      <c r="AO5" s="156">
        <f t="shared" si="1"/>
        <v>1.1097597597597597</v>
      </c>
      <c r="AP5" s="24">
        <v>6660</v>
      </c>
      <c r="AQ5" s="156">
        <f t="shared" si="2"/>
        <v>1</v>
      </c>
      <c r="AR5" s="24">
        <v>7181</v>
      </c>
      <c r="AS5" s="156">
        <f t="shared" si="3"/>
        <v>1.0782282282282283</v>
      </c>
      <c r="AT5" s="24">
        <v>7477</v>
      </c>
      <c r="AU5" s="156">
        <f t="shared" si="3"/>
        <v>1.1226726726726726</v>
      </c>
      <c r="AV5" s="2">
        <v>7451</v>
      </c>
      <c r="AW5" s="156">
        <f t="shared" si="3"/>
        <v>1.1187687687687689</v>
      </c>
      <c r="AY5" s="53">
        <v>5927</v>
      </c>
      <c r="BA5" s="53">
        <v>5847</v>
      </c>
      <c r="BC5" s="53">
        <v>6133</v>
      </c>
      <c r="BE5" s="53">
        <v>5869</v>
      </c>
      <c r="BH5" s="2">
        <v>5314</v>
      </c>
      <c r="BI5" s="2"/>
      <c r="BJ5" s="2">
        <v>5497</v>
      </c>
      <c r="BK5" s="2"/>
      <c r="BL5" s="2">
        <v>5402</v>
      </c>
      <c r="BM5" s="2"/>
      <c r="BO5" s="53">
        <v>5345</v>
      </c>
      <c r="BQ5" s="53">
        <v>5664</v>
      </c>
      <c r="BS5" s="53">
        <v>6154</v>
      </c>
      <c r="BU5" s="53">
        <v>5989</v>
      </c>
      <c r="BW5" s="53">
        <v>7245</v>
      </c>
      <c r="BY5" s="53">
        <v>5249</v>
      </c>
      <c r="CA5" s="53">
        <v>5290</v>
      </c>
      <c r="CC5" s="53">
        <v>5474</v>
      </c>
      <c r="CE5" s="53">
        <v>6210</v>
      </c>
      <c r="CG5" s="53">
        <v>8299</v>
      </c>
      <c r="CI5" s="53">
        <v>6824</v>
      </c>
      <c r="CK5" s="53">
        <v>7889</v>
      </c>
      <c r="CM5" s="53">
        <v>7675</v>
      </c>
      <c r="CO5" s="53">
        <v>7016</v>
      </c>
      <c r="CQ5" s="53">
        <v>8807</v>
      </c>
      <c r="CR5" s="53" t="s">
        <v>1718</v>
      </c>
    </row>
    <row r="6" spans="1:96" s="53" customFormat="1" ht="18" customHeight="1">
      <c r="A6" s="21">
        <v>6</v>
      </c>
      <c r="B6" s="240" t="s">
        <v>337</v>
      </c>
      <c r="C6" s="231" t="str">
        <f ca="1">E6</f>
        <v>{"aufgabenStatus":"Nicht begonnen","aufgabenTitel":"Eine weniger Wichtige Aufgabe_013","faelligkeitDatum":"17.11.2025","zugewiesenAn":"Bern Sozialarbeiterin 1B","check":"Eine weniger Wichtige Aufgabe_013"}</v>
      </c>
      <c r="D6" s="24" t="s">
        <v>28</v>
      </c>
      <c r="E6" s="231" t="str">
        <f ca="1">G6&amp;H6&amp;I6&amp;J6&amp;K6&amp;L6&amp;M6&amp;N6&amp;O6&amp;P6&amp;Q6&amp;R6&amp;S6&amp;T6&amp;U6&amp;V6&amp;W6&amp;X6</f>
        <v>{"aufgabenStatus":"Nicht begonnen","aufgabenTitel":"Eine weniger Wichtige Aufgabe_013","faelligkeitDatum":"17.11.2025","zugewiesenAn":"Bern Sozialarbeiterin 1B","check":"Eine weniger Wichtige Aufgabe_013"}</v>
      </c>
      <c r="F6" s="279"/>
      <c r="G6" s="280"/>
      <c r="H6" s="280"/>
      <c r="I6" s="280" t="s">
        <v>338</v>
      </c>
      <c r="J6" s="24" t="s">
        <v>339</v>
      </c>
      <c r="K6" s="280" t="s">
        <v>340</v>
      </c>
      <c r="L6" s="24" t="str">
        <f>"Eine weniger Wichtige Aufgabe_013"</f>
        <v>Eine weniger Wichtige Aufgabe_013</v>
      </c>
      <c r="M6" s="280" t="s">
        <v>341</v>
      </c>
      <c r="N6" s="232" t="str">
        <f ca="1">TEXT(TEXT(TODAY()+13,"DD")&amp;"."&amp;TEXT(TODAY()+13,"MM")&amp;"."&amp;TEXT(TODAY()+13,"YYYY"),"DD.MM.YYYY")</f>
        <v>17.11.2025</v>
      </c>
      <c r="O6" s="280" t="s">
        <v>343</v>
      </c>
      <c r="P6" s="24" t="s">
        <v>344</v>
      </c>
      <c r="Q6" s="280" t="s">
        <v>345</v>
      </c>
      <c r="R6" s="24" t="str">
        <f>L6</f>
        <v>Eine weniger Wichtige Aufgabe_013</v>
      </c>
      <c r="S6" s="280" t="s">
        <v>37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>
        <v>7101</v>
      </c>
      <c r="AJ6" s="24"/>
      <c r="AK6" s="231">
        <v>6486</v>
      </c>
      <c r="AL6" s="24">
        <v>7364</v>
      </c>
      <c r="AM6" s="156">
        <f t="shared" si="0"/>
        <v>1.037037037037037</v>
      </c>
      <c r="AN6" s="24">
        <v>7481</v>
      </c>
      <c r="AO6" s="156">
        <f t="shared" si="1"/>
        <v>1.0535135896352625</v>
      </c>
      <c r="AP6" s="24">
        <v>7101</v>
      </c>
      <c r="AQ6" s="156">
        <f t="shared" si="2"/>
        <v>1</v>
      </c>
      <c r="AR6" s="24">
        <v>7599</v>
      </c>
      <c r="AS6" s="156">
        <f t="shared" si="3"/>
        <v>1.0701309674693704</v>
      </c>
      <c r="AT6" s="24">
        <v>6135</v>
      </c>
      <c r="AU6" s="156">
        <f t="shared" si="3"/>
        <v>0.86396282213772713</v>
      </c>
      <c r="AV6" s="2">
        <v>7141</v>
      </c>
      <c r="AW6" s="156">
        <f t="shared" si="3"/>
        <v>1.0056330094352908</v>
      </c>
      <c r="AY6" s="53">
        <v>4726</v>
      </c>
      <c r="BA6" s="53">
        <v>4960</v>
      </c>
      <c r="BC6" s="53">
        <v>4780</v>
      </c>
      <c r="BE6" s="53">
        <v>4747</v>
      </c>
      <c r="BH6" s="2">
        <v>4643</v>
      </c>
      <c r="BI6" s="2"/>
      <c r="BJ6" s="2">
        <v>4749</v>
      </c>
      <c r="BK6" s="2"/>
      <c r="BL6" s="2">
        <v>4746</v>
      </c>
      <c r="BM6" s="2"/>
      <c r="BO6" s="53">
        <v>4649</v>
      </c>
      <c r="BQ6" s="53">
        <v>4882</v>
      </c>
      <c r="BS6" s="53">
        <v>5631</v>
      </c>
      <c r="BU6" s="53">
        <v>4796</v>
      </c>
      <c r="BW6" s="53">
        <v>4530</v>
      </c>
      <c r="BY6" s="53">
        <v>4558</v>
      </c>
      <c r="CA6" s="53">
        <v>5228</v>
      </c>
      <c r="CC6" s="53">
        <v>4286</v>
      </c>
      <c r="CE6" s="53">
        <v>5294</v>
      </c>
      <c r="CG6" s="53">
        <v>4123</v>
      </c>
      <c r="CI6" s="53">
        <v>4854</v>
      </c>
      <c r="CK6" s="53">
        <v>4819</v>
      </c>
      <c r="CM6" s="53">
        <v>5229</v>
      </c>
      <c r="CO6" s="53">
        <v>2235</v>
      </c>
      <c r="CQ6" s="53">
        <v>3084</v>
      </c>
      <c r="CR6" s="53" t="s">
        <v>1718</v>
      </c>
    </row>
    <row r="7" spans="1:96" s="53" customFormat="1" ht="18" customHeight="1">
      <c r="A7" s="21">
        <v>7</v>
      </c>
      <c r="B7" s="240" t="s">
        <v>337</v>
      </c>
      <c r="C7" s="231" t="str">
        <f ca="1">E7</f>
        <v>{"aufgabenStatus":"Nicht begonnen","aufgabenTitel":"Eine sehr wichtige Aufgabe_014","faelligkeitDatum":"18.11.2025","zugewiesenAn":"Bern Sozialarbeiterin 1B","check":"Eine sehr wichtige Aufgabe_014"}</v>
      </c>
      <c r="D7" s="24" t="s">
        <v>28</v>
      </c>
      <c r="E7" s="231" t="str">
        <f ca="1">G7&amp;H7&amp;I7&amp;J7&amp;K7&amp;L7&amp;M7&amp;N7&amp;O7&amp;P7&amp;Q7&amp;R7&amp;S7&amp;T7&amp;U7&amp;V7&amp;W7&amp;X7</f>
        <v>{"aufgabenStatus":"Nicht begonnen","aufgabenTitel":"Eine sehr wichtige Aufgabe_014","faelligkeitDatum":"18.11.2025","zugewiesenAn":"Bern Sozialarbeiterin 1B","check":"Eine sehr wichtige Aufgabe_014"}</v>
      </c>
      <c r="F7" s="279"/>
      <c r="G7" s="280"/>
      <c r="H7" s="280"/>
      <c r="I7" s="280" t="s">
        <v>338</v>
      </c>
      <c r="J7" s="24" t="s">
        <v>339</v>
      </c>
      <c r="K7" s="280" t="s">
        <v>340</v>
      </c>
      <c r="L7" s="24" t="str">
        <f>"Eine sehr wichtige Aufgabe_014"</f>
        <v>Eine sehr wichtige Aufgabe_014</v>
      </c>
      <c r="M7" s="280" t="s">
        <v>341</v>
      </c>
      <c r="N7" s="232" t="str">
        <f ca="1">TEXT(TEXT(TODAY()+14,"DD")&amp;"."&amp;TEXT(TODAY()+14,"MM")&amp;"."&amp;TEXT(TODAY()+14,"YYYY"),"DD.MM.YYYY")</f>
        <v>18.11.2025</v>
      </c>
      <c r="O7" s="280" t="s">
        <v>343</v>
      </c>
      <c r="P7" s="24" t="s">
        <v>344</v>
      </c>
      <c r="Q7" s="280" t="s">
        <v>345</v>
      </c>
      <c r="R7" s="24" t="str">
        <f>L7</f>
        <v>Eine sehr wichtige Aufgabe_014</v>
      </c>
      <c r="S7" s="280" t="s">
        <v>37</v>
      </c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>
        <v>6523</v>
      </c>
      <c r="AJ7" s="231">
        <v>264</v>
      </c>
      <c r="AK7" s="231">
        <v>6488</v>
      </c>
      <c r="AL7" s="24">
        <v>7168</v>
      </c>
      <c r="AM7" s="156">
        <f t="shared" si="0"/>
        <v>1.0988808830292811</v>
      </c>
      <c r="AN7" s="24">
        <v>6905</v>
      </c>
      <c r="AO7" s="156">
        <f t="shared" si="1"/>
        <v>1.0585620113444734</v>
      </c>
      <c r="AP7" s="24">
        <v>6523</v>
      </c>
      <c r="AQ7" s="156">
        <f t="shared" si="2"/>
        <v>1</v>
      </c>
      <c r="AR7" s="24">
        <v>7081</v>
      </c>
      <c r="AS7" s="156">
        <f t="shared" si="3"/>
        <v>1.0855434615974244</v>
      </c>
      <c r="AT7" s="24">
        <v>6069</v>
      </c>
      <c r="AU7" s="156">
        <f t="shared" si="3"/>
        <v>0.93040012264295568</v>
      </c>
      <c r="AV7" s="2">
        <v>6557</v>
      </c>
      <c r="AW7" s="156">
        <f t="shared" si="3"/>
        <v>1.0052123256170473</v>
      </c>
      <c r="AY7" s="53">
        <v>4702</v>
      </c>
      <c r="BA7" s="53">
        <v>4829</v>
      </c>
      <c r="BC7" s="53">
        <v>5043</v>
      </c>
      <c r="BE7" s="53">
        <v>4732</v>
      </c>
      <c r="BH7" s="2">
        <v>4493</v>
      </c>
      <c r="BI7" s="2"/>
      <c r="BJ7" s="2">
        <v>4645</v>
      </c>
      <c r="BK7" s="2"/>
      <c r="BL7" s="2">
        <v>4616</v>
      </c>
      <c r="BM7" s="2"/>
      <c r="BO7" s="53">
        <v>4804</v>
      </c>
      <c r="BQ7" s="53">
        <v>4821</v>
      </c>
      <c r="BS7" s="53">
        <v>4887</v>
      </c>
      <c r="BU7" s="53">
        <v>4750</v>
      </c>
      <c r="BW7" s="53">
        <v>4398</v>
      </c>
      <c r="BY7" s="53">
        <v>4454</v>
      </c>
      <c r="CA7" s="53">
        <v>4569</v>
      </c>
      <c r="CC7" s="53">
        <v>4229</v>
      </c>
      <c r="CE7" s="53">
        <v>5038</v>
      </c>
      <c r="CG7" s="53">
        <v>3857</v>
      </c>
      <c r="CI7" s="53">
        <v>4163</v>
      </c>
      <c r="CK7" s="53">
        <v>4548</v>
      </c>
      <c r="CM7" s="53">
        <v>4534</v>
      </c>
      <c r="CO7" s="53">
        <v>2197</v>
      </c>
      <c r="CQ7" s="53">
        <v>3166</v>
      </c>
      <c r="CR7" s="53" t="s">
        <v>1718</v>
      </c>
    </row>
    <row r="8" spans="1:96"/>
    <row r="9" spans="1:96"/>
    <row r="10" spans="1:96"/>
    <row r="11" spans="1:96"/>
    <row r="12" spans="1:96"/>
    <row r="13" spans="1:96"/>
    <row r="14" spans="1:96"/>
    <row r="15" spans="1:96"/>
    <row r="16" spans="1:96"/>
    <row r="17"/>
    <row r="18"/>
    <row r="19"/>
    <row r="20"/>
    <row r="21"/>
  </sheetData>
  <conditionalFormatting sqref="AM2:AM140 AO2:AO140 AQ2:AQ140 AS2:AS140 AU2:AU140 AW2:AW140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orientation="portrait" useFirstPageNumber="1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CP8"/>
  <sheetViews>
    <sheetView zoomScaleNormal="100" workbookViewId="0">
      <pane xSplit="2" ySplit="1" topLeftCell="D2" activePane="bottomRight" state="frozen"/>
      <selection activeCell="H1" sqref="H1"/>
      <selection pane="topRight" activeCell="H1" sqref="H1"/>
      <selection pane="bottomLeft" activeCell="H1" sqref="H1"/>
      <selection pane="bottomRight" activeCell="B18" sqref="B18"/>
    </sheetView>
  </sheetViews>
  <sheetFormatPr defaultColWidth="9.140625" defaultRowHeight="14.25" customHeight="1"/>
  <cols>
    <col min="1" max="1" width="9.140625" style="1" customWidth="1"/>
    <col min="2" max="2" width="28.28515625" style="2" customWidth="1"/>
    <col min="3" max="3" width="125.7109375" style="2" customWidth="1"/>
    <col min="4" max="4" width="9.140625" style="2" customWidth="1"/>
    <col min="5" max="5" width="9.85546875" style="3" customWidth="1"/>
    <col min="6" max="6" width="9.85546875" style="2" customWidth="1"/>
    <col min="7" max="7" width="26.85546875" style="2" customWidth="1"/>
    <col min="8" max="8" width="40.7109375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24.5703125" style="2" customWidth="1"/>
    <col min="13" max="13" width="9.140625" style="2" customWidth="1"/>
    <col min="14" max="14" width="10.140625" style="2" customWidth="1"/>
    <col min="15" max="15" width="9.140625" style="2" customWidth="1"/>
    <col min="16" max="16" width="33" style="2" customWidth="1"/>
    <col min="17" max="17" width="13.5703125" style="2" customWidth="1"/>
    <col min="18" max="18" width="24.5703125" style="2" customWidth="1"/>
    <col min="19" max="34" width="9.140625" style="2" customWidth="1"/>
    <col min="35" max="35" width="30" style="2" customWidth="1"/>
    <col min="36" max="36" width="10" style="2" customWidth="1"/>
    <col min="37" max="39" width="9.28515625" style="2" customWidth="1"/>
    <col min="40" max="40" width="9.85546875" style="12" customWidth="1"/>
    <col min="41" max="41" width="9.28515625" style="2" customWidth="1"/>
    <col min="42" max="42" width="9.85546875" style="12" customWidth="1"/>
    <col min="43" max="43" width="9.28515625" style="2" customWidth="1"/>
    <col min="44" max="44" width="9.85546875" style="12" customWidth="1"/>
    <col min="45" max="45" width="9.28515625" style="2" customWidth="1"/>
    <col min="46" max="46" width="9.85546875" style="12" customWidth="1"/>
    <col min="47" max="47" width="11.85546875" style="2" customWidth="1"/>
    <col min="48" max="48" width="9.85546875" style="12" customWidth="1"/>
    <col min="49" max="49" width="11.5703125" style="2" customWidth="1"/>
    <col min="50" max="50" width="9.85546875" style="12" customWidth="1"/>
    <col min="51" max="51" width="10" style="2" customWidth="1"/>
    <col min="52" max="52" width="10" style="12" customWidth="1"/>
    <col min="53" max="53" width="10" style="2" customWidth="1"/>
    <col min="54" max="54" width="10" style="12" customWidth="1"/>
    <col min="55" max="55" width="10" style="2" customWidth="1"/>
    <col min="56" max="56" width="10" style="12" customWidth="1"/>
    <col min="57" max="57" width="10" style="2" customWidth="1"/>
    <col min="58" max="58" width="10" style="1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s="4" customFormat="1" ht="15" customHeight="1">
      <c r="A1" s="39" t="s">
        <v>0</v>
      </c>
      <c r="B1" s="39" t="s">
        <v>1</v>
      </c>
      <c r="C1" s="39" t="s">
        <v>2</v>
      </c>
      <c r="D1" s="39" t="s">
        <v>3</v>
      </c>
      <c r="E1" s="40"/>
      <c r="F1" s="4" t="s">
        <v>4</v>
      </c>
      <c r="G1" s="2558">
        <f>3*60*1000*SpeedFaktor</f>
        <v>180000</v>
      </c>
      <c r="H1" s="4">
        <v>10</v>
      </c>
      <c r="AH1" s="4" t="s">
        <v>5</v>
      </c>
      <c r="AI1" s="4" t="s">
        <v>657</v>
      </c>
      <c r="AJ1" s="4" t="s">
        <v>658</v>
      </c>
      <c r="AK1" s="4" t="s">
        <v>656</v>
      </c>
      <c r="AL1" s="4" t="s">
        <v>324</v>
      </c>
      <c r="AM1" s="4" t="s">
        <v>10</v>
      </c>
      <c r="AN1" s="43" t="s">
        <v>8</v>
      </c>
      <c r="AO1" s="4" t="s">
        <v>11</v>
      </c>
      <c r="AP1" s="43" t="s">
        <v>8</v>
      </c>
      <c r="AQ1" s="4" t="s">
        <v>12</v>
      </c>
      <c r="AR1" s="43" t="s">
        <v>8</v>
      </c>
      <c r="AS1" s="4" t="s">
        <v>13</v>
      </c>
      <c r="AT1" s="43" t="s">
        <v>8</v>
      </c>
      <c r="AU1" s="4" t="s">
        <v>65</v>
      </c>
      <c r="AV1" s="43" t="s">
        <v>8</v>
      </c>
      <c r="AW1" s="4" t="s">
        <v>15</v>
      </c>
      <c r="AX1" s="43" t="s">
        <v>8</v>
      </c>
      <c r="AY1" s="12" t="s">
        <v>17</v>
      </c>
      <c r="AZ1" s="43" t="s">
        <v>8</v>
      </c>
      <c r="BA1" s="12" t="s">
        <v>1285</v>
      </c>
      <c r="BB1" s="43" t="s">
        <v>8</v>
      </c>
      <c r="BC1" s="12" t="s">
        <v>1286</v>
      </c>
      <c r="BD1" s="43" t="s">
        <v>8</v>
      </c>
      <c r="BE1" s="1444" t="s">
        <v>1303</v>
      </c>
      <c r="BF1" s="43" t="s">
        <v>8</v>
      </c>
      <c r="BG1" s="1445" t="s">
        <v>1311</v>
      </c>
      <c r="BH1" s="1446" t="s">
        <v>572</v>
      </c>
      <c r="BI1" s="1447" t="s">
        <v>1318</v>
      </c>
      <c r="BJ1" s="1448" t="s">
        <v>572</v>
      </c>
      <c r="BK1" s="1449" t="s">
        <v>1324</v>
      </c>
      <c r="BL1" s="1450" t="s">
        <v>572</v>
      </c>
      <c r="BM1" s="1451" t="s">
        <v>1341</v>
      </c>
      <c r="BN1" s="1452" t="s">
        <v>572</v>
      </c>
      <c r="BO1" s="1538" t="s">
        <v>1363</v>
      </c>
      <c r="BP1" s="1539" t="s">
        <v>572</v>
      </c>
      <c r="BQ1" s="1682" t="s">
        <v>1368</v>
      </c>
      <c r="BR1" s="1683" t="s">
        <v>572</v>
      </c>
      <c r="BS1" s="1823" t="s">
        <v>1371</v>
      </c>
      <c r="BT1" s="1824" t="s">
        <v>572</v>
      </c>
      <c r="BU1" s="2099" t="s">
        <v>1397</v>
      </c>
      <c r="BV1" s="2100" t="s">
        <v>572</v>
      </c>
      <c r="BW1" s="2287" t="s">
        <v>1421</v>
      </c>
      <c r="BX1" s="2288" t="s">
        <v>572</v>
      </c>
      <c r="BY1" s="2448" t="s">
        <v>1434</v>
      </c>
      <c r="BZ1" s="2449" t="s">
        <v>572</v>
      </c>
      <c r="CA1" s="2609" t="s">
        <v>1442</v>
      </c>
      <c r="CB1" s="2610" t="s">
        <v>572</v>
      </c>
      <c r="CC1" s="2792" t="s">
        <v>1460</v>
      </c>
      <c r="CD1" s="2793" t="s">
        <v>572</v>
      </c>
      <c r="CE1" s="2976" t="s">
        <v>1472</v>
      </c>
      <c r="CF1" s="2977" t="s">
        <v>572</v>
      </c>
      <c r="CG1" s="3164" t="s">
        <v>1492</v>
      </c>
      <c r="CH1" s="3165" t="s">
        <v>572</v>
      </c>
      <c r="CI1" s="3340" t="s">
        <v>1503</v>
      </c>
      <c r="CJ1" s="3341" t="s">
        <v>572</v>
      </c>
      <c r="CK1" s="3522" t="s">
        <v>1519</v>
      </c>
      <c r="CL1" s="3523" t="s">
        <v>572</v>
      </c>
      <c r="CM1" s="3810" t="s">
        <v>1666</v>
      </c>
      <c r="CN1" s="3811" t="s">
        <v>572</v>
      </c>
      <c r="CO1" s="4033" t="s">
        <v>1717</v>
      </c>
      <c r="CP1" s="4034" t="s">
        <v>572</v>
      </c>
    </row>
    <row r="2" spans="1:94" ht="14.25" customHeight="1">
      <c r="A2" s="693">
        <v>1</v>
      </c>
      <c r="B2" s="676" t="s">
        <v>21</v>
      </c>
      <c r="C2" s="694" t="str">
        <f>'001a'!B59</f>
        <v>{"url":p.aventisURL}</v>
      </c>
      <c r="AI2" s="2">
        <v>1843</v>
      </c>
      <c r="AJ2" s="2">
        <v>1809</v>
      </c>
      <c r="AK2" s="2">
        <v>1499</v>
      </c>
      <c r="AL2" s="2">
        <v>1647</v>
      </c>
      <c r="AM2" s="2">
        <v>1701</v>
      </c>
      <c r="AN2" s="156">
        <f>AM2/($AI2)</f>
        <v>0.92295170916983182</v>
      </c>
      <c r="AO2" s="2">
        <v>1654</v>
      </c>
      <c r="AP2" s="156">
        <f>AO2/($AI2)</f>
        <v>0.8974498100922409</v>
      </c>
      <c r="AQ2" s="2">
        <v>1324</v>
      </c>
      <c r="AR2" s="156">
        <f>AQ2/($AI2)</f>
        <v>0.71839392295170912</v>
      </c>
      <c r="AS2" s="2">
        <v>1490</v>
      </c>
      <c r="AT2" s="156">
        <f>AS2/($AI2)</f>
        <v>0.80846446011937056</v>
      </c>
      <c r="AU2" s="2">
        <v>1337</v>
      </c>
      <c r="AV2" s="156">
        <f>AU2/($AI2)</f>
        <v>0.72544763971785131</v>
      </c>
      <c r="AW2" s="2">
        <v>1895</v>
      </c>
      <c r="AX2" s="156">
        <f>AW2/($AI2)</f>
        <v>1.0282148670645685</v>
      </c>
      <c r="AY2" s="2">
        <v>1191</v>
      </c>
      <c r="AZ2" s="156">
        <f>AY2/($AI2)</f>
        <v>0.64622897449810091</v>
      </c>
      <c r="BA2" s="2">
        <v>1162</v>
      </c>
      <c r="BB2" s="156">
        <f>BA2/($AI2)</f>
        <v>0.6304937601736299</v>
      </c>
      <c r="BC2" s="2">
        <v>569</v>
      </c>
      <c r="BD2" s="156">
        <f>BC2/($AI2)</f>
        <v>0.30873575691806837</v>
      </c>
      <c r="BE2" s="2">
        <v>1202</v>
      </c>
      <c r="BF2" s="156">
        <f>BE2/($AI2)</f>
        <v>0.65219750406945198</v>
      </c>
      <c r="BG2" s="2">
        <v>1340</v>
      </c>
      <c r="BI2" s="2">
        <v>1161</v>
      </c>
      <c r="BK2" s="2">
        <v>1204</v>
      </c>
      <c r="BM2" s="2">
        <v>1173</v>
      </c>
      <c r="BO2" s="2">
        <v>1197</v>
      </c>
      <c r="BQ2" s="2">
        <v>1269</v>
      </c>
      <c r="BS2" s="2">
        <v>1185</v>
      </c>
      <c r="BU2" s="2">
        <v>2017</v>
      </c>
      <c r="BW2" s="2">
        <v>1734</v>
      </c>
      <c r="BY2" s="2">
        <v>1693</v>
      </c>
      <c r="CA2" s="2">
        <v>1158</v>
      </c>
      <c r="CC2" s="2">
        <v>1353</v>
      </c>
      <c r="CE2" s="2">
        <v>1522</v>
      </c>
      <c r="CG2" s="2">
        <v>1212</v>
      </c>
      <c r="CI2" s="2">
        <v>1154</v>
      </c>
      <c r="CK2" s="2">
        <v>1133</v>
      </c>
      <c r="CM2" s="2">
        <v>936</v>
      </c>
      <c r="CO2" s="2">
        <v>625</v>
      </c>
      <c r="CP2" s="2" t="s">
        <v>1718</v>
      </c>
    </row>
    <row r="3" spans="1:94" ht="14.25" customHeight="1">
      <c r="A3" s="693">
        <v>2</v>
      </c>
      <c r="B3" s="676" t="s">
        <v>25</v>
      </c>
      <c r="C3" s="695" t="s">
        <v>633</v>
      </c>
      <c r="AI3" s="2">
        <v>7280</v>
      </c>
      <c r="AJ3" s="2">
        <v>6454</v>
      </c>
      <c r="AK3" s="2">
        <v>9842</v>
      </c>
      <c r="AL3" s="2">
        <v>8464</v>
      </c>
      <c r="AM3" s="2">
        <v>11707</v>
      </c>
      <c r="AN3" s="156">
        <f t="shared" ref="AN3:BF5" si="0">AM3/($AI3)</f>
        <v>1.6081043956043957</v>
      </c>
      <c r="AO3" s="2">
        <v>9269</v>
      </c>
      <c r="AP3" s="156">
        <f t="shared" si="0"/>
        <v>1.2732142857142856</v>
      </c>
      <c r="AQ3" s="2">
        <v>8490</v>
      </c>
      <c r="AR3" s="156">
        <f t="shared" si="0"/>
        <v>1.1662087912087913</v>
      </c>
      <c r="AS3" s="2">
        <v>9355</v>
      </c>
      <c r="AT3" s="156">
        <f t="shared" si="0"/>
        <v>1.2850274725274726</v>
      </c>
      <c r="AU3" s="2">
        <v>10019</v>
      </c>
      <c r="AV3" s="156">
        <f t="shared" si="0"/>
        <v>1.3762362637362637</v>
      </c>
      <c r="AW3" s="2">
        <v>9881</v>
      </c>
      <c r="AX3" s="156">
        <f t="shared" si="0"/>
        <v>1.3572802197802198</v>
      </c>
      <c r="AY3" s="2">
        <v>7394</v>
      </c>
      <c r="AZ3" s="156">
        <f t="shared" si="0"/>
        <v>1.0156593406593406</v>
      </c>
      <c r="BA3" s="2">
        <v>7434</v>
      </c>
      <c r="BB3" s="156">
        <f t="shared" si="0"/>
        <v>1.0211538461538461</v>
      </c>
      <c r="BC3" s="2">
        <v>5055</v>
      </c>
      <c r="BD3" s="156">
        <f t="shared" si="0"/>
        <v>0.69436813186813184</v>
      </c>
      <c r="BE3" s="2">
        <v>7164</v>
      </c>
      <c r="BF3" s="156">
        <f t="shared" si="0"/>
        <v>0.98406593406593401</v>
      </c>
      <c r="BG3" s="2">
        <v>8880</v>
      </c>
      <c r="BI3" s="2">
        <v>7108</v>
      </c>
      <c r="BK3" s="2">
        <v>7031</v>
      </c>
      <c r="BM3" s="2">
        <v>6662</v>
      </c>
      <c r="BO3" s="2">
        <v>7114</v>
      </c>
      <c r="BQ3" s="2">
        <v>7345</v>
      </c>
      <c r="BS3" s="2">
        <v>7044</v>
      </c>
      <c r="BU3" s="2">
        <v>6631</v>
      </c>
      <c r="BW3" s="2">
        <v>6827</v>
      </c>
      <c r="BY3" s="2">
        <v>6278</v>
      </c>
      <c r="CA3" s="2">
        <v>6985</v>
      </c>
      <c r="CC3" s="2">
        <v>10821</v>
      </c>
      <c r="CE3" s="2">
        <v>8095</v>
      </c>
      <c r="CG3" s="2">
        <v>8571</v>
      </c>
      <c r="CI3" s="2">
        <v>8312</v>
      </c>
      <c r="CK3" s="2">
        <v>8810</v>
      </c>
      <c r="CM3" s="2">
        <v>7844</v>
      </c>
      <c r="CO3" s="2">
        <v>6577</v>
      </c>
      <c r="CP3" s="2" t="s">
        <v>1718</v>
      </c>
    </row>
    <row r="4" spans="1:94" s="15" customFormat="1" ht="17.25" customHeight="1">
      <c r="A4" s="693">
        <v>3</v>
      </c>
      <c r="B4" s="676" t="s">
        <v>139</v>
      </c>
      <c r="C4" s="676" t="str">
        <f>G4&amp;H4&amp;I4&amp;J4</f>
        <v>{"searchDossierOrKlient":p.DossierName1,"resultType":"Dossiers"}</v>
      </c>
      <c r="D4" s="2"/>
      <c r="E4" s="2"/>
      <c r="F4" s="2"/>
      <c r="G4" s="276" t="s">
        <v>140</v>
      </c>
      <c r="H4" s="277" t="s">
        <v>449</v>
      </c>
      <c r="I4" s="276" t="s">
        <v>623</v>
      </c>
      <c r="J4" s="2"/>
      <c r="K4" s="276"/>
      <c r="L4" s="2"/>
      <c r="M4" s="276"/>
      <c r="N4" s="2"/>
      <c r="O4" s="276"/>
      <c r="P4" s="2"/>
      <c r="Q4" s="276"/>
      <c r="R4" s="2"/>
      <c r="S4" s="276"/>
      <c r="T4" s="2"/>
      <c r="U4" s="278"/>
      <c r="V4" s="2"/>
      <c r="W4" s="278"/>
      <c r="X4" s="2"/>
      <c r="Y4" s="278"/>
      <c r="Z4" s="2"/>
      <c r="AA4" s="2"/>
      <c r="AB4" s="2"/>
      <c r="AC4" s="2"/>
      <c r="AD4" s="2"/>
      <c r="AE4" s="2"/>
      <c r="AF4" s="2"/>
      <c r="AG4" s="2"/>
      <c r="AH4" s="2"/>
      <c r="AI4" s="2">
        <v>11281</v>
      </c>
      <c r="AJ4" s="2">
        <v>11822</v>
      </c>
      <c r="AK4" s="2">
        <v>10448</v>
      </c>
      <c r="AL4" s="2">
        <v>0</v>
      </c>
      <c r="AM4" s="2">
        <v>11062</v>
      </c>
      <c r="AN4" s="156">
        <f t="shared" si="0"/>
        <v>0.98058682740891767</v>
      </c>
      <c r="AO4" s="2">
        <v>11093</v>
      </c>
      <c r="AP4" s="156">
        <f t="shared" si="0"/>
        <v>0.98333481074372842</v>
      </c>
      <c r="AQ4" s="2">
        <v>11091</v>
      </c>
      <c r="AR4" s="156">
        <f t="shared" si="0"/>
        <v>0.9831575214963213</v>
      </c>
      <c r="AS4" s="2">
        <v>10661</v>
      </c>
      <c r="AT4" s="156">
        <f t="shared" si="0"/>
        <v>0.94504033330378512</v>
      </c>
      <c r="AU4" s="2">
        <v>2501</v>
      </c>
      <c r="AV4" s="156">
        <f t="shared" si="0"/>
        <v>0.22170020388263451</v>
      </c>
      <c r="AW4" s="2">
        <v>2491</v>
      </c>
      <c r="AX4" s="156">
        <f t="shared" si="0"/>
        <v>0.2208137576455988</v>
      </c>
      <c r="AY4" s="2">
        <v>5025</v>
      </c>
      <c r="AZ4" s="156">
        <f t="shared" si="0"/>
        <v>0.44543923411045122</v>
      </c>
      <c r="BA4" s="2">
        <v>5227</v>
      </c>
      <c r="BB4" s="156">
        <f t="shared" si="0"/>
        <v>0.46334544809857281</v>
      </c>
      <c r="BC4" s="2">
        <v>5660</v>
      </c>
      <c r="BD4" s="156">
        <f t="shared" si="0"/>
        <v>0.50172857016221961</v>
      </c>
      <c r="BE4" s="15">
        <v>5151</v>
      </c>
      <c r="BF4" s="156">
        <f t="shared" si="0"/>
        <v>0.45660845669710132</v>
      </c>
      <c r="BG4" s="15">
        <v>5615</v>
      </c>
      <c r="BI4" s="15">
        <v>5199</v>
      </c>
      <c r="BK4" s="15">
        <v>5362</v>
      </c>
      <c r="BM4" s="15">
        <v>5299</v>
      </c>
      <c r="BO4" s="15">
        <v>2908</v>
      </c>
      <c r="BQ4" s="15">
        <v>2944</v>
      </c>
      <c r="BS4" s="15">
        <v>3231</v>
      </c>
      <c r="BU4" s="15">
        <v>5398</v>
      </c>
      <c r="BW4" s="15">
        <v>5232</v>
      </c>
      <c r="BY4" s="15">
        <v>5462</v>
      </c>
      <c r="CA4" s="15">
        <v>4929</v>
      </c>
      <c r="CC4" s="15">
        <v>4965</v>
      </c>
      <c r="CE4" s="15">
        <v>4631</v>
      </c>
      <c r="CG4" s="15">
        <v>5710</v>
      </c>
      <c r="CI4" s="15">
        <v>4895</v>
      </c>
      <c r="CK4" s="15">
        <v>4532</v>
      </c>
      <c r="CO4" s="15">
        <v>4720</v>
      </c>
      <c r="CP4" s="15" t="s">
        <v>1718</v>
      </c>
    </row>
    <row r="5" spans="1:94" s="53" customFormat="1" ht="15.75" customHeight="1">
      <c r="A5" s="393">
        <v>4</v>
      </c>
      <c r="B5" s="248" t="s">
        <v>659</v>
      </c>
      <c r="C5" s="231" t="str">
        <f ca="1">E5</f>
        <v> {"oldFaelligkeitDatum":"17.11.2025","oldAufgabenTitel":"Eine weniger wichtige Aufgabe_013","oldzugewiesenAn":"Bern Sozialarbeiterin 1B","zugewiesenAn":"Bern Sozialarbeiterin 1A","aufgabenTitel":"Ein Neuer Text als Titel 13","status":"In Arbeit","prio":"Wichtig","startDatum":"","notizen":"Eine sehr wichtige Notiz","checklistQtt":3,"checkList":"'Alles wird gut', 'Der Himmel ist blau', 'Das wasser ist grün'","verKnuepfung":"https://www.google.com/"}</v>
      </c>
      <c r="D5" s="24" t="s">
        <v>28</v>
      </c>
      <c r="E5" s="231" t="str">
        <f ca="1">F5&amp;G5&amp;H5&amp;I5&amp;J5&amp;K5&amp;L5&amp;M5&amp;N5&amp;O5&amp;P5&amp;Q5&amp;R5&amp;S5&amp;T5&amp;U5&amp;V5&amp;W5&amp;X5&amp;Y5&amp;Z5&amp;AA5&amp;AB5&amp;AC5&amp;AD5&amp;AE5</f>
        <v> {"oldFaelligkeitDatum":"17.11.2025","oldAufgabenTitel":"Eine weniger wichtige Aufgabe_013","oldzugewiesenAn":"Bern Sozialarbeiterin 1B","zugewiesenAn":"Bern Sozialarbeiterin 1A","aufgabenTitel":"Ein Neuer Text als Titel 13","status":"In Arbeit","prio":"Wichtig","startDatum":"","notizen":"Eine sehr wichtige Notiz","checklistQtt":3,"checkList":"'Alles wird gut', 'Der Himmel ist blau', 'Das wasser ist grün'","verKnuepfung":"https://www.google.com/"}</v>
      </c>
      <c r="F5" s="281"/>
      <c r="G5" s="24" t="s">
        <v>660</v>
      </c>
      <c r="H5" s="282" t="str">
        <f ca="1">'DO04'!N6</f>
        <v>17.11.2025</v>
      </c>
      <c r="I5" s="280" t="s">
        <v>661</v>
      </c>
      <c r="J5" s="24" t="s">
        <v>662</v>
      </c>
      <c r="K5" s="280" t="s">
        <v>663</v>
      </c>
      <c r="L5" s="24" t="s">
        <v>344</v>
      </c>
      <c r="M5" s="231" t="s">
        <v>343</v>
      </c>
      <c r="N5" s="231" t="s">
        <v>116</v>
      </c>
      <c r="O5" s="280" t="s">
        <v>340</v>
      </c>
      <c r="P5" s="231" t="s">
        <v>664</v>
      </c>
      <c r="Q5" s="280" t="s">
        <v>202</v>
      </c>
      <c r="R5" s="231" t="s">
        <v>665</v>
      </c>
      <c r="S5" s="280" t="s">
        <v>666</v>
      </c>
      <c r="T5" s="231" t="s">
        <v>667</v>
      </c>
      <c r="U5" s="280" t="s">
        <v>668</v>
      </c>
      <c r="V5" s="24"/>
      <c r="W5" s="280" t="s">
        <v>669</v>
      </c>
      <c r="X5" s="231" t="s">
        <v>670</v>
      </c>
      <c r="Y5" s="283" t="s">
        <v>671</v>
      </c>
      <c r="Z5" s="231">
        <v>3</v>
      </c>
      <c r="AA5" s="283" t="s">
        <v>672</v>
      </c>
      <c r="AB5" s="231" t="s">
        <v>673</v>
      </c>
      <c r="AC5" s="283" t="s">
        <v>674</v>
      </c>
      <c r="AD5" s="284" t="s">
        <v>675</v>
      </c>
      <c r="AE5" s="283" t="s">
        <v>37</v>
      </c>
      <c r="AF5" s="24"/>
      <c r="AG5" s="24"/>
      <c r="AH5" s="24"/>
      <c r="AI5" s="231">
        <v>14292</v>
      </c>
      <c r="AJ5" s="231">
        <v>13767</v>
      </c>
      <c r="AK5" s="231">
        <v>38938</v>
      </c>
      <c r="AL5" s="24">
        <v>227</v>
      </c>
      <c r="AM5" s="24">
        <v>15041</v>
      </c>
      <c r="AN5" s="156">
        <f t="shared" si="0"/>
        <v>1.0524069409459837</v>
      </c>
      <c r="AO5" s="24">
        <v>12330</v>
      </c>
      <c r="AP5" s="156">
        <f t="shared" si="0"/>
        <v>0.86272040302267006</v>
      </c>
      <c r="AQ5" s="24">
        <v>11789</v>
      </c>
      <c r="AR5" s="156">
        <f t="shared" si="0"/>
        <v>0.82486705849426256</v>
      </c>
      <c r="AS5" s="24">
        <v>13177</v>
      </c>
      <c r="AT5" s="156">
        <f t="shared" si="0"/>
        <v>0.92198432689616572</v>
      </c>
      <c r="AU5" s="24">
        <v>11051</v>
      </c>
      <c r="AV5" s="156">
        <f t="shared" si="0"/>
        <v>0.77322977889728517</v>
      </c>
      <c r="AW5" s="2">
        <v>10357</v>
      </c>
      <c r="AX5" s="156">
        <f t="shared" si="0"/>
        <v>0.72467114469633365</v>
      </c>
      <c r="AY5" s="2">
        <v>5012</v>
      </c>
      <c r="AZ5" s="156">
        <f t="shared" si="0"/>
        <v>0.3506856982927512</v>
      </c>
      <c r="BA5" s="2">
        <v>5665</v>
      </c>
      <c r="BB5" s="156">
        <f t="shared" si="0"/>
        <v>0.39637559473831513</v>
      </c>
      <c r="BC5" s="2">
        <v>4980</v>
      </c>
      <c r="BD5" s="156">
        <f t="shared" si="0"/>
        <v>0.34844668345927793</v>
      </c>
      <c r="BE5" s="53">
        <v>7748</v>
      </c>
      <c r="BF5" s="156">
        <f t="shared" si="0"/>
        <v>0.54212146655471594</v>
      </c>
      <c r="BG5" s="53">
        <v>9211</v>
      </c>
      <c r="BI5" s="53">
        <v>8416</v>
      </c>
      <c r="BK5" s="53">
        <v>8063</v>
      </c>
      <c r="BM5" s="53">
        <v>6704</v>
      </c>
      <c r="BO5" s="53">
        <v>7645</v>
      </c>
      <c r="BQ5" s="53">
        <v>9768</v>
      </c>
      <c r="BS5" s="53">
        <v>8160</v>
      </c>
      <c r="BU5" s="53">
        <v>4941</v>
      </c>
      <c r="BW5" s="53">
        <v>4791</v>
      </c>
      <c r="BY5" s="53">
        <v>4941</v>
      </c>
      <c r="CA5" s="53">
        <v>5448</v>
      </c>
      <c r="CC5" s="53">
        <v>7865</v>
      </c>
      <c r="CE5" s="53">
        <v>4689</v>
      </c>
      <c r="CG5" s="53">
        <v>5041</v>
      </c>
      <c r="CI5" s="53">
        <v>6251</v>
      </c>
      <c r="CK5" s="53">
        <v>5732</v>
      </c>
      <c r="CM5" s="53">
        <v>9689</v>
      </c>
      <c r="CO5" s="53">
        <v>4744</v>
      </c>
      <c r="CP5" s="53" t="s">
        <v>1718</v>
      </c>
    </row>
    <row r="6" spans="1:94">
      <c r="AN6" s="156"/>
      <c r="AP6" s="156"/>
      <c r="AR6" s="156"/>
      <c r="AT6" s="156"/>
      <c r="AV6" s="156"/>
      <c r="AX6" s="156"/>
      <c r="AZ6" s="156"/>
      <c r="BB6" s="156"/>
      <c r="BD6" s="156"/>
      <c r="BF6" s="156"/>
    </row>
    <row r="7" spans="1:94"/>
    <row r="8" spans="1:94" ht="14.25" customHeight="1">
      <c r="B8" s="51" t="s">
        <v>523</v>
      </c>
    </row>
  </sheetData>
  <conditionalFormatting sqref="AN2:AN124 AP2:AP124 AR2:AR124 AT2:AT124 AV2:AV124 AX2:AX124 AZ2:AZ124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124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124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124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orientation="portrait" useFirstPageNumber="1" horizontalDpi="4294967295" verticalDpi="429496729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CP6"/>
  <sheetViews>
    <sheetView zoomScaleNormal="100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K4" sqref="K4"/>
    </sheetView>
  </sheetViews>
  <sheetFormatPr defaultColWidth="9.140625" defaultRowHeight="14.25" customHeight="1"/>
  <cols>
    <col min="1" max="1" width="9.140625" style="1" customWidth="1"/>
    <col min="2" max="2" width="28.28515625" style="2" customWidth="1"/>
    <col min="3" max="3" width="166" style="2" customWidth="1"/>
    <col min="4" max="4" width="9.140625" style="2" customWidth="1"/>
    <col min="5" max="5" width="9.85546875" style="3" customWidth="1"/>
    <col min="6" max="6" width="9.85546875" style="2" customWidth="1"/>
    <col min="7" max="7" width="26.85546875" style="2" customWidth="1"/>
    <col min="8" max="8" width="40.7109375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24.5703125" style="2" customWidth="1"/>
    <col min="13" max="13" width="13.42578125" style="2" customWidth="1"/>
    <col min="14" max="14" width="15.28515625" style="2" customWidth="1"/>
    <col min="15" max="34" width="9.140625" style="2" customWidth="1"/>
    <col min="35" max="41" width="9.7109375" style="2" customWidth="1"/>
    <col min="42" max="42" width="9.7109375" style="12" customWidth="1"/>
    <col min="43" max="43" width="9.7109375" style="2" customWidth="1"/>
    <col min="44" max="44" width="9.7109375" style="12" customWidth="1"/>
    <col min="45" max="45" width="9.7109375" style="2" customWidth="1"/>
    <col min="46" max="46" width="9.7109375" style="12" customWidth="1"/>
    <col min="47" max="47" width="30" style="2" customWidth="1"/>
    <col min="48" max="48" width="9.7109375" style="12" customWidth="1"/>
    <col min="49" max="49" width="30" style="2" customWidth="1"/>
    <col min="50" max="50" width="9.7109375" style="12" customWidth="1"/>
    <col min="51" max="51" width="11" style="2" customWidth="1"/>
    <col min="52" max="52" width="11" style="12" customWidth="1"/>
    <col min="53" max="53" width="11" style="2" customWidth="1"/>
    <col min="54" max="54" width="11" style="12" customWidth="1"/>
    <col min="55" max="55" width="11" style="2" customWidth="1"/>
    <col min="56" max="56" width="11" style="12" customWidth="1"/>
    <col min="57" max="57" width="11" style="2" customWidth="1"/>
    <col min="58" max="58" width="11" style="1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s="4" customFormat="1" ht="15.75" customHeight="1">
      <c r="A1" s="39" t="s">
        <v>0</v>
      </c>
      <c r="B1" s="39" t="s">
        <v>1</v>
      </c>
      <c r="C1" s="39" t="s">
        <v>2</v>
      </c>
      <c r="D1" s="39" t="s">
        <v>3</v>
      </c>
      <c r="E1" s="40"/>
      <c r="F1" s="4" t="s">
        <v>4</v>
      </c>
      <c r="G1" s="2558">
        <f>4*60*1000*SpeedFaktor</f>
        <v>240000</v>
      </c>
      <c r="H1" s="4">
        <v>10</v>
      </c>
      <c r="AH1" s="4" t="s">
        <v>5</v>
      </c>
      <c r="AI1" s="4" t="s">
        <v>657</v>
      </c>
      <c r="AJ1" s="4" t="s">
        <v>676</v>
      </c>
      <c r="AK1" s="4" t="s">
        <v>656</v>
      </c>
      <c r="AL1" s="4" t="s">
        <v>324</v>
      </c>
      <c r="AM1" s="4" t="s">
        <v>10</v>
      </c>
      <c r="AN1" s="4" t="s">
        <v>677</v>
      </c>
      <c r="AO1" s="4" t="s">
        <v>11</v>
      </c>
      <c r="AP1" s="43" t="s">
        <v>8</v>
      </c>
      <c r="AQ1" s="4" t="s">
        <v>12</v>
      </c>
      <c r="AR1" s="43" t="s">
        <v>8</v>
      </c>
      <c r="AS1" s="4" t="s">
        <v>13</v>
      </c>
      <c r="AT1" s="43" t="s">
        <v>8</v>
      </c>
      <c r="AU1" s="4" t="s">
        <v>65</v>
      </c>
      <c r="AV1" s="43" t="s">
        <v>8</v>
      </c>
      <c r="AW1" s="4" t="s">
        <v>15</v>
      </c>
      <c r="AX1" s="43" t="s">
        <v>8</v>
      </c>
      <c r="AY1" s="198" t="s">
        <v>17</v>
      </c>
      <c r="AZ1" s="43" t="s">
        <v>8</v>
      </c>
      <c r="BA1" s="198" t="s">
        <v>1285</v>
      </c>
      <c r="BB1" s="43" t="s">
        <v>8</v>
      </c>
      <c r="BC1" s="198" t="s">
        <v>1286</v>
      </c>
      <c r="BD1" s="43" t="s">
        <v>8</v>
      </c>
      <c r="BE1" s="1453" t="s">
        <v>1303</v>
      </c>
      <c r="BF1" s="43" t="s">
        <v>8</v>
      </c>
      <c r="BG1" s="1454" t="s">
        <v>1311</v>
      </c>
      <c r="BH1" s="1455" t="s">
        <v>572</v>
      </c>
      <c r="BI1" s="1456" t="s">
        <v>1318</v>
      </c>
      <c r="BJ1" s="1457" t="s">
        <v>572</v>
      </c>
      <c r="BK1" s="1458" t="s">
        <v>1324</v>
      </c>
      <c r="BL1" s="1459" t="s">
        <v>572</v>
      </c>
      <c r="BM1" s="1460" t="s">
        <v>1341</v>
      </c>
      <c r="BN1" s="1461" t="s">
        <v>572</v>
      </c>
      <c r="BO1" s="1540" t="s">
        <v>1363</v>
      </c>
      <c r="BP1" s="1541" t="s">
        <v>572</v>
      </c>
      <c r="BQ1" s="1684" t="s">
        <v>1368</v>
      </c>
      <c r="BR1" s="1685" t="s">
        <v>572</v>
      </c>
      <c r="BS1" s="1825" t="s">
        <v>1372</v>
      </c>
      <c r="BT1" s="1826" t="s">
        <v>572</v>
      </c>
      <c r="BU1" s="2101" t="s">
        <v>1397</v>
      </c>
      <c r="BV1" s="2102" t="s">
        <v>572</v>
      </c>
      <c r="BW1" s="2289" t="s">
        <v>1421</v>
      </c>
      <c r="BX1" s="2290" t="s">
        <v>572</v>
      </c>
      <c r="BY1" s="2450" t="s">
        <v>1434</v>
      </c>
      <c r="BZ1" s="2451" t="s">
        <v>572</v>
      </c>
      <c r="CA1" s="2611" t="s">
        <v>1442</v>
      </c>
      <c r="CB1" s="2612" t="s">
        <v>572</v>
      </c>
      <c r="CC1" s="2794" t="s">
        <v>1460</v>
      </c>
      <c r="CD1" s="2795" t="s">
        <v>572</v>
      </c>
      <c r="CE1" s="2978" t="s">
        <v>1472</v>
      </c>
      <c r="CF1" s="2979" t="s">
        <v>572</v>
      </c>
      <c r="CG1" s="3166" t="s">
        <v>1492</v>
      </c>
      <c r="CH1" s="3167" t="s">
        <v>572</v>
      </c>
      <c r="CI1" s="3342" t="s">
        <v>1503</v>
      </c>
      <c r="CJ1" s="3343" t="s">
        <v>572</v>
      </c>
      <c r="CK1" s="3524" t="s">
        <v>1519</v>
      </c>
      <c r="CL1" s="3525" t="s">
        <v>572</v>
      </c>
      <c r="CM1" s="3812" t="s">
        <v>1666</v>
      </c>
      <c r="CN1" s="3813" t="s">
        <v>572</v>
      </c>
      <c r="CO1" s="4035" t="s">
        <v>1717</v>
      </c>
      <c r="CP1" s="4036" t="s">
        <v>572</v>
      </c>
    </row>
    <row r="2" spans="1:94" ht="14.25" customHeight="1">
      <c r="A2" s="693">
        <v>1</v>
      </c>
      <c r="B2" s="676" t="s">
        <v>21</v>
      </c>
      <c r="C2" s="694" t="str">
        <f>'001a'!B59</f>
        <v>{"url":p.aventisURL}</v>
      </c>
      <c r="AI2" s="2">
        <v>2008</v>
      </c>
      <c r="AJ2" s="2">
        <v>2225</v>
      </c>
      <c r="AK2" s="2">
        <v>1455</v>
      </c>
      <c r="AL2" s="2">
        <v>1743</v>
      </c>
      <c r="AM2" s="2">
        <v>1603</v>
      </c>
      <c r="AO2" s="2">
        <v>1472</v>
      </c>
      <c r="AP2" s="156">
        <f>AO2/($AI2)</f>
        <v>0.73306772908366535</v>
      </c>
      <c r="AQ2" s="2">
        <v>1489</v>
      </c>
      <c r="AR2" s="156">
        <f>AQ2/($AI2)</f>
        <v>0.74153386454183268</v>
      </c>
      <c r="AS2" s="2">
        <v>2061</v>
      </c>
      <c r="AT2" s="156">
        <f>AS2/($AI2)</f>
        <v>1.0263944223107571</v>
      </c>
      <c r="AU2" s="2">
        <v>1281</v>
      </c>
      <c r="AV2" s="156">
        <f>AU2/($AI2)</f>
        <v>0.63794820717131473</v>
      </c>
      <c r="AW2" s="2">
        <v>1307</v>
      </c>
      <c r="AX2" s="156">
        <f>AW2/($AI2)</f>
        <v>0.65089641434262946</v>
      </c>
      <c r="AY2" s="2">
        <v>1334</v>
      </c>
      <c r="AZ2" s="156">
        <f>AY2/($AI2)</f>
        <v>0.66434262948207168</v>
      </c>
      <c r="BA2" s="2">
        <v>1203</v>
      </c>
      <c r="BB2" s="156">
        <f>BA2/($AI2)</f>
        <v>0.59910358565737054</v>
      </c>
      <c r="BC2" s="2">
        <v>624</v>
      </c>
      <c r="BD2" s="156">
        <f>BC2/($AI2)</f>
        <v>0.31075697211155379</v>
      </c>
      <c r="BE2" s="2">
        <v>1170</v>
      </c>
      <c r="BF2" s="156">
        <f>BE2/($AI2)</f>
        <v>0.58266932270916338</v>
      </c>
      <c r="BG2" s="2">
        <v>1415</v>
      </c>
      <c r="BI2" s="2">
        <v>1145</v>
      </c>
      <c r="BK2" s="2">
        <v>1169</v>
      </c>
      <c r="BM2" s="2">
        <v>1139</v>
      </c>
      <c r="BO2" s="2">
        <v>1198</v>
      </c>
      <c r="BQ2" s="2">
        <v>1281</v>
      </c>
      <c r="BS2" s="2">
        <v>1173</v>
      </c>
      <c r="BU2" s="2">
        <v>1545</v>
      </c>
      <c r="BW2" s="2">
        <v>1868</v>
      </c>
      <c r="BY2" s="2">
        <v>1590</v>
      </c>
      <c r="CA2" s="2">
        <v>1055</v>
      </c>
      <c r="CC2" s="2">
        <v>1258</v>
      </c>
      <c r="CE2" s="2">
        <v>1606</v>
      </c>
      <c r="CG2" s="2">
        <v>1152</v>
      </c>
      <c r="CI2" s="2">
        <v>1095</v>
      </c>
      <c r="CK2" s="2">
        <v>1152</v>
      </c>
      <c r="CM2" s="2">
        <v>1079</v>
      </c>
      <c r="CO2" s="2">
        <v>610</v>
      </c>
      <c r="CP2" s="2" t="s">
        <v>1718</v>
      </c>
    </row>
    <row r="3" spans="1:94" ht="14.25" customHeight="1" thickBot="1">
      <c r="A3" s="693">
        <v>2</v>
      </c>
      <c r="B3" s="676" t="s">
        <v>25</v>
      </c>
      <c r="C3" s="695" t="s">
        <v>633</v>
      </c>
      <c r="AI3" s="2">
        <v>6675</v>
      </c>
      <c r="AJ3" s="2">
        <v>9137</v>
      </c>
      <c r="AK3" s="2">
        <v>9326</v>
      </c>
      <c r="AL3" s="2">
        <v>8900</v>
      </c>
      <c r="AM3" s="2">
        <v>11393</v>
      </c>
      <c r="AO3" s="2">
        <v>8805</v>
      </c>
      <c r="AP3" s="156">
        <f t="shared" ref="AP3:AP4" si="0">AO3/($AI3)</f>
        <v>1.3191011235955057</v>
      </c>
      <c r="AQ3" s="2">
        <v>8435</v>
      </c>
      <c r="AR3" s="156">
        <f t="shared" ref="AR3:AR4" si="1">AQ3/($AI3)</f>
        <v>1.2636704119850186</v>
      </c>
      <c r="AS3" s="2">
        <v>9904</v>
      </c>
      <c r="AT3" s="156">
        <f t="shared" ref="AT3:BF4" si="2">AS3/($AI3)</f>
        <v>1.4837453183520599</v>
      </c>
      <c r="AU3" s="2">
        <v>9852</v>
      </c>
      <c r="AV3" s="156">
        <f t="shared" si="2"/>
        <v>1.4759550561797752</v>
      </c>
      <c r="AW3" s="2">
        <v>9133</v>
      </c>
      <c r="AX3" s="156">
        <f t="shared" si="2"/>
        <v>1.3682397003745319</v>
      </c>
      <c r="AY3" s="2">
        <v>7662</v>
      </c>
      <c r="AZ3" s="156">
        <f t="shared" si="2"/>
        <v>1.1478651685393257</v>
      </c>
      <c r="BA3" s="2">
        <v>9617</v>
      </c>
      <c r="BB3" s="156">
        <f t="shared" si="2"/>
        <v>1.4407490636704119</v>
      </c>
      <c r="BC3" s="2">
        <v>5135</v>
      </c>
      <c r="BD3" s="156">
        <f t="shared" si="2"/>
        <v>0.76928838951310863</v>
      </c>
      <c r="BE3" s="2">
        <v>8275</v>
      </c>
      <c r="BF3" s="156">
        <f t="shared" si="2"/>
        <v>1.2397003745318351</v>
      </c>
      <c r="BG3" s="2">
        <v>8052</v>
      </c>
      <c r="BI3" s="2">
        <v>6935</v>
      </c>
      <c r="BK3" s="2">
        <v>7319</v>
      </c>
      <c r="BM3" s="2">
        <v>6870</v>
      </c>
      <c r="BO3" s="2">
        <v>7821</v>
      </c>
      <c r="BQ3" s="2">
        <v>8047</v>
      </c>
      <c r="BS3" s="2">
        <v>7846</v>
      </c>
      <c r="BU3" s="2">
        <v>7329</v>
      </c>
      <c r="BW3" s="2">
        <v>6964</v>
      </c>
      <c r="BY3" s="2">
        <v>6596</v>
      </c>
      <c r="CA3" s="2">
        <v>6881</v>
      </c>
      <c r="CC3" s="2">
        <v>10586</v>
      </c>
      <c r="CE3" s="2">
        <v>7945</v>
      </c>
      <c r="CG3" s="2">
        <v>7948</v>
      </c>
      <c r="CI3" s="2">
        <v>8358</v>
      </c>
      <c r="CK3" s="2">
        <v>8379</v>
      </c>
      <c r="CM3" s="2">
        <v>7332</v>
      </c>
      <c r="CO3" s="2">
        <v>6527</v>
      </c>
      <c r="CP3" s="2" t="s">
        <v>1718</v>
      </c>
    </row>
    <row r="4" spans="1:94" s="287" customFormat="1" ht="15.75" customHeight="1" thickBot="1">
      <c r="A4" s="288">
        <v>4</v>
      </c>
      <c r="B4" s="289" t="s">
        <v>678</v>
      </c>
      <c r="C4" s="289" t="str">
        <f>F4</f>
        <v> {"dossierBezeichnung":p.DossierName1,"zugewiesenAn":"Bern Sozialarbeiterin 1B","aufgabenTitel":"Eine wichtige Aufgabe_012","statusDragTo":"In Arbeit"}</v>
      </c>
      <c r="D4" s="289" t="s">
        <v>263</v>
      </c>
      <c r="E4" s="289"/>
      <c r="F4" s="289" t="str">
        <f>G4&amp;H4&amp;I4&amp;J4&amp;K4&amp;L4&amp;M4&amp;N4&amp;O4&amp;P4&amp;Q4&amp;R4&amp;S4&amp;T4&amp;U4&amp;V4&amp;W4&amp;X4&amp;Y4&amp;Z4&amp;AA4&amp;AB4&amp;AC4&amp;AD4&amp;AE4&amp;AF4</f>
        <v> {"dossierBezeichnung":p.DossierName1,"zugewiesenAn":"Bern Sozialarbeiterin 1B","aufgabenTitel":"Eine wichtige Aufgabe_012","statusDragTo":"In Arbeit"}</v>
      </c>
      <c r="G4" s="289"/>
      <c r="H4" s="289" t="s">
        <v>679</v>
      </c>
      <c r="I4" s="289" t="s">
        <v>449</v>
      </c>
      <c r="J4" s="289" t="s">
        <v>680</v>
      </c>
      <c r="K4" s="289" t="s">
        <v>344</v>
      </c>
      <c r="L4" s="289" t="s">
        <v>340</v>
      </c>
      <c r="M4" s="289" t="str">
        <f>'DO04'!L5</f>
        <v>Eine wichtige Aufgabe_012</v>
      </c>
      <c r="N4" s="289" t="s">
        <v>681</v>
      </c>
      <c r="O4" s="289" t="s">
        <v>665</v>
      </c>
      <c r="P4" s="289" t="s">
        <v>37</v>
      </c>
      <c r="Q4" s="289"/>
      <c r="R4" s="289"/>
      <c r="S4" s="289"/>
      <c r="T4" s="289"/>
      <c r="U4" s="289"/>
      <c r="V4" s="289"/>
      <c r="W4" s="289"/>
      <c r="X4" s="289"/>
      <c r="Y4" s="289"/>
      <c r="Z4" s="289"/>
      <c r="AA4" s="289"/>
      <c r="AB4" s="289"/>
      <c r="AC4" s="289"/>
      <c r="AD4" s="289"/>
      <c r="AE4" s="289"/>
      <c r="AF4" s="289"/>
      <c r="AG4" s="289"/>
      <c r="AH4" s="289"/>
      <c r="AI4" s="289">
        <v>16314</v>
      </c>
      <c r="AJ4" s="289">
        <v>17112</v>
      </c>
      <c r="AK4" s="289">
        <v>18444</v>
      </c>
      <c r="AL4" s="289">
        <v>0</v>
      </c>
      <c r="AM4" s="289">
        <v>17868</v>
      </c>
      <c r="AN4" s="289"/>
      <c r="AO4" s="289">
        <v>17379</v>
      </c>
      <c r="AP4" s="290">
        <f t="shared" si="0"/>
        <v>1.0652813534387642</v>
      </c>
      <c r="AQ4" s="289">
        <v>15936</v>
      </c>
      <c r="AR4" s="290">
        <f t="shared" si="1"/>
        <v>0.97682971680764985</v>
      </c>
      <c r="AS4" s="289">
        <v>16902</v>
      </c>
      <c r="AT4" s="290">
        <f t="shared" si="2"/>
        <v>1.0360426627436559</v>
      </c>
      <c r="AU4" s="289">
        <v>11598</v>
      </c>
      <c r="AV4" s="290">
        <f t="shared" si="2"/>
        <v>0.71092313350496505</v>
      </c>
      <c r="AW4" s="291">
        <v>9118</v>
      </c>
      <c r="AX4" s="290">
        <f t="shared" si="2"/>
        <v>0.55890646070859384</v>
      </c>
      <c r="AY4" s="291">
        <v>7516</v>
      </c>
      <c r="AZ4" s="290">
        <f t="shared" si="2"/>
        <v>0.46070859384577661</v>
      </c>
      <c r="BA4" s="291">
        <v>7742</v>
      </c>
      <c r="BB4" s="290">
        <f t="shared" si="2"/>
        <v>0.4745617261248008</v>
      </c>
      <c r="BC4" s="291">
        <v>14096</v>
      </c>
      <c r="BD4" s="290">
        <f t="shared" si="2"/>
        <v>0.86404315312001967</v>
      </c>
      <c r="BE4" s="287">
        <v>8041</v>
      </c>
      <c r="BF4" s="290">
        <f t="shared" si="2"/>
        <v>0.49288954272404067</v>
      </c>
      <c r="BG4" s="287">
        <v>15247</v>
      </c>
      <c r="BI4" s="287">
        <v>7858</v>
      </c>
      <c r="BK4" s="287">
        <v>8590</v>
      </c>
      <c r="BM4" s="287">
        <v>10525</v>
      </c>
      <c r="BO4" s="287">
        <v>6159</v>
      </c>
      <c r="BQ4" s="287">
        <v>6235</v>
      </c>
      <c r="BS4" s="287">
        <v>6206</v>
      </c>
      <c r="BU4" s="287">
        <v>14649</v>
      </c>
      <c r="BW4" s="287">
        <v>13655</v>
      </c>
      <c r="BY4" s="287">
        <v>8387</v>
      </c>
      <c r="CA4" s="287">
        <v>16486</v>
      </c>
      <c r="CC4" s="2796">
        <v>0</v>
      </c>
      <c r="CD4" s="2797" t="s">
        <v>1464</v>
      </c>
      <c r="CE4" s="287">
        <v>8485</v>
      </c>
      <c r="CG4" s="287">
        <v>8236</v>
      </c>
      <c r="CI4" s="3344">
        <v>0</v>
      </c>
      <c r="CJ4" s="3345" t="s">
        <v>1508</v>
      </c>
      <c r="CK4" s="287">
        <v>8238</v>
      </c>
      <c r="CM4" s="3814">
        <v>0</v>
      </c>
      <c r="CN4" s="3815" t="s">
        <v>1679</v>
      </c>
      <c r="CO4" s="4037">
        <v>0</v>
      </c>
      <c r="CP4" s="4038" t="s">
        <v>1731</v>
      </c>
    </row>
    <row r="5" spans="1:94">
      <c r="AP5" s="156"/>
      <c r="AR5" s="156"/>
      <c r="AT5" s="156"/>
      <c r="AV5" s="156"/>
      <c r="AX5" s="156"/>
      <c r="AZ5" s="156"/>
      <c r="BB5" s="156"/>
      <c r="BD5" s="156"/>
      <c r="BF5" s="156"/>
    </row>
    <row r="6" spans="1:94">
      <c r="AP6" s="156"/>
      <c r="AR6" s="156"/>
      <c r="AT6" s="156"/>
      <c r="AV6" s="156"/>
      <c r="AX6" s="156"/>
      <c r="AZ6" s="156"/>
      <c r="BB6" s="156"/>
      <c r="BD6" s="156"/>
      <c r="BF6" s="156"/>
    </row>
  </sheetData>
  <conditionalFormatting sqref="AP2:AP145 AR2:AR145 AT2:AT145 AV2:AV145 AX2:AX145 AZ2:AZ145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145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145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145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orientation="portrait" useFirstPageNumber="1" horizontalDpi="4294967295" verticalDpi="429496729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CR8"/>
  <sheetViews>
    <sheetView zoomScaleNormal="100" workbookViewId="0">
      <pane xSplit="2" ySplit="1" topLeftCell="D2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ColWidth="9.140625" defaultRowHeight="14.25" customHeight="1"/>
  <cols>
    <col min="1" max="1" width="4.85546875" style="1" customWidth="1"/>
    <col min="2" max="2" width="53.85546875" style="2" customWidth="1"/>
    <col min="3" max="3" width="201.570312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22.5703125" style="2" customWidth="1"/>
    <col min="17" max="17" width="13.5703125" style="2" customWidth="1"/>
    <col min="18" max="18" width="24.5703125" style="2" customWidth="1"/>
    <col min="19" max="20" width="9.140625" style="2" customWidth="1"/>
    <col min="21" max="21" width="10.42578125" style="2" customWidth="1"/>
    <col min="22" max="38" width="9.140625" style="2" customWidth="1"/>
    <col min="39" max="39" width="9.140625" style="12" customWidth="1"/>
    <col min="40" max="40" width="9.140625" style="2" customWidth="1"/>
    <col min="41" max="41" width="9.140625" style="12" customWidth="1"/>
    <col min="42" max="42" width="9.140625" style="2" customWidth="1"/>
    <col min="43" max="43" width="9.140625" style="12" customWidth="1"/>
    <col min="44" max="44" width="9.140625" style="2" customWidth="1"/>
    <col min="45" max="45" width="9.140625" style="12" customWidth="1"/>
    <col min="46" max="46" width="9.5703125" style="2" customWidth="1"/>
    <col min="47" max="47" width="9.5703125" style="12" customWidth="1"/>
    <col min="48" max="48" width="9.5703125" style="2" customWidth="1"/>
    <col min="49" max="49" width="9.5703125" style="12" customWidth="1"/>
    <col min="50" max="50" width="9.5703125" style="2" customWidth="1"/>
    <col min="51" max="51" width="9.5703125" style="12" customWidth="1"/>
    <col min="52" max="52" width="9.5703125" style="2" customWidth="1"/>
    <col min="53" max="53" width="9.5703125" style="12" customWidth="1"/>
    <col min="54" max="54" width="9.5703125" style="2" customWidth="1"/>
    <col min="55" max="55" width="9.5703125" style="12" customWidth="1"/>
    <col min="56" max="56" width="9.5703125" style="2" customWidth="1"/>
    <col min="57" max="57" width="9.5703125" style="12" customWidth="1"/>
    <col min="58" max="58" width="9.140625" style="2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95" width="20" style="2" customWidth="1"/>
    <col min="96" max="96" width="50" style="2" customWidth="1"/>
    <col min="97" max="16384" width="9.140625" style="2"/>
  </cols>
  <sheetData>
    <row r="1" spans="1:96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4*60*1000*SpeedFaktor</f>
        <v>240000</v>
      </c>
      <c r="H1" s="2">
        <v>10</v>
      </c>
      <c r="AH1" s="2" t="s">
        <v>5</v>
      </c>
      <c r="AI1" s="2" t="s">
        <v>657</v>
      </c>
      <c r="AJ1" s="2" t="s">
        <v>658</v>
      </c>
      <c r="AK1" s="2" t="s">
        <v>282</v>
      </c>
      <c r="AL1" s="2" t="s">
        <v>10</v>
      </c>
      <c r="AM1" s="24" t="s">
        <v>8</v>
      </c>
      <c r="AN1" s="2" t="s">
        <v>11</v>
      </c>
      <c r="AO1" s="24" t="s">
        <v>8</v>
      </c>
      <c r="AP1" s="2" t="s">
        <v>12</v>
      </c>
      <c r="AQ1" s="24" t="s">
        <v>8</v>
      </c>
      <c r="AR1" s="2" t="s">
        <v>13</v>
      </c>
      <c r="AS1" s="24" t="s">
        <v>8</v>
      </c>
      <c r="AT1" s="422" t="s">
        <v>65</v>
      </c>
      <c r="AU1" s="701" t="s">
        <v>8</v>
      </c>
      <c r="AV1" s="422" t="s">
        <v>15</v>
      </c>
      <c r="AW1" s="701" t="s">
        <v>8</v>
      </c>
      <c r="AX1" s="422" t="s">
        <v>17</v>
      </c>
      <c r="AY1" s="701" t="s">
        <v>8</v>
      </c>
      <c r="AZ1" s="422" t="s">
        <v>1285</v>
      </c>
      <c r="BA1" s="701" t="s">
        <v>8</v>
      </c>
      <c r="BB1" s="422" t="s">
        <v>1286</v>
      </c>
      <c r="BC1" s="701" t="s">
        <v>8</v>
      </c>
      <c r="BD1" s="702" t="s">
        <v>1303</v>
      </c>
      <c r="BE1" s="701" t="s">
        <v>8</v>
      </c>
      <c r="BG1" s="816" t="s">
        <v>1311</v>
      </c>
      <c r="BH1" s="817" t="s">
        <v>572</v>
      </c>
      <c r="BI1" s="942" t="s">
        <v>1318</v>
      </c>
      <c r="BJ1" s="943" t="s">
        <v>572</v>
      </c>
      <c r="BK1" s="1089" t="s">
        <v>1324</v>
      </c>
      <c r="BL1" s="1090" t="s">
        <v>572</v>
      </c>
      <c r="BM1" s="1290" t="s">
        <v>1341</v>
      </c>
      <c r="BN1" s="1291" t="s">
        <v>572</v>
      </c>
      <c r="BO1" s="1478" t="s">
        <v>1357</v>
      </c>
      <c r="BP1" s="1479" t="s">
        <v>572</v>
      </c>
      <c r="BQ1" s="1542" t="s">
        <v>1363</v>
      </c>
      <c r="BR1" s="1543" t="s">
        <v>572</v>
      </c>
      <c r="BS1" s="1686" t="s">
        <v>1368</v>
      </c>
      <c r="BT1" s="1687" t="s">
        <v>572</v>
      </c>
      <c r="BU1" s="1827" t="s">
        <v>1372</v>
      </c>
      <c r="BV1" s="1828" t="s">
        <v>572</v>
      </c>
      <c r="BW1" s="2103" t="s">
        <v>1397</v>
      </c>
      <c r="BX1" s="2104" t="s">
        <v>572</v>
      </c>
      <c r="BY1" s="2291" t="s">
        <v>1421</v>
      </c>
      <c r="BZ1" s="2292" t="s">
        <v>572</v>
      </c>
      <c r="CA1" s="2452" t="s">
        <v>1434</v>
      </c>
      <c r="CB1" s="2453" t="s">
        <v>572</v>
      </c>
      <c r="CC1" s="2613" t="s">
        <v>1442</v>
      </c>
      <c r="CD1" s="2614" t="s">
        <v>572</v>
      </c>
      <c r="CE1" s="2798" t="s">
        <v>1460</v>
      </c>
      <c r="CF1" s="2799" t="s">
        <v>572</v>
      </c>
      <c r="CG1" s="2980" t="s">
        <v>1472</v>
      </c>
      <c r="CH1" s="2981" t="s">
        <v>572</v>
      </c>
      <c r="CI1" s="3168" t="s">
        <v>1492</v>
      </c>
      <c r="CJ1" s="3169" t="s">
        <v>572</v>
      </c>
      <c r="CK1" s="3346" t="s">
        <v>1503</v>
      </c>
      <c r="CL1" s="3347" t="s">
        <v>572</v>
      </c>
      <c r="CM1" s="3526" t="s">
        <v>1519</v>
      </c>
      <c r="CN1" s="3527" t="s">
        <v>572</v>
      </c>
      <c r="CO1" s="3816" t="s">
        <v>1666</v>
      </c>
      <c r="CP1" s="3817" t="s">
        <v>572</v>
      </c>
      <c r="CQ1" s="4039" t="s">
        <v>1717</v>
      </c>
      <c r="CR1" s="4040" t="s">
        <v>572</v>
      </c>
    </row>
    <row r="2" spans="1:96" s="10" customFormat="1" ht="14.25" customHeight="1">
      <c r="A2" s="122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2025</v>
      </c>
      <c r="AJ2" s="2">
        <v>2173</v>
      </c>
      <c r="AK2" s="2">
        <v>1620</v>
      </c>
      <c r="AL2" s="2">
        <v>1818</v>
      </c>
      <c r="AM2" s="156">
        <f>AL2/($AI2)</f>
        <v>0.89777777777777779</v>
      </c>
      <c r="AN2" s="2">
        <v>1593</v>
      </c>
      <c r="AO2" s="156">
        <f>AN2/($AI2)</f>
        <v>0.78666666666666663</v>
      </c>
      <c r="AP2" s="2">
        <v>1646</v>
      </c>
      <c r="AQ2" s="156">
        <f>AP2/($AI2)</f>
        <v>0.81283950617283951</v>
      </c>
      <c r="AR2" s="2">
        <v>1893</v>
      </c>
      <c r="AS2" s="156">
        <f>AR2/($AI2)</f>
        <v>0.93481481481481477</v>
      </c>
      <c r="AT2" s="2">
        <v>2291</v>
      </c>
      <c r="AU2" s="156">
        <f>AT2/($AI2)</f>
        <v>1.1313580246913579</v>
      </c>
      <c r="AV2" s="2">
        <v>1727</v>
      </c>
      <c r="AW2" s="156">
        <f>AV2/($AI2)</f>
        <v>0.85283950617283955</v>
      </c>
      <c r="AX2" s="2">
        <v>1270</v>
      </c>
      <c r="AY2" s="156">
        <f>AX2/($AI2)</f>
        <v>0.62716049382716055</v>
      </c>
      <c r="AZ2" s="2">
        <v>1543</v>
      </c>
      <c r="BA2" s="156">
        <f>AZ2/($AI2)</f>
        <v>0.76197530864197527</v>
      </c>
      <c r="BB2" s="2">
        <v>617</v>
      </c>
      <c r="BC2" s="156">
        <f>BB2/($AI2)</f>
        <v>0.30469135802469138</v>
      </c>
      <c r="BD2" s="10">
        <v>1197</v>
      </c>
      <c r="BE2" s="156">
        <f>BD2/($AI2)</f>
        <v>0.59111111111111114</v>
      </c>
      <c r="BG2" s="10">
        <v>1451</v>
      </c>
      <c r="BI2" s="10">
        <v>1151</v>
      </c>
      <c r="BK2" s="10">
        <v>1180</v>
      </c>
      <c r="BM2" s="10">
        <v>1187</v>
      </c>
      <c r="BO2" s="10">
        <v>853</v>
      </c>
      <c r="BQ2" s="10">
        <v>1186</v>
      </c>
      <c r="BS2" s="10">
        <v>1262</v>
      </c>
      <c r="BU2" s="10">
        <v>1114</v>
      </c>
      <c r="BW2" s="10">
        <v>1669</v>
      </c>
      <c r="BY2" s="10">
        <v>1665</v>
      </c>
      <c r="CA2" s="10">
        <v>1600</v>
      </c>
      <c r="CC2" s="10">
        <v>918</v>
      </c>
      <c r="CE2" s="10">
        <v>933</v>
      </c>
      <c r="CG2" s="10">
        <v>1474</v>
      </c>
      <c r="CI2" s="10">
        <v>1081</v>
      </c>
      <c r="CK2" s="10">
        <v>894</v>
      </c>
      <c r="CM2" s="10">
        <v>1152</v>
      </c>
      <c r="CO2" s="10">
        <v>991</v>
      </c>
      <c r="CQ2" s="10">
        <v>2</v>
      </c>
      <c r="CR2" s="10" t="s">
        <v>1718</v>
      </c>
    </row>
    <row r="3" spans="1:96" s="10" customFormat="1" ht="14.25" customHeight="1">
      <c r="A3" s="122">
        <v>2</v>
      </c>
      <c r="B3" s="122" t="s">
        <v>25</v>
      </c>
      <c r="C3" s="120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7168</v>
      </c>
      <c r="AJ3" s="2">
        <v>6873</v>
      </c>
      <c r="AK3" s="2">
        <v>9272</v>
      </c>
      <c r="AL3" s="2">
        <v>11582</v>
      </c>
      <c r="AM3" s="156">
        <f t="shared" ref="AM3:AM7" si="0">AL3/($AI3)</f>
        <v>1.6157924107142858</v>
      </c>
      <c r="AN3" s="2">
        <v>9312</v>
      </c>
      <c r="AO3" s="156">
        <f t="shared" ref="AO3:AO7" si="1">AN3/($AI3)</f>
        <v>1.2991071428571428</v>
      </c>
      <c r="AP3" s="2">
        <v>8431</v>
      </c>
      <c r="AQ3" s="156">
        <f t="shared" ref="AQ3:AQ7" si="2">AP3/($AI3)</f>
        <v>1.1761997767857142</v>
      </c>
      <c r="AR3" s="2">
        <v>10306</v>
      </c>
      <c r="AS3" s="156">
        <f t="shared" ref="AS3:BC7" si="3">AR3/($AI3)</f>
        <v>1.4377790178571428</v>
      </c>
      <c r="AT3" s="2">
        <v>10260</v>
      </c>
      <c r="AU3" s="156">
        <f t="shared" si="3"/>
        <v>1.4313616071428572</v>
      </c>
      <c r="AV3" s="2">
        <v>9561</v>
      </c>
      <c r="AW3" s="156">
        <f t="shared" si="3"/>
        <v>1.3338448660714286</v>
      </c>
      <c r="AX3" s="2">
        <v>7773</v>
      </c>
      <c r="AY3" s="156">
        <f t="shared" si="3"/>
        <v>1.0844029017857142</v>
      </c>
      <c r="AZ3" s="2">
        <v>8030</v>
      </c>
      <c r="BA3" s="156">
        <f t="shared" si="3"/>
        <v>1.1202566964285714</v>
      </c>
      <c r="BB3" s="2">
        <v>5116</v>
      </c>
      <c r="BC3" s="156">
        <f t="shared" si="3"/>
        <v>0.7137276785714286</v>
      </c>
      <c r="BD3" s="10">
        <v>7363</v>
      </c>
      <c r="BE3" s="156">
        <f t="shared" ref="BE3:BE6" si="4">BD3/($AI3)</f>
        <v>1.0272042410714286</v>
      </c>
      <c r="BG3" s="10">
        <v>8877</v>
      </c>
      <c r="BI3" s="10">
        <v>7332</v>
      </c>
      <c r="BK3" s="10">
        <v>7310</v>
      </c>
      <c r="BM3" s="10">
        <v>6579</v>
      </c>
      <c r="BO3" s="10">
        <v>5759</v>
      </c>
      <c r="BQ3" s="10">
        <v>7010</v>
      </c>
      <c r="BS3" s="10">
        <v>7646</v>
      </c>
      <c r="BU3" s="10">
        <v>7124</v>
      </c>
      <c r="BW3" s="10">
        <v>7261</v>
      </c>
      <c r="BY3" s="10">
        <v>10702</v>
      </c>
      <c r="CA3" s="10">
        <v>6487</v>
      </c>
      <c r="CC3" s="10">
        <v>7248</v>
      </c>
      <c r="CE3" s="10">
        <v>10650</v>
      </c>
      <c r="CG3" s="10">
        <v>7951</v>
      </c>
      <c r="CI3" s="10">
        <v>7831</v>
      </c>
      <c r="CK3" s="10">
        <v>8432</v>
      </c>
      <c r="CM3" s="10">
        <v>8375</v>
      </c>
      <c r="CO3" s="10">
        <v>9078</v>
      </c>
    </row>
    <row r="4" spans="1:96" s="15" customFormat="1" ht="19.5" customHeight="1" thickBot="1">
      <c r="A4" s="122">
        <v>4</v>
      </c>
      <c r="B4" s="122" t="s">
        <v>139</v>
      </c>
      <c r="C4" s="122" t="str">
        <f>G4&amp;H4&amp;I4&amp;J4</f>
        <v>{"searchDossierOrKlient":p.DossierName1,"resultType":"Dossiers"}</v>
      </c>
      <c r="D4" s="2"/>
      <c r="E4" s="2"/>
      <c r="F4" s="2"/>
      <c r="G4" s="276" t="s">
        <v>140</v>
      </c>
      <c r="H4" s="277" t="s">
        <v>449</v>
      </c>
      <c r="I4" s="276" t="s">
        <v>623</v>
      </c>
      <c r="J4" s="2"/>
      <c r="K4" s="276"/>
      <c r="L4" s="2"/>
      <c r="M4" s="276"/>
      <c r="N4" s="2"/>
      <c r="O4" s="276"/>
      <c r="P4" s="2"/>
      <c r="Q4" s="276"/>
      <c r="R4" s="2"/>
      <c r="S4" s="276"/>
      <c r="T4" s="2"/>
      <c r="U4" s="278"/>
      <c r="V4" s="2"/>
      <c r="W4" s="278"/>
      <c r="X4" s="2"/>
      <c r="Y4" s="278"/>
      <c r="Z4" s="2"/>
      <c r="AA4" s="2"/>
      <c r="AB4" s="2"/>
      <c r="AC4" s="2"/>
      <c r="AD4" s="2"/>
      <c r="AE4" s="2"/>
      <c r="AF4" s="2"/>
      <c r="AG4" s="2"/>
      <c r="AH4" s="2"/>
      <c r="AI4" s="2">
        <v>11295</v>
      </c>
      <c r="AJ4" s="2">
        <v>11848</v>
      </c>
      <c r="AK4" s="2">
        <v>10709</v>
      </c>
      <c r="AL4" s="2">
        <v>11072</v>
      </c>
      <c r="AM4" s="156">
        <f t="shared" si="0"/>
        <v>0.98025675077467911</v>
      </c>
      <c r="AN4" s="2">
        <v>11360</v>
      </c>
      <c r="AO4" s="156">
        <f t="shared" si="1"/>
        <v>1.0057547587428066</v>
      </c>
      <c r="AP4" s="2">
        <v>11043</v>
      </c>
      <c r="AQ4" s="156">
        <f t="shared" si="2"/>
        <v>0.9776892430278884</v>
      </c>
      <c r="AR4" s="2">
        <v>10652</v>
      </c>
      <c r="AS4" s="156">
        <f t="shared" si="3"/>
        <v>0.94307215582115977</v>
      </c>
      <c r="AT4" s="2">
        <v>2640</v>
      </c>
      <c r="AU4" s="156">
        <f t="shared" si="3"/>
        <v>0.23373173970783531</v>
      </c>
      <c r="AV4" s="2">
        <v>2519</v>
      </c>
      <c r="AW4" s="156">
        <f t="shared" si="3"/>
        <v>0.22301903497122622</v>
      </c>
      <c r="AX4" s="2">
        <v>5076</v>
      </c>
      <c r="AY4" s="156">
        <f t="shared" si="3"/>
        <v>0.44940239043824703</v>
      </c>
      <c r="AZ4" s="2">
        <v>5244</v>
      </c>
      <c r="BA4" s="156">
        <f t="shared" si="3"/>
        <v>0.46427622841965471</v>
      </c>
      <c r="BB4" s="2">
        <v>5026</v>
      </c>
      <c r="BC4" s="156">
        <f t="shared" si="3"/>
        <v>0.44497565294378044</v>
      </c>
      <c r="BD4" s="15">
        <v>5305</v>
      </c>
      <c r="BE4" s="156">
        <f t="shared" si="4"/>
        <v>0.46967684816290395</v>
      </c>
      <c r="BG4" s="15">
        <v>5553</v>
      </c>
      <c r="BI4" s="15">
        <v>5261</v>
      </c>
      <c r="BK4" s="15">
        <v>5228</v>
      </c>
      <c r="BM4" s="15">
        <v>5390</v>
      </c>
      <c r="BO4" s="1480">
        <v>0</v>
      </c>
      <c r="BP4" s="1481" t="s">
        <v>1358</v>
      </c>
      <c r="BQ4" s="15">
        <v>2858</v>
      </c>
      <c r="BS4" s="15">
        <v>3224</v>
      </c>
      <c r="BU4" s="15">
        <v>3005</v>
      </c>
      <c r="BW4" s="15">
        <v>5243</v>
      </c>
      <c r="BY4" s="15">
        <v>4947</v>
      </c>
      <c r="CA4" s="15">
        <v>5365</v>
      </c>
      <c r="CC4" s="15">
        <v>5011</v>
      </c>
      <c r="CE4" s="15">
        <v>5984</v>
      </c>
      <c r="CG4" s="15">
        <v>5698</v>
      </c>
      <c r="CI4" s="15">
        <v>4868</v>
      </c>
      <c r="CK4" s="15">
        <v>5450</v>
      </c>
      <c r="CM4" s="15">
        <v>4530</v>
      </c>
      <c r="CO4" s="15">
        <v>4925</v>
      </c>
    </row>
    <row r="5" spans="1:96" s="142" customFormat="1" ht="36.75" customHeight="1">
      <c r="A5" s="292">
        <v>5</v>
      </c>
      <c r="B5" s="293" t="s">
        <v>682</v>
      </c>
      <c r="C5" s="293" t="str">
        <f ca="1">E5</f>
        <v>{"zustBereich":"Zuständigkeit Beratung","menuSelect":"Zuständigkeit ändern","teamSozial":"Sozialarbeit Bern 1","persSozial":"Bern Sozialarbeiterin 1B","teamSach":"Sachbearbeitung Bern","persSach":"Bern Sachbearbeiterin","gueltigAb":"06.11.2025","eintrUeberschrX":"x","offeneAufgUebertrX":"x"}</v>
      </c>
      <c r="D5" s="696" t="s">
        <v>28</v>
      </c>
      <c r="E5" s="293" t="str">
        <f ca="1">F5&amp;G5&amp;H5&amp;I5&amp;J5&amp;K5&amp;L5&amp;M5&amp;N5&amp;O5&amp;P5&amp;Q5&amp;R5&amp;S5&amp;T5&amp;U5&amp;V5&amp;W5&amp;X5&amp;Y5&amp;Z5</f>
        <v>{"zustBereich":"Zuständigkeit Beratung","menuSelect":"Zuständigkeit ändern","teamSozial":"Sozialarbeit Bern 1","persSozial":"Bern Sozialarbeiterin 1B","teamSach":"Sachbearbeitung Bern","persSach":"Bern Sachbearbeiterin","gueltigAb":"06.11.2025","eintrUeberschrX":"x","offeneAufgUebertrX":"x"}</v>
      </c>
      <c r="F5" s="293" t="s">
        <v>162</v>
      </c>
      <c r="G5" s="696"/>
      <c r="H5" s="293" t="s">
        <v>683</v>
      </c>
      <c r="I5" s="293" t="s">
        <v>684</v>
      </c>
      <c r="J5" s="293" t="s">
        <v>685</v>
      </c>
      <c r="K5" s="293" t="s">
        <v>686</v>
      </c>
      <c r="L5" s="293" t="s">
        <v>687</v>
      </c>
      <c r="M5" s="293" t="s">
        <v>76</v>
      </c>
      <c r="N5" s="293" t="s">
        <v>688</v>
      </c>
      <c r="O5" s="293" t="s">
        <v>344</v>
      </c>
      <c r="P5" s="293" t="s">
        <v>689</v>
      </c>
      <c r="Q5" s="293" t="s">
        <v>118</v>
      </c>
      <c r="R5" s="293" t="s">
        <v>690</v>
      </c>
      <c r="S5" s="293" t="s">
        <v>120</v>
      </c>
      <c r="T5" s="293" t="s">
        <v>691</v>
      </c>
      <c r="U5" s="295" t="str">
        <f ca="1">TEXT(TEXT(TODAY()+2,"DD")&amp;"."&amp;TEXT(TODAY()+2,"MM")&amp;"."&amp;TEXT(TODAY()+2,"YYYY"),"DD.MM.YYYY")</f>
        <v>06.11.2025</v>
      </c>
      <c r="V5" s="293" t="s">
        <v>692</v>
      </c>
      <c r="W5" s="293" t="s">
        <v>170</v>
      </c>
      <c r="X5" s="293" t="s">
        <v>693</v>
      </c>
      <c r="Y5" s="293" t="s">
        <v>170</v>
      </c>
      <c r="Z5" s="293" t="s">
        <v>37</v>
      </c>
      <c r="AA5" s="696"/>
      <c r="AB5" s="696"/>
      <c r="AC5" s="696"/>
      <c r="AD5" s="696"/>
      <c r="AE5" s="696"/>
      <c r="AF5" s="696"/>
      <c r="AG5" s="696"/>
      <c r="AH5" s="696"/>
      <c r="AI5" s="293">
        <v>5121</v>
      </c>
      <c r="AJ5" s="293">
        <v>5043</v>
      </c>
      <c r="AK5" s="696">
        <v>4721</v>
      </c>
      <c r="AL5" s="696">
        <v>5692</v>
      </c>
      <c r="AM5" s="296">
        <f t="shared" si="0"/>
        <v>1.1115016598320639</v>
      </c>
      <c r="AN5" s="696">
        <v>5507</v>
      </c>
      <c r="AO5" s="296">
        <f t="shared" si="1"/>
        <v>1.0753759031439172</v>
      </c>
      <c r="AP5" s="696">
        <v>4656</v>
      </c>
      <c r="AQ5" s="296">
        <f t="shared" si="2"/>
        <v>0.9091974223784417</v>
      </c>
      <c r="AR5" s="696">
        <v>4944</v>
      </c>
      <c r="AS5" s="296">
        <f t="shared" si="3"/>
        <v>0.96543643819566494</v>
      </c>
      <c r="AT5" s="696">
        <v>6370</v>
      </c>
      <c r="AU5" s="296">
        <f t="shared" si="3"/>
        <v>1.2438976762351104</v>
      </c>
      <c r="AV5" s="697">
        <v>5589</v>
      </c>
      <c r="AW5" s="296">
        <f t="shared" si="3"/>
        <v>1.0913884007029877</v>
      </c>
      <c r="AX5" s="697">
        <v>3583</v>
      </c>
      <c r="AY5" s="296">
        <f t="shared" si="3"/>
        <v>0.69966803358718999</v>
      </c>
      <c r="AZ5" s="697">
        <v>3699</v>
      </c>
      <c r="BA5" s="296">
        <f t="shared" si="3"/>
        <v>0.72231985940246046</v>
      </c>
      <c r="BB5" s="697">
        <v>3337</v>
      </c>
      <c r="BC5" s="296">
        <f t="shared" si="3"/>
        <v>0.65163054090997852</v>
      </c>
      <c r="BD5" s="142">
        <v>4157</v>
      </c>
      <c r="BE5" s="296">
        <f t="shared" si="4"/>
        <v>0.81175551650068345</v>
      </c>
      <c r="BG5" s="142">
        <v>4898</v>
      </c>
      <c r="BI5" s="142">
        <v>4435</v>
      </c>
      <c r="BK5" s="142">
        <v>4452</v>
      </c>
      <c r="BM5" s="142">
        <v>3361</v>
      </c>
      <c r="BO5" s="142">
        <v>223</v>
      </c>
      <c r="BQ5" s="142">
        <v>3646</v>
      </c>
      <c r="BS5" s="142">
        <v>3700</v>
      </c>
      <c r="BU5" s="142">
        <v>3732</v>
      </c>
      <c r="BW5" s="142">
        <v>4326</v>
      </c>
      <c r="BY5" s="142">
        <v>4630</v>
      </c>
      <c r="CA5" s="142">
        <v>4588</v>
      </c>
      <c r="CC5" s="142">
        <v>4774</v>
      </c>
      <c r="CE5" s="142">
        <v>4892</v>
      </c>
      <c r="CG5" s="142">
        <v>4466</v>
      </c>
      <c r="CI5" s="142">
        <v>4490</v>
      </c>
      <c r="CK5" s="142">
        <v>4874</v>
      </c>
      <c r="CM5" s="142">
        <v>4676</v>
      </c>
      <c r="CO5" s="142">
        <v>6509</v>
      </c>
    </row>
    <row r="6" spans="1:96" s="149" customFormat="1" ht="39.75" customHeight="1" thickBot="1">
      <c r="A6" s="698">
        <v>6</v>
      </c>
      <c r="B6" s="298" t="s">
        <v>682</v>
      </c>
      <c r="C6" s="298" t="str">
        <f ca="1">E6</f>
        <v>{"zustBereich":"Zuständigkeit Beratung","menuSelect":"Zuständigkeit ändern","teamSozial":"Sozialarbeit Bern 1","persSozial":"Bern Sozialarbeiterin 1A","teamSach":"Sachbearbeitung Bern","persSach":"Bern Sachbearbeiterin","gueltigAb":"06.11.2025","eintrUeberschrX":"x","offeneAufgUebertrX":"x"}</v>
      </c>
      <c r="D6" s="699" t="s">
        <v>28</v>
      </c>
      <c r="E6" s="298" t="str">
        <f ca="1">F6&amp;G6&amp;H6&amp;I6&amp;J6&amp;K6&amp;L6&amp;M6&amp;N6&amp;O6&amp;P6&amp;Q6&amp;R6&amp;S6&amp;T6&amp;U6&amp;V6&amp;W6&amp;X6&amp;Y6&amp;Z6</f>
        <v>{"zustBereich":"Zuständigkeit Beratung","menuSelect":"Zuständigkeit ändern","teamSozial":"Sozialarbeit Bern 1","persSozial":"Bern Sozialarbeiterin 1A","teamSach":"Sachbearbeitung Bern","persSach":"Bern Sachbearbeiterin","gueltigAb":"06.11.2025","eintrUeberschrX":"x","offeneAufgUebertrX":"x"}</v>
      </c>
      <c r="F6" s="298" t="s">
        <v>162</v>
      </c>
      <c r="G6" s="699"/>
      <c r="H6" s="298" t="s">
        <v>683</v>
      </c>
      <c r="I6" s="298" t="s">
        <v>684</v>
      </c>
      <c r="J6" s="298" t="s">
        <v>685</v>
      </c>
      <c r="K6" s="298" t="s">
        <v>686</v>
      </c>
      <c r="L6" s="298" t="s">
        <v>687</v>
      </c>
      <c r="M6" s="298" t="s">
        <v>76</v>
      </c>
      <c r="N6" s="298" t="s">
        <v>688</v>
      </c>
      <c r="O6" s="298" t="s">
        <v>116</v>
      </c>
      <c r="P6" s="298" t="s">
        <v>689</v>
      </c>
      <c r="Q6" s="298" t="s">
        <v>118</v>
      </c>
      <c r="R6" s="298" t="s">
        <v>690</v>
      </c>
      <c r="S6" s="298" t="s">
        <v>120</v>
      </c>
      <c r="T6" s="298" t="s">
        <v>691</v>
      </c>
      <c r="U6" s="300" t="str">
        <f ca="1">TEXT(TEXT(TODAY()+2,"DD")&amp;"."&amp;TEXT(TODAY()+2,"MM")&amp;"."&amp;TEXT(TODAY()+2,"YYYY"),"DD.MM.YYYY")</f>
        <v>06.11.2025</v>
      </c>
      <c r="V6" s="298" t="s">
        <v>692</v>
      </c>
      <c r="W6" s="298" t="s">
        <v>170</v>
      </c>
      <c r="X6" s="298" t="s">
        <v>693</v>
      </c>
      <c r="Y6" s="298" t="s">
        <v>170</v>
      </c>
      <c r="Z6" s="298" t="s">
        <v>37</v>
      </c>
      <c r="AA6" s="699"/>
      <c r="AB6" s="699"/>
      <c r="AC6" s="699"/>
      <c r="AD6" s="699"/>
      <c r="AE6" s="699"/>
      <c r="AF6" s="699"/>
      <c r="AG6" s="699"/>
      <c r="AH6" s="699"/>
      <c r="AI6" s="298">
        <v>5121</v>
      </c>
      <c r="AJ6" s="298">
        <v>5043</v>
      </c>
      <c r="AK6" s="699">
        <v>4721</v>
      </c>
      <c r="AL6" s="699">
        <v>5046</v>
      </c>
      <c r="AM6" s="301">
        <f t="shared" si="0"/>
        <v>0.98535442296426479</v>
      </c>
      <c r="AN6" s="699">
        <v>4417</v>
      </c>
      <c r="AO6" s="301">
        <f t="shared" si="1"/>
        <v>0.86252685022456554</v>
      </c>
      <c r="AP6" s="699">
        <v>4009</v>
      </c>
      <c r="AQ6" s="301">
        <f t="shared" si="2"/>
        <v>0.78285491115016603</v>
      </c>
      <c r="AR6" s="699">
        <v>4260</v>
      </c>
      <c r="AS6" s="301">
        <f t="shared" si="3"/>
        <v>0.8318687756297598</v>
      </c>
      <c r="AT6" s="699">
        <v>4372</v>
      </c>
      <c r="AU6" s="301">
        <f t="shared" si="3"/>
        <v>0.85373950400312437</v>
      </c>
      <c r="AV6" s="700">
        <v>3791</v>
      </c>
      <c r="AW6" s="301">
        <f t="shared" si="3"/>
        <v>0.7402851005662956</v>
      </c>
      <c r="AX6" s="700">
        <v>2738</v>
      </c>
      <c r="AY6" s="301">
        <f t="shared" si="3"/>
        <v>0.53466119898457332</v>
      </c>
      <c r="AZ6" s="700">
        <v>2703</v>
      </c>
      <c r="BA6" s="301">
        <f t="shared" si="3"/>
        <v>0.52782659636789686</v>
      </c>
      <c r="BB6" s="700">
        <v>2720</v>
      </c>
      <c r="BC6" s="301">
        <f t="shared" si="3"/>
        <v>0.53114626049599689</v>
      </c>
      <c r="BD6" s="515">
        <v>0</v>
      </c>
      <c r="BE6" s="301">
        <f t="shared" si="4"/>
        <v>0</v>
      </c>
      <c r="BG6" s="149">
        <v>3968</v>
      </c>
      <c r="BI6" s="149">
        <v>3224</v>
      </c>
      <c r="BK6" s="149">
        <v>3167</v>
      </c>
      <c r="BM6" s="149">
        <v>3175</v>
      </c>
      <c r="BQ6" s="149">
        <v>2621</v>
      </c>
      <c r="BS6" s="149">
        <v>2820</v>
      </c>
      <c r="BU6" s="149">
        <v>3007</v>
      </c>
      <c r="BW6" s="149">
        <v>7772</v>
      </c>
      <c r="BY6" s="149">
        <v>4712</v>
      </c>
      <c r="CA6" s="149">
        <v>7733</v>
      </c>
      <c r="CC6" s="149">
        <v>3489</v>
      </c>
      <c r="CE6" s="149">
        <v>5641</v>
      </c>
      <c r="CG6" s="149">
        <v>6856</v>
      </c>
      <c r="CI6" s="149">
        <v>4518</v>
      </c>
      <c r="CK6" s="149">
        <v>5893</v>
      </c>
      <c r="CM6" s="149">
        <v>3912</v>
      </c>
      <c r="CO6" s="149">
        <v>7802</v>
      </c>
    </row>
    <row r="7" spans="1:96">
      <c r="AM7" s="156" t="e">
        <f t="shared" si="0"/>
        <v>#DIV/0!</v>
      </c>
      <c r="AO7" s="156" t="e">
        <f t="shared" si="1"/>
        <v>#DIV/0!</v>
      </c>
      <c r="AQ7" s="156" t="e">
        <f t="shared" si="2"/>
        <v>#DIV/0!</v>
      </c>
      <c r="AS7" s="156" t="e">
        <f t="shared" si="3"/>
        <v>#DIV/0!</v>
      </c>
      <c r="AU7" s="156"/>
      <c r="AW7" s="156"/>
      <c r="AY7" s="156"/>
      <c r="BA7" s="156"/>
      <c r="BC7" s="156"/>
      <c r="BE7" s="156"/>
    </row>
    <row r="8" spans="1:96">
      <c r="C8" s="2" t="s">
        <v>694</v>
      </c>
      <c r="AM8" s="2"/>
      <c r="AO8" s="2"/>
      <c r="AQ8" s="2"/>
      <c r="AS8" s="2"/>
      <c r="AU8" s="2"/>
      <c r="AW8" s="2"/>
      <c r="AY8" s="2"/>
      <c r="BA8" s="2"/>
      <c r="BC8" s="2"/>
      <c r="BE8" s="2"/>
    </row>
  </sheetData>
  <conditionalFormatting sqref="AM2:AM146 AO2:AO146 AQ2:AQ146 AS2:AS146 AU2:AU146 AW2:AW146 AY2:AY146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CR15"/>
  <sheetViews>
    <sheetView zoomScale="115" zoomScaleNormal="115" workbookViewId="0">
      <pane xSplit="2" ySplit="1" topLeftCell="D2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ColWidth="9.140625" defaultRowHeight="14.25" customHeight="1"/>
  <cols>
    <col min="1" max="1" width="4.85546875" style="10" customWidth="1"/>
    <col min="2" max="2" width="50.42578125" style="12" customWidth="1"/>
    <col min="3" max="3" width="162.42578125" style="12" customWidth="1"/>
    <col min="4" max="4" width="9.140625" style="12" customWidth="1"/>
    <col min="5" max="5" width="9.85546875" style="12" customWidth="1"/>
    <col min="6" max="6" width="18.85546875" style="12" customWidth="1"/>
    <col min="7" max="8" width="26.85546875" style="12" customWidth="1"/>
    <col min="9" max="9" width="9.85546875" style="12" customWidth="1"/>
    <col min="10" max="10" width="10.85546875" style="12" customWidth="1"/>
    <col min="11" max="11" width="18.140625" style="12" customWidth="1"/>
    <col min="12" max="12" width="9.140625" style="12" customWidth="1"/>
    <col min="13" max="13" width="10.7109375" style="12" customWidth="1"/>
    <col min="14" max="14" width="9.140625" style="12" customWidth="1"/>
    <col min="15" max="15" width="22.5703125" style="12" customWidth="1"/>
    <col min="16" max="16" width="13.5703125" style="12" customWidth="1"/>
    <col min="17" max="17" width="24.5703125" style="12" customWidth="1"/>
    <col min="18" max="34" width="9.140625" style="12" customWidth="1"/>
    <col min="35" max="35" width="10.140625" style="12" customWidth="1"/>
    <col min="36" max="36" width="11.42578125" style="12" customWidth="1"/>
    <col min="37" max="47" width="10.7109375" style="12" customWidth="1"/>
    <col min="48" max="48" width="10.42578125" style="12" customWidth="1"/>
    <col min="49" max="49" width="10.7109375" style="12" customWidth="1"/>
    <col min="50" max="50" width="11.7109375" style="12" customWidth="1"/>
    <col min="51" max="51" width="10.7109375" style="12" customWidth="1"/>
    <col min="52" max="52" width="30" style="12" customWidth="1"/>
    <col min="53" max="53" width="10.7109375" style="12" customWidth="1"/>
    <col min="54" max="54" width="30" style="12" customWidth="1"/>
    <col min="55" max="55" width="10.7109375" style="12" customWidth="1"/>
    <col min="56" max="56" width="9.140625" style="12" customWidth="1"/>
    <col min="57" max="57" width="20" style="12" customWidth="1"/>
    <col min="58" max="58" width="10.7109375" style="12" customWidth="1"/>
    <col min="59" max="59" width="20" style="12" customWidth="1"/>
    <col min="60" max="60" width="50" style="12" customWidth="1"/>
    <col min="61" max="61" width="20" style="12" customWidth="1"/>
    <col min="62" max="62" width="50" style="12" customWidth="1"/>
    <col min="63" max="63" width="20" style="12" customWidth="1"/>
    <col min="64" max="64" width="50" style="12" customWidth="1"/>
    <col min="65" max="65" width="20" style="12" customWidth="1"/>
    <col min="66" max="66" width="50" style="12" customWidth="1"/>
    <col min="67" max="67" width="20" style="12" customWidth="1"/>
    <col min="68" max="68" width="50" style="12" customWidth="1"/>
    <col min="69" max="69" width="20" style="12" customWidth="1"/>
    <col min="70" max="70" width="50" style="12" customWidth="1"/>
    <col min="71" max="71" width="20" style="12" customWidth="1"/>
    <col min="72" max="72" width="50" style="12" customWidth="1"/>
    <col min="73" max="73" width="20" style="12" customWidth="1"/>
    <col min="74" max="74" width="50" style="12" customWidth="1"/>
    <col min="75" max="75" width="20" style="12" customWidth="1"/>
    <col min="76" max="76" width="50" style="12" customWidth="1"/>
    <col min="77" max="77" width="20" style="12" customWidth="1"/>
    <col min="78" max="78" width="50" style="12" customWidth="1"/>
    <col min="79" max="79" width="20" style="12" customWidth="1"/>
    <col min="80" max="80" width="50" style="12" customWidth="1"/>
    <col min="81" max="81" width="20" style="12" customWidth="1"/>
    <col min="82" max="82" width="50" style="12" customWidth="1"/>
    <col min="83" max="83" width="20" style="12" customWidth="1"/>
    <col min="84" max="84" width="50" style="12" customWidth="1"/>
    <col min="85" max="85" width="20" style="12" customWidth="1"/>
    <col min="86" max="86" width="50" style="12" customWidth="1"/>
    <col min="87" max="87" width="20" style="12" customWidth="1"/>
    <col min="88" max="88" width="50" style="12" customWidth="1"/>
    <col min="89" max="89" width="20" style="12" customWidth="1"/>
    <col min="90" max="90" width="50" style="12" customWidth="1"/>
    <col min="91" max="91" width="20" style="12" customWidth="1"/>
    <col min="92" max="92" width="50" style="12" customWidth="1"/>
    <col min="93" max="93" width="20" style="12" customWidth="1"/>
    <col min="94" max="94" width="50" style="12" customWidth="1"/>
    <col min="95" max="95" width="20" style="12" customWidth="1"/>
    <col min="96" max="96" width="50" style="12" customWidth="1"/>
    <col min="97" max="16384" width="9.140625" style="12"/>
  </cols>
  <sheetData>
    <row r="1" spans="1:96" ht="15.75" customHeight="1">
      <c r="A1" s="39" t="s">
        <v>0</v>
      </c>
      <c r="B1" s="39" t="s">
        <v>1</v>
      </c>
      <c r="C1" s="39" t="s">
        <v>2</v>
      </c>
      <c r="D1" s="39" t="s">
        <v>3</v>
      </c>
      <c r="E1" s="40"/>
      <c r="F1" s="12" t="s">
        <v>4</v>
      </c>
      <c r="G1" s="2558">
        <f>4*60*1000*SpeedFaktor</f>
        <v>240000</v>
      </c>
      <c r="H1" s="12">
        <v>10</v>
      </c>
      <c r="AH1" s="12" t="s">
        <v>5</v>
      </c>
      <c r="AI1" s="12" t="s">
        <v>657</v>
      </c>
      <c r="AJ1" s="12" t="s">
        <v>676</v>
      </c>
      <c r="AK1" s="12" t="s">
        <v>489</v>
      </c>
      <c r="AL1" s="12" t="s">
        <v>282</v>
      </c>
      <c r="AM1" s="12" t="s">
        <v>324</v>
      </c>
      <c r="AN1" s="12" t="s">
        <v>10</v>
      </c>
      <c r="AO1" s="12" t="s">
        <v>677</v>
      </c>
      <c r="AP1" s="12" t="s">
        <v>11</v>
      </c>
      <c r="AQ1" s="24" t="s">
        <v>8</v>
      </c>
      <c r="AR1" s="12" t="s">
        <v>12</v>
      </c>
      <c r="AS1" s="24" t="s">
        <v>8</v>
      </c>
      <c r="AT1" s="12" t="s">
        <v>13</v>
      </c>
      <c r="AU1" s="24" t="s">
        <v>8</v>
      </c>
      <c r="AV1" s="12" t="s">
        <v>65</v>
      </c>
      <c r="AW1" s="24" t="s">
        <v>8</v>
      </c>
      <c r="AX1" s="12" t="s">
        <v>645</v>
      </c>
      <c r="AY1" s="24" t="s">
        <v>8</v>
      </c>
      <c r="AZ1" s="12" t="s">
        <v>1285</v>
      </c>
      <c r="BA1" s="24" t="s">
        <v>8</v>
      </c>
      <c r="BB1" s="12" t="s">
        <v>1286</v>
      </c>
      <c r="BC1" s="24" t="s">
        <v>8</v>
      </c>
      <c r="BE1" s="516" t="s">
        <v>1303</v>
      </c>
      <c r="BF1" s="24" t="s">
        <v>8</v>
      </c>
      <c r="BG1" s="818" t="s">
        <v>1311</v>
      </c>
      <c r="BH1" s="819" t="s">
        <v>572</v>
      </c>
      <c r="BI1" s="944" t="s">
        <v>1318</v>
      </c>
      <c r="BJ1" s="945" t="s">
        <v>572</v>
      </c>
      <c r="BK1" s="1091" t="s">
        <v>1324</v>
      </c>
      <c r="BL1" s="1092" t="s">
        <v>572</v>
      </c>
      <c r="BM1" s="1292" t="s">
        <v>1341</v>
      </c>
      <c r="BN1" s="1293" t="s">
        <v>572</v>
      </c>
      <c r="BO1" s="1482" t="s">
        <v>1359</v>
      </c>
      <c r="BP1" s="1483" t="s">
        <v>572</v>
      </c>
      <c r="BQ1" s="1544" t="s">
        <v>1363</v>
      </c>
      <c r="BR1" s="1545" t="s">
        <v>572</v>
      </c>
      <c r="BS1" s="1688" t="s">
        <v>1368</v>
      </c>
      <c r="BT1" s="1689" t="s">
        <v>572</v>
      </c>
      <c r="BU1" s="1829" t="s">
        <v>1372</v>
      </c>
      <c r="BV1" s="1830" t="s">
        <v>572</v>
      </c>
      <c r="BW1" s="2105" t="s">
        <v>1397</v>
      </c>
      <c r="BX1" s="2106" t="s">
        <v>572</v>
      </c>
      <c r="BY1" s="2293" t="s">
        <v>1421</v>
      </c>
      <c r="BZ1" s="2294" t="s">
        <v>572</v>
      </c>
      <c r="CA1" s="2454" t="s">
        <v>1434</v>
      </c>
      <c r="CB1" s="2455" t="s">
        <v>572</v>
      </c>
      <c r="CC1" s="2615" t="s">
        <v>1442</v>
      </c>
      <c r="CD1" s="2616" t="s">
        <v>572</v>
      </c>
      <c r="CE1" s="2800" t="s">
        <v>1460</v>
      </c>
      <c r="CF1" s="2801" t="s">
        <v>572</v>
      </c>
      <c r="CG1" s="2982" t="s">
        <v>1472</v>
      </c>
      <c r="CH1" s="2983" t="s">
        <v>572</v>
      </c>
      <c r="CI1" s="3170" t="s">
        <v>1492</v>
      </c>
      <c r="CJ1" s="3171" t="s">
        <v>572</v>
      </c>
      <c r="CK1" s="3348" t="s">
        <v>1503</v>
      </c>
      <c r="CL1" s="3349" t="s">
        <v>572</v>
      </c>
      <c r="CM1" s="3528" t="s">
        <v>1519</v>
      </c>
      <c r="CN1" s="3529" t="s">
        <v>572</v>
      </c>
      <c r="CO1" s="3818" t="s">
        <v>1666</v>
      </c>
      <c r="CP1" s="3819" t="s">
        <v>572</v>
      </c>
      <c r="CQ1" s="4041" t="s">
        <v>1717</v>
      </c>
      <c r="CR1" s="4042" t="s">
        <v>572</v>
      </c>
    </row>
    <row r="2" spans="1:96" s="10" customFormat="1" ht="14.25" customHeight="1">
      <c r="A2" s="12">
        <v>1</v>
      </c>
      <c r="B2" s="12" t="s">
        <v>21</v>
      </c>
      <c r="C2" s="168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2">
        <v>1402</v>
      </c>
      <c r="AJ2" s="12">
        <v>1402</v>
      </c>
      <c r="AK2" s="12">
        <v>1402</v>
      </c>
      <c r="AL2" s="12">
        <v>1402</v>
      </c>
      <c r="AM2" s="12">
        <v>1561</v>
      </c>
      <c r="AN2" s="12">
        <v>1685</v>
      </c>
      <c r="AO2" s="12"/>
      <c r="AP2" s="12">
        <v>1463</v>
      </c>
      <c r="AQ2" s="156" t="e" cm="1">
        <f t="array" aca="1" ref="AQ2" ca="1">AP2/§($AI2)</f>
        <v>#NAME?</v>
      </c>
      <c r="AR2" s="12">
        <v>1305</v>
      </c>
      <c r="AS2" s="156">
        <f>AR2/($AI2)</f>
        <v>0.93081312410841655</v>
      </c>
      <c r="AT2" s="2">
        <v>1478</v>
      </c>
      <c r="AU2" s="156">
        <f>AT2/($AI2)</f>
        <v>1.0542082738944365</v>
      </c>
      <c r="AV2" s="2">
        <v>1482</v>
      </c>
      <c r="AW2" s="156">
        <f>AV2/($AI2)</f>
        <v>1.0570613409415122</v>
      </c>
      <c r="AX2" s="2">
        <v>1088</v>
      </c>
      <c r="AY2" s="156">
        <f>AX2/($AI2)</f>
        <v>0.77603423680456496</v>
      </c>
      <c r="AZ2" s="2">
        <v>1323</v>
      </c>
      <c r="BA2" s="156">
        <f>AZ2/($AI2)</f>
        <v>0.94365192582025681</v>
      </c>
      <c r="BB2" s="2">
        <v>559</v>
      </c>
      <c r="BC2" s="156">
        <f>BB2/($AI2)</f>
        <v>0.398716119828816</v>
      </c>
      <c r="BE2" s="10">
        <v>1259</v>
      </c>
      <c r="BF2" s="156">
        <f>BE2/($AI2)</f>
        <v>0.89800285306704708</v>
      </c>
      <c r="BG2" s="10">
        <v>1605</v>
      </c>
      <c r="BI2" s="10">
        <v>1116</v>
      </c>
      <c r="BK2" s="10">
        <v>1325</v>
      </c>
      <c r="BM2" s="10">
        <v>1225</v>
      </c>
      <c r="BO2" s="10">
        <v>1060</v>
      </c>
      <c r="BQ2" s="10">
        <v>1030</v>
      </c>
      <c r="BS2" s="10">
        <v>1106</v>
      </c>
      <c r="BU2" s="10">
        <v>1157</v>
      </c>
      <c r="BW2" s="10">
        <v>1656</v>
      </c>
      <c r="BY2" s="10">
        <v>1629</v>
      </c>
      <c r="CA2" s="10">
        <v>1703</v>
      </c>
      <c r="CC2" s="10">
        <v>1087</v>
      </c>
      <c r="CE2" s="10">
        <v>1142</v>
      </c>
      <c r="CG2" s="10">
        <v>1568</v>
      </c>
      <c r="CI2" s="10">
        <v>1162</v>
      </c>
      <c r="CK2" s="10">
        <v>1110</v>
      </c>
      <c r="CM2" s="10">
        <v>1176</v>
      </c>
      <c r="CO2" s="10">
        <v>907</v>
      </c>
      <c r="CQ2" s="10">
        <v>536</v>
      </c>
      <c r="CR2" s="10" t="s">
        <v>1718</v>
      </c>
    </row>
    <row r="3" spans="1:96" s="10" customFormat="1" ht="14.25" customHeight="1">
      <c r="A3" s="12">
        <v>2</v>
      </c>
      <c r="B3" s="12" t="s">
        <v>25</v>
      </c>
      <c r="C3" s="38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2">
        <v>8460</v>
      </c>
      <c r="AJ3" s="12">
        <v>8460</v>
      </c>
      <c r="AK3" s="12">
        <v>8460</v>
      </c>
      <c r="AL3" s="12">
        <v>8460</v>
      </c>
      <c r="AM3" s="12">
        <v>8898</v>
      </c>
      <c r="AN3" s="12">
        <v>10952</v>
      </c>
      <c r="AO3" s="12"/>
      <c r="AP3" s="12">
        <v>9635</v>
      </c>
      <c r="AQ3" s="156">
        <f t="shared" ref="AQ3:AQ5" si="0">AP3/($AI3)</f>
        <v>1.1388888888888888</v>
      </c>
      <c r="AR3" s="12">
        <v>8986</v>
      </c>
      <c r="AS3" s="156">
        <f t="shared" ref="AS3:AS5" si="1">AR3/($AI3)</f>
        <v>1.0621749408983452</v>
      </c>
      <c r="AT3" s="2">
        <v>9596</v>
      </c>
      <c r="AU3" s="156">
        <f t="shared" ref="AU3:BC5" si="2">AT3/($AI3)</f>
        <v>1.1342789598108747</v>
      </c>
      <c r="AV3" s="2">
        <v>10931</v>
      </c>
      <c r="AW3" s="156">
        <f t="shared" si="2"/>
        <v>1.292080378250591</v>
      </c>
      <c r="AX3" s="2">
        <v>7630</v>
      </c>
      <c r="AY3" s="156">
        <f t="shared" ref="AY3:AY5" si="3">AX3/($AI3)</f>
        <v>0.90189125295508277</v>
      </c>
      <c r="AZ3" s="2">
        <v>7005</v>
      </c>
      <c r="BA3" s="156">
        <f t="shared" si="2"/>
        <v>0.82801418439716312</v>
      </c>
      <c r="BB3" s="2">
        <v>5208</v>
      </c>
      <c r="BC3" s="156">
        <f t="shared" si="2"/>
        <v>0.61560283687943262</v>
      </c>
      <c r="BE3" s="10">
        <v>7310</v>
      </c>
      <c r="BF3" s="156">
        <f t="shared" ref="BF3:BF4" si="4">BE3/($AI3)</f>
        <v>0.86406619385342787</v>
      </c>
      <c r="BG3" s="10">
        <v>8057</v>
      </c>
      <c r="BI3" s="10">
        <v>6836</v>
      </c>
      <c r="BK3" s="10">
        <v>7783</v>
      </c>
      <c r="BM3" s="10">
        <v>6569</v>
      </c>
      <c r="BO3" s="10">
        <v>7902</v>
      </c>
      <c r="BQ3" s="10">
        <v>7291</v>
      </c>
      <c r="BS3" s="10">
        <v>7215</v>
      </c>
      <c r="BU3" s="10">
        <v>7307</v>
      </c>
      <c r="BW3" s="10">
        <v>6318</v>
      </c>
      <c r="BY3" s="10">
        <v>6370</v>
      </c>
      <c r="CA3" s="10">
        <v>6856</v>
      </c>
      <c r="CC3" s="10">
        <v>7134</v>
      </c>
      <c r="CE3" s="10">
        <v>9065</v>
      </c>
      <c r="CG3" s="10">
        <v>7714</v>
      </c>
      <c r="CI3" s="10">
        <v>8739</v>
      </c>
      <c r="CK3" s="10">
        <v>9761</v>
      </c>
      <c r="CM3" s="10">
        <v>10891</v>
      </c>
      <c r="CO3" s="10">
        <v>7780</v>
      </c>
      <c r="CQ3" s="10">
        <v>6454</v>
      </c>
      <c r="CR3" s="10" t="s">
        <v>1718</v>
      </c>
    </row>
    <row r="4" spans="1:96" s="10" customFormat="1" ht="17.25" customHeight="1">
      <c r="A4" s="12">
        <v>4</v>
      </c>
      <c r="B4" s="187" t="s">
        <v>695</v>
      </c>
      <c r="C4" s="187" t="str">
        <f ca="1">E4</f>
        <v>{"aktuelleZust":"Bern Sozialarbeiterin 1A","neuZust":"Bern Sozialarbeiterin 1B","gueltigAb":"05.11.2025","eintrUeberschrX":"x","offeneAufgUebertrX":"x"}</v>
      </c>
      <c r="D4" s="187" t="s">
        <v>28</v>
      </c>
      <c r="E4" s="187" t="str">
        <f ca="1">F4&amp;G4&amp;H4&amp;I4&amp;J4&amp;K4&amp;L4&amp;M4&amp;N4&amp;O4&amp;P4&amp;Q4&amp;R4&amp;S4&amp;T4&amp;U4&amp;V4&amp;W4&amp;X4&amp;Y4&amp;Z4&amp;AA4&amp;AB4&amp;AC4&amp;AD4&amp;AE4</f>
        <v>{"aktuelleZust":"Bern Sozialarbeiterin 1A","neuZust":"Bern Sozialarbeiterin 1B","gueltigAb":"05.11.2025","eintrUeberschrX":"x","offeneAufgUebertrX":"x"}</v>
      </c>
      <c r="F4" s="187" t="s">
        <v>696</v>
      </c>
      <c r="G4" s="187" t="s">
        <v>116</v>
      </c>
      <c r="H4" s="187" t="s">
        <v>697</v>
      </c>
      <c r="I4" s="187" t="s">
        <v>344</v>
      </c>
      <c r="J4" s="187" t="s">
        <v>691</v>
      </c>
      <c r="K4" s="232" t="str">
        <f ca="1">TEXT(TEXT(TODAY()+1,"DD")&amp;"."&amp;TEXT(TODAY()+1,"MM")&amp;"."&amp;TEXT(TODAY()+1,"YYYY"),"DD.MM.YYYY")</f>
        <v>05.11.2025</v>
      </c>
      <c r="L4" s="187" t="s">
        <v>692</v>
      </c>
      <c r="M4" s="187" t="s">
        <v>170</v>
      </c>
      <c r="N4" s="187" t="s">
        <v>693</v>
      </c>
      <c r="O4" s="187" t="s">
        <v>170</v>
      </c>
      <c r="P4" s="187" t="s">
        <v>37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187">
        <v>6178</v>
      </c>
      <c r="AJ4" s="187">
        <v>6178</v>
      </c>
      <c r="AK4" s="187">
        <v>6178</v>
      </c>
      <c r="AL4" s="187">
        <v>6178</v>
      </c>
      <c r="AM4" s="187">
        <v>6833</v>
      </c>
      <c r="AN4" s="187">
        <v>5285</v>
      </c>
      <c r="AO4" s="187"/>
      <c r="AP4" s="187">
        <v>3943</v>
      </c>
      <c r="AQ4" s="156">
        <f>AP4/($AI4)</f>
        <v>0.63823243768209781</v>
      </c>
      <c r="AR4" s="187">
        <v>4101</v>
      </c>
      <c r="AS4" s="156">
        <f t="shared" si="1"/>
        <v>0.66380705730009715</v>
      </c>
      <c r="AT4" s="24">
        <v>3887</v>
      </c>
      <c r="AU4" s="156">
        <f t="shared" si="2"/>
        <v>0.62916801553900936</v>
      </c>
      <c r="AV4" s="24">
        <v>0</v>
      </c>
      <c r="AW4" s="156">
        <f t="shared" si="2"/>
        <v>0</v>
      </c>
      <c r="AX4" s="2">
        <v>4143</v>
      </c>
      <c r="AY4" s="156">
        <f t="shared" si="3"/>
        <v>0.67060537390741337</v>
      </c>
      <c r="AZ4" s="2">
        <v>6677</v>
      </c>
      <c r="BA4" s="156">
        <f t="shared" si="2"/>
        <v>1.0807704758821626</v>
      </c>
      <c r="BB4" s="2">
        <v>7454</v>
      </c>
      <c r="BC4" s="156">
        <f t="shared" si="2"/>
        <v>1.2065393331175138</v>
      </c>
      <c r="BE4" s="517">
        <v>0</v>
      </c>
      <c r="BF4" s="156">
        <f t="shared" si="4"/>
        <v>0</v>
      </c>
      <c r="BG4" s="10">
        <v>5200</v>
      </c>
      <c r="BI4" s="10">
        <v>5191</v>
      </c>
      <c r="BK4" s="10">
        <v>6277</v>
      </c>
      <c r="BM4" s="1294">
        <v>0</v>
      </c>
      <c r="BN4" s="1295" t="s">
        <v>1373</v>
      </c>
      <c r="BO4" s="10">
        <v>84140</v>
      </c>
      <c r="BQ4" s="1546">
        <v>0</v>
      </c>
      <c r="BR4" s="1547" t="s">
        <v>1373</v>
      </c>
      <c r="BS4" s="1690">
        <v>0</v>
      </c>
      <c r="BT4" s="1691" t="s">
        <v>1369</v>
      </c>
      <c r="BU4" s="1831">
        <v>0</v>
      </c>
      <c r="BV4" s="1832" t="s">
        <v>1373</v>
      </c>
      <c r="BW4" s="10">
        <v>20323</v>
      </c>
      <c r="BY4" s="2295">
        <v>0</v>
      </c>
      <c r="BZ4" s="2296" t="s">
        <v>1425</v>
      </c>
      <c r="CA4" s="2456">
        <v>0</v>
      </c>
      <c r="CB4" s="2457" t="s">
        <v>1436</v>
      </c>
      <c r="CC4" s="10">
        <v>24542</v>
      </c>
      <c r="CE4" s="2802">
        <v>0</v>
      </c>
      <c r="CF4" s="2803" t="s">
        <v>1465</v>
      </c>
      <c r="CG4" s="10">
        <v>66229</v>
      </c>
      <c r="CI4" s="3172">
        <v>0</v>
      </c>
      <c r="CJ4" s="3173" t="s">
        <v>1496</v>
      </c>
      <c r="CK4" s="10">
        <v>29214</v>
      </c>
      <c r="CM4" s="10">
        <v>23170</v>
      </c>
      <c r="CO4" s="10">
        <v>74863</v>
      </c>
      <c r="CQ4" s="10">
        <v>55505</v>
      </c>
      <c r="CR4" s="10" t="s">
        <v>1718</v>
      </c>
    </row>
    <row r="5" spans="1:96" s="10" customFormat="1" ht="31.5" customHeight="1">
      <c r="A5" s="12">
        <v>5</v>
      </c>
      <c r="B5" s="187" t="s">
        <v>695</v>
      </c>
      <c r="C5" s="187" t="str">
        <f ca="1">E5</f>
        <v>{"aktuelleZust":"Bern Sozialarbeiterin 1B","neuZust":"Bern Sozialarbeiterin 1A","gueltigAb":"05.11.2025","eintrUeberschrX":"x","offeneAufgUebertrX":"x"}</v>
      </c>
      <c r="D5" s="187" t="s">
        <v>28</v>
      </c>
      <c r="E5" s="187" t="str">
        <f ca="1">F5&amp;G5&amp;H5&amp;I5&amp;J5&amp;K5&amp;L5&amp;M5&amp;N5&amp;O5&amp;P5&amp;Q5&amp;R5&amp;S5&amp;T5&amp;U5&amp;V5&amp;W5&amp;X5&amp;Y5&amp;Z5&amp;AA5&amp;AB5&amp;AC5&amp;AD5&amp;AE5</f>
        <v>{"aktuelleZust":"Bern Sozialarbeiterin 1B","neuZust":"Bern Sozialarbeiterin 1A","gueltigAb":"05.11.2025","eintrUeberschrX":"x","offeneAufgUebertrX":"x"}</v>
      </c>
      <c r="F5" s="187" t="s">
        <v>696</v>
      </c>
      <c r="G5" s="187" t="s">
        <v>344</v>
      </c>
      <c r="H5" s="187" t="s">
        <v>697</v>
      </c>
      <c r="I5" s="187" t="s">
        <v>116</v>
      </c>
      <c r="J5" s="187" t="s">
        <v>691</v>
      </c>
      <c r="K5" s="232" t="str">
        <f ca="1">TEXT(TEXT(TODAY()+1,"DD")&amp;"."&amp;TEXT(TODAY()+1,"MM")&amp;"."&amp;TEXT(TODAY()+1,"YYYY"),"DD.MM.YYYY")</f>
        <v>05.11.2025</v>
      </c>
      <c r="L5" s="187" t="s">
        <v>692</v>
      </c>
      <c r="M5" s="187" t="s">
        <v>170</v>
      </c>
      <c r="N5" s="187" t="s">
        <v>693</v>
      </c>
      <c r="O5" s="187" t="s">
        <v>170</v>
      </c>
      <c r="P5" s="187" t="s">
        <v>37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187">
        <v>6178</v>
      </c>
      <c r="AJ5" s="187">
        <v>6178</v>
      </c>
      <c r="AK5" s="187">
        <v>6178</v>
      </c>
      <c r="AL5" s="187">
        <v>6178</v>
      </c>
      <c r="AM5" s="2">
        <v>3597</v>
      </c>
      <c r="AN5" s="2">
        <v>3597</v>
      </c>
      <c r="AO5" s="2">
        <v>3597</v>
      </c>
      <c r="AP5" s="2">
        <v>3597</v>
      </c>
      <c r="AQ5" s="156">
        <f t="shared" si="0"/>
        <v>0.58222725801230168</v>
      </c>
      <c r="AR5" s="187">
        <v>0</v>
      </c>
      <c r="AS5" s="156">
        <f t="shared" si="1"/>
        <v>0</v>
      </c>
      <c r="AT5" s="24">
        <v>0</v>
      </c>
      <c r="AU5" s="156">
        <f t="shared" si="2"/>
        <v>0</v>
      </c>
      <c r="AV5" s="24">
        <v>11779</v>
      </c>
      <c r="AW5" s="156">
        <f t="shared" si="2"/>
        <v>1.9066040789899643</v>
      </c>
      <c r="AX5" s="2">
        <v>3597</v>
      </c>
      <c r="AY5" s="156">
        <f t="shared" si="3"/>
        <v>0.58222725801230168</v>
      </c>
      <c r="AZ5" s="2">
        <v>3655</v>
      </c>
      <c r="BA5" s="156">
        <f>AZ5/($AL5)</f>
        <v>0.59161540951764324</v>
      </c>
      <c r="BB5" s="2">
        <v>5773</v>
      </c>
      <c r="BC5" s="156">
        <f>BB5/($AL5)</f>
        <v>0.93444480414373587</v>
      </c>
      <c r="BE5" s="518">
        <v>0</v>
      </c>
      <c r="BF5" s="156">
        <f>BE5/($AL5)</f>
        <v>0</v>
      </c>
      <c r="BG5" s="10">
        <v>5593</v>
      </c>
      <c r="BI5" s="10">
        <v>2991</v>
      </c>
      <c r="BK5" s="10">
        <v>3960</v>
      </c>
      <c r="BM5" s="10">
        <v>270</v>
      </c>
      <c r="BO5" s="1484">
        <v>0</v>
      </c>
      <c r="BP5" s="1485" t="s">
        <v>1360</v>
      </c>
      <c r="BQ5" s="10">
        <v>296</v>
      </c>
      <c r="BS5" s="10">
        <v>211</v>
      </c>
      <c r="BU5" s="10">
        <v>322</v>
      </c>
      <c r="BW5" s="10">
        <v>26866</v>
      </c>
      <c r="BY5" s="10">
        <v>29275</v>
      </c>
      <c r="CA5" s="10">
        <v>26966</v>
      </c>
      <c r="CC5" s="10">
        <v>10333</v>
      </c>
      <c r="CE5" s="10">
        <v>28560</v>
      </c>
      <c r="CG5" s="2984">
        <v>0</v>
      </c>
      <c r="CH5" s="2985" t="s">
        <v>1496</v>
      </c>
      <c r="CI5" s="10">
        <v>237</v>
      </c>
      <c r="CK5" s="10">
        <v>25756</v>
      </c>
      <c r="CM5" s="10">
        <v>21940</v>
      </c>
      <c r="CO5" s="10">
        <v>20696</v>
      </c>
      <c r="CQ5" s="10">
        <v>23202</v>
      </c>
      <c r="CR5" s="10" t="s">
        <v>1718</v>
      </c>
    </row>
    <row r="6" spans="1:96">
      <c r="A6" s="2"/>
      <c r="AQ6" s="2"/>
      <c r="AS6" s="2"/>
      <c r="AU6" s="2"/>
      <c r="AW6" s="2"/>
      <c r="AY6" s="2"/>
      <c r="BA6" s="2"/>
      <c r="BC6" s="2"/>
      <c r="BF6" s="2"/>
    </row>
    <row r="7" spans="1:96">
      <c r="A7" s="12"/>
      <c r="AF7" s="12">
        <v>371</v>
      </c>
      <c r="AG7" s="12">
        <v>415</v>
      </c>
      <c r="AH7" s="12">
        <v>311</v>
      </c>
      <c r="AN7" s="2"/>
      <c r="AP7" s="2"/>
      <c r="AR7" s="2"/>
      <c r="AT7" s="2"/>
      <c r="AV7" s="2"/>
    </row>
    <row r="8" spans="1:96">
      <c r="A8" s="12"/>
      <c r="AN8" s="2"/>
      <c r="AP8" s="2"/>
      <c r="AR8" s="2"/>
      <c r="AT8" s="2"/>
      <c r="AV8" s="2"/>
    </row>
    <row r="9" spans="1:96">
      <c r="A9" s="12"/>
      <c r="AN9" s="2"/>
      <c r="AP9" s="2"/>
      <c r="AR9" s="2"/>
      <c r="AT9" s="2"/>
      <c r="AV9" s="2"/>
    </row>
    <row r="10" spans="1:96" ht="14.25" customHeight="1">
      <c r="A10" s="12"/>
    </row>
    <row r="11" spans="1:96" ht="14.25" customHeight="1">
      <c r="A11" s="12"/>
    </row>
    <row r="12" spans="1:96" ht="14.25" customHeight="1">
      <c r="A12" s="12"/>
    </row>
    <row r="13" spans="1:96" ht="14.25" customHeight="1">
      <c r="A13" s="12"/>
    </row>
    <row r="14" spans="1:96" ht="14.25" customHeight="1">
      <c r="A14" s="12"/>
    </row>
    <row r="15" spans="1:96" ht="14.25" customHeight="1">
      <c r="A15" s="12"/>
    </row>
  </sheetData>
  <conditionalFormatting sqref="AQ2:AQ6 AQ16:AQ144 AN7:AN15 AS2:AS6 AS16:AS144 AP7:AP15 AU2:AU6 AU16:AU144 AR7:AR15 AW2:AW6 AW16:AW144 AT7:AT15 AY16:AY144 AV7:AV15 AY2:AY6">
    <cfRule type="colorScale" priority="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6 BA16:BA144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6 BC16:BC144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6 BF16:BF144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BR8"/>
  <sheetViews>
    <sheetView zoomScale="115" zoomScaleNormal="115" workbookViewId="0"/>
  </sheetViews>
  <sheetFormatPr defaultColWidth="9.140625" defaultRowHeight="14.25" customHeight="1"/>
  <cols>
    <col min="1" max="1" width="4.85546875" style="1" customWidth="1"/>
    <col min="2" max="2" width="42.85546875" style="2" customWidth="1"/>
    <col min="3" max="3" width="162.4257812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10" width="9.140625" style="2" customWidth="1"/>
    <col min="11" max="14" width="11.28515625" style="2" customWidth="1"/>
    <col min="15" max="15" width="11.28515625" style="12" customWidth="1"/>
    <col min="16" max="16" width="10.42578125" style="2" customWidth="1"/>
    <col min="17" max="19" width="11.28515625" style="2" customWidth="1"/>
    <col min="20" max="20" width="11.28515625" style="12" customWidth="1"/>
    <col min="21" max="21" width="11.28515625" style="2" customWidth="1"/>
    <col min="22" max="22" width="11.28515625" style="12" customWidth="1"/>
    <col min="23" max="23" width="11.140625" style="2" customWidth="1"/>
    <col min="24" max="24" width="11.140625" style="12" customWidth="1"/>
    <col min="25" max="25" width="11.140625" style="2" customWidth="1"/>
    <col min="26" max="26" width="11.140625" style="12" customWidth="1"/>
    <col min="27" max="27" width="11.140625" style="2" customWidth="1"/>
    <col min="28" max="28" width="11.140625" style="12" customWidth="1"/>
    <col min="29" max="29" width="11.140625" style="2" customWidth="1"/>
    <col min="30" max="30" width="11.140625" style="12" customWidth="1"/>
    <col min="31" max="31" width="11.140625" style="2" customWidth="1"/>
    <col min="32" max="32" width="11.140625" style="12" customWidth="1"/>
    <col min="33" max="33" width="11.140625" style="2" customWidth="1"/>
    <col min="34" max="34" width="11.140625" style="12" customWidth="1"/>
    <col min="35" max="35" width="20" style="2" customWidth="1"/>
    <col min="36" max="36" width="50" style="2" customWidth="1"/>
    <col min="37" max="37" width="20" style="2" customWidth="1"/>
    <col min="38" max="38" width="50" style="2" customWidth="1"/>
    <col min="39" max="39" width="20" style="2" customWidth="1"/>
    <col min="40" max="40" width="50" style="2" customWidth="1"/>
    <col min="41" max="41" width="20" style="2" customWidth="1"/>
    <col min="42" max="42" width="50" style="2" customWidth="1"/>
    <col min="43" max="43" width="20" style="2" customWidth="1"/>
    <col min="44" max="44" width="50" style="2" customWidth="1"/>
    <col min="45" max="45" width="20" style="2" customWidth="1"/>
    <col min="46" max="46" width="50" style="2" customWidth="1"/>
    <col min="47" max="47" width="20" style="2" customWidth="1"/>
    <col min="48" max="48" width="50" style="2" customWidth="1"/>
    <col min="49" max="49" width="20" style="2" customWidth="1"/>
    <col min="50" max="50" width="50" style="2" customWidth="1"/>
    <col min="51" max="51" width="20" style="2" customWidth="1"/>
    <col min="52" max="52" width="50" style="2" customWidth="1"/>
    <col min="53" max="53" width="20" style="2" customWidth="1"/>
    <col min="54" max="54" width="50" style="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16384" width="9.140625" style="2"/>
  </cols>
  <sheetData>
    <row r="1" spans="1:70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4*60*1000*SpeedFaktor</f>
        <v>240000</v>
      </c>
      <c r="H1" s="2">
        <v>10</v>
      </c>
      <c r="J1" s="2" t="s">
        <v>5</v>
      </c>
      <c r="K1" s="2" t="s">
        <v>657</v>
      </c>
      <c r="L1" s="2" t="s">
        <v>489</v>
      </c>
      <c r="M1" s="2" t="s">
        <v>324</v>
      </c>
      <c r="N1" s="2" t="s">
        <v>10</v>
      </c>
      <c r="O1" s="24" t="s">
        <v>8</v>
      </c>
      <c r="P1" s="2" t="s">
        <v>677</v>
      </c>
      <c r="Q1" s="2" t="s">
        <v>11</v>
      </c>
      <c r="R1" s="2" t="s">
        <v>698</v>
      </c>
      <c r="S1" s="2" t="s">
        <v>12</v>
      </c>
      <c r="T1" s="24" t="s">
        <v>8</v>
      </c>
      <c r="U1" s="2" t="s">
        <v>13</v>
      </c>
      <c r="V1" s="24" t="s">
        <v>8</v>
      </c>
      <c r="W1" s="15" t="s">
        <v>65</v>
      </c>
      <c r="X1" s="701" t="s">
        <v>8</v>
      </c>
      <c r="Y1" s="422" t="s">
        <v>15</v>
      </c>
      <c r="Z1" s="701" t="s">
        <v>8</v>
      </c>
      <c r="AA1" s="422" t="s">
        <v>17</v>
      </c>
      <c r="AB1" s="701" t="s">
        <v>8</v>
      </c>
      <c r="AC1" s="422" t="s">
        <v>1285</v>
      </c>
      <c r="AD1" s="701" t="s">
        <v>8</v>
      </c>
      <c r="AE1" s="422" t="s">
        <v>1286</v>
      </c>
      <c r="AF1" s="701" t="s">
        <v>8</v>
      </c>
      <c r="AG1" s="703" t="s">
        <v>1303</v>
      </c>
      <c r="AH1" s="701" t="s">
        <v>8</v>
      </c>
      <c r="AI1" s="820" t="s">
        <v>1311</v>
      </c>
      <c r="AJ1" s="821" t="s">
        <v>572</v>
      </c>
      <c r="AK1" s="946" t="s">
        <v>1318</v>
      </c>
      <c r="AL1" s="947" t="s">
        <v>572</v>
      </c>
      <c r="AM1" s="1093" t="s">
        <v>1324</v>
      </c>
      <c r="AN1" s="1094" t="s">
        <v>572</v>
      </c>
      <c r="AO1" s="1296" t="s">
        <v>1341</v>
      </c>
      <c r="AP1" s="1297" t="s">
        <v>572</v>
      </c>
      <c r="AQ1" s="1548" t="s">
        <v>1363</v>
      </c>
      <c r="AR1" s="1549" t="s">
        <v>572</v>
      </c>
      <c r="AS1" s="1692" t="s">
        <v>1368</v>
      </c>
      <c r="AT1" s="1693" t="s">
        <v>572</v>
      </c>
      <c r="AU1" s="1833" t="s">
        <v>1372</v>
      </c>
      <c r="AV1" s="1834" t="s">
        <v>572</v>
      </c>
      <c r="AW1" s="2107" t="s">
        <v>1397</v>
      </c>
      <c r="AX1" s="2108" t="s">
        <v>572</v>
      </c>
      <c r="AY1" s="2297" t="s">
        <v>1421</v>
      </c>
      <c r="AZ1" s="2298" t="s">
        <v>572</v>
      </c>
      <c r="BA1" s="2458" t="s">
        <v>1434</v>
      </c>
      <c r="BB1" s="2459" t="s">
        <v>572</v>
      </c>
      <c r="BC1" s="2617" t="s">
        <v>1442</v>
      </c>
      <c r="BD1" s="2618" t="s">
        <v>572</v>
      </c>
      <c r="BE1" s="2804" t="s">
        <v>1460</v>
      </c>
      <c r="BF1" s="2805" t="s">
        <v>572</v>
      </c>
      <c r="BG1" s="2986" t="s">
        <v>1472</v>
      </c>
      <c r="BH1" s="2987" t="s">
        <v>572</v>
      </c>
      <c r="BI1" s="3174" t="s">
        <v>1492</v>
      </c>
      <c r="BJ1" s="3175" t="s">
        <v>572</v>
      </c>
      <c r="BK1" s="3350" t="s">
        <v>1503</v>
      </c>
      <c r="BL1" s="3351" t="s">
        <v>572</v>
      </c>
      <c r="BM1" s="3530" t="s">
        <v>1519</v>
      </c>
      <c r="BN1" s="3531" t="s">
        <v>572</v>
      </c>
      <c r="BO1" s="3820" t="s">
        <v>1666</v>
      </c>
      <c r="BP1" s="3821" t="s">
        <v>572</v>
      </c>
      <c r="BQ1" s="4043" t="s">
        <v>1717</v>
      </c>
      <c r="BR1" s="4044" t="s">
        <v>572</v>
      </c>
    </row>
    <row r="2" spans="1:70" s="10" customFormat="1" ht="14.25" customHeight="1">
      <c r="A2" s="122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>
        <v>1642</v>
      </c>
      <c r="L2" s="2">
        <v>1492</v>
      </c>
      <c r="M2" s="2">
        <v>1487</v>
      </c>
      <c r="N2" s="2">
        <v>1595</v>
      </c>
      <c r="O2" s="156">
        <f>N2/($K2)</f>
        <v>0.97137637028014612</v>
      </c>
      <c r="P2" s="2"/>
      <c r="Q2" s="2">
        <v>1483</v>
      </c>
      <c r="R2" s="2"/>
      <c r="S2" s="2">
        <v>1671</v>
      </c>
      <c r="T2" s="156">
        <f>S2/($K2)</f>
        <v>1.0176613885505481</v>
      </c>
      <c r="U2" s="2">
        <v>2087</v>
      </c>
      <c r="V2" s="156">
        <f>U2/($K2)</f>
        <v>1.2710109622411694</v>
      </c>
      <c r="W2" s="2">
        <v>1377</v>
      </c>
      <c r="X2" s="156">
        <f>W2/($K2)</f>
        <v>0.83861144945188792</v>
      </c>
      <c r="Y2" s="2">
        <v>1291</v>
      </c>
      <c r="Z2" s="156">
        <f>Y2/($K2)</f>
        <v>0.78623629719853838</v>
      </c>
      <c r="AA2" s="2">
        <v>1107</v>
      </c>
      <c r="AB2" s="156">
        <f>AA2/($K2)</f>
        <v>0.67417783191230207</v>
      </c>
      <c r="AC2" s="2">
        <v>1156</v>
      </c>
      <c r="AD2" s="156">
        <f>AC2/($K2)</f>
        <v>0.7040194884287454</v>
      </c>
      <c r="AE2" s="2">
        <v>582</v>
      </c>
      <c r="AF2" s="156">
        <f>AE2/($K2)</f>
        <v>0.35444579780755175</v>
      </c>
      <c r="AG2" s="10">
        <v>1374</v>
      </c>
      <c r="AH2" s="156">
        <f>AG2/($K2)</f>
        <v>0.8367844092570037</v>
      </c>
      <c r="AI2" s="10">
        <v>1445</v>
      </c>
      <c r="AK2" s="10">
        <v>1147</v>
      </c>
      <c r="AM2" s="10">
        <v>1337</v>
      </c>
      <c r="AO2" s="10">
        <v>928</v>
      </c>
      <c r="AQ2" s="10">
        <v>947</v>
      </c>
      <c r="AS2" s="10">
        <v>1145</v>
      </c>
      <c r="AU2" s="10">
        <v>935</v>
      </c>
      <c r="AW2" s="10">
        <v>1700</v>
      </c>
      <c r="AY2" s="10">
        <v>1774</v>
      </c>
      <c r="BA2" s="10">
        <v>1849</v>
      </c>
      <c r="BC2" s="10">
        <v>1137</v>
      </c>
      <c r="BE2" s="10">
        <v>1364</v>
      </c>
      <c r="BG2" s="10">
        <v>1068</v>
      </c>
      <c r="BI2" s="10">
        <v>1100</v>
      </c>
      <c r="BK2" s="10">
        <v>982</v>
      </c>
      <c r="BM2" s="10">
        <v>1456</v>
      </c>
      <c r="BO2" s="10">
        <v>928</v>
      </c>
      <c r="BQ2" s="10">
        <v>471</v>
      </c>
      <c r="BR2" s="10" t="s">
        <v>1718</v>
      </c>
    </row>
    <row r="3" spans="1:70" s="10" customFormat="1" ht="14.25" customHeight="1" thickBot="1">
      <c r="A3" s="122">
        <v>2</v>
      </c>
      <c r="B3" s="122" t="s">
        <v>25</v>
      </c>
      <c r="C3" s="120" t="s">
        <v>633</v>
      </c>
      <c r="D3" s="2"/>
      <c r="E3" s="12"/>
      <c r="F3" s="2"/>
      <c r="G3" s="2"/>
      <c r="H3" s="2"/>
      <c r="I3" s="2"/>
      <c r="J3" s="2"/>
      <c r="K3" s="2">
        <v>7449</v>
      </c>
      <c r="L3" s="2">
        <v>8406</v>
      </c>
      <c r="M3" s="2">
        <v>8445</v>
      </c>
      <c r="N3" s="2">
        <v>9863</v>
      </c>
      <c r="O3" s="156">
        <f t="shared" ref="O3:O4" si="0">N3/($K3)</f>
        <v>1.3240703450127533</v>
      </c>
      <c r="P3" s="2"/>
      <c r="Q3" s="2">
        <v>8951</v>
      </c>
      <c r="R3" s="2"/>
      <c r="S3" s="2">
        <v>8241</v>
      </c>
      <c r="T3" s="156">
        <f t="shared" ref="T3:T4" si="1">S3/($K3)</f>
        <v>1.1063229963753525</v>
      </c>
      <c r="U3" s="2">
        <v>9015</v>
      </c>
      <c r="V3" s="156">
        <f t="shared" ref="V3:V4" si="2">U3/($K3)</f>
        <v>1.2102295610149014</v>
      </c>
      <c r="W3" s="2">
        <v>9670</v>
      </c>
      <c r="X3" s="156">
        <f t="shared" ref="X3:AB4" si="3">W3/($K3)</f>
        <v>1.2981608269566385</v>
      </c>
      <c r="Y3" s="2">
        <v>8582</v>
      </c>
      <c r="Z3" s="156">
        <f t="shared" si="3"/>
        <v>1.1521009531480735</v>
      </c>
      <c r="AA3" s="2">
        <v>6942</v>
      </c>
      <c r="AB3" s="156">
        <f t="shared" si="3"/>
        <v>0.93193717277486909</v>
      </c>
      <c r="AC3" s="2">
        <v>7776</v>
      </c>
      <c r="AD3" s="156">
        <f t="shared" ref="AD3:AD4" si="4">AC3/($K3)</f>
        <v>1.0438985098670963</v>
      </c>
      <c r="AE3" s="2">
        <v>5228</v>
      </c>
      <c r="AF3" s="156">
        <f t="shared" ref="AF3:AF4" si="5">AE3/($K3)</f>
        <v>0.70183917304336152</v>
      </c>
      <c r="AG3" s="10">
        <v>7344</v>
      </c>
      <c r="AH3" s="156">
        <f t="shared" ref="AH3:AH4" si="6">AG3/($K3)</f>
        <v>0.98590414820781314</v>
      </c>
      <c r="AI3" s="10">
        <v>8043</v>
      </c>
      <c r="AK3" s="10">
        <v>6693</v>
      </c>
      <c r="AM3" s="10">
        <v>8661</v>
      </c>
      <c r="AO3" s="10">
        <v>6477</v>
      </c>
      <c r="AQ3" s="10">
        <v>6850</v>
      </c>
      <c r="AS3" s="10">
        <v>9860</v>
      </c>
      <c r="AU3" s="10">
        <v>6720</v>
      </c>
      <c r="AW3" s="10">
        <v>8074</v>
      </c>
      <c r="AY3" s="10">
        <v>7989</v>
      </c>
      <c r="BA3" s="10">
        <v>6919</v>
      </c>
      <c r="BC3" s="10">
        <v>8035</v>
      </c>
      <c r="BE3" s="10">
        <v>22349</v>
      </c>
      <c r="BG3" s="10">
        <v>8930</v>
      </c>
      <c r="BI3" s="10">
        <v>7409</v>
      </c>
      <c r="BK3" s="10">
        <v>10113</v>
      </c>
      <c r="BM3" s="10">
        <v>10176</v>
      </c>
      <c r="BO3" s="10">
        <v>8667</v>
      </c>
      <c r="BQ3" s="10">
        <v>8262</v>
      </c>
      <c r="BR3" s="10" t="s">
        <v>1718</v>
      </c>
    </row>
    <row r="4" spans="1:70" s="304" customFormat="1" ht="18" customHeight="1" thickBot="1">
      <c r="A4" s="312">
        <v>3</v>
      </c>
      <c r="B4" s="306" t="s">
        <v>699</v>
      </c>
      <c r="C4" s="289" t="str">
        <f>E4</f>
        <v>{"dossier":p.DossierName1}</v>
      </c>
      <c r="D4" s="289" t="s">
        <v>28</v>
      </c>
      <c r="E4" s="289" t="str">
        <f>F4&amp;G4&amp;H4</f>
        <v>{"dossier":p.DossierName1}</v>
      </c>
      <c r="F4" s="307" t="s">
        <v>159</v>
      </c>
      <c r="G4" s="289" t="s">
        <v>449</v>
      </c>
      <c r="H4" s="289" t="s">
        <v>109</v>
      </c>
      <c r="I4" s="289"/>
      <c r="J4" s="289"/>
      <c r="K4" s="289">
        <v>14119</v>
      </c>
      <c r="L4" s="289">
        <v>0</v>
      </c>
      <c r="M4" s="289">
        <v>0</v>
      </c>
      <c r="N4" s="289">
        <v>12731</v>
      </c>
      <c r="O4" s="290">
        <f t="shared" si="0"/>
        <v>0.9016927544443657</v>
      </c>
      <c r="P4" s="289"/>
      <c r="Q4" s="289">
        <v>12811</v>
      </c>
      <c r="R4" s="289"/>
      <c r="S4" s="289">
        <v>12903</v>
      </c>
      <c r="T4" s="290">
        <f t="shared" si="1"/>
        <v>0.91387492032013595</v>
      </c>
      <c r="U4" s="289">
        <v>12219</v>
      </c>
      <c r="V4" s="290">
        <f t="shared" si="2"/>
        <v>0.86542956300021245</v>
      </c>
      <c r="W4" s="289">
        <v>7047</v>
      </c>
      <c r="X4" s="290">
        <f t="shared" si="3"/>
        <v>0.499114668177633</v>
      </c>
      <c r="Y4" s="291">
        <v>6389</v>
      </c>
      <c r="Z4" s="290">
        <f t="shared" si="3"/>
        <v>0.45251080104823288</v>
      </c>
      <c r="AA4" s="291">
        <v>7709</v>
      </c>
      <c r="AB4" s="290">
        <f t="shared" si="3"/>
        <v>0.54600184149019049</v>
      </c>
      <c r="AC4" s="291">
        <v>0</v>
      </c>
      <c r="AD4" s="290">
        <f t="shared" si="4"/>
        <v>0</v>
      </c>
      <c r="AE4" s="291">
        <v>7230</v>
      </c>
      <c r="AF4" s="290">
        <f t="shared" si="5"/>
        <v>0.51207592605708618</v>
      </c>
      <c r="AG4" s="304">
        <v>7721</v>
      </c>
      <c r="AH4" s="290">
        <f t="shared" si="6"/>
        <v>0.54685176003966285</v>
      </c>
      <c r="AI4" s="304">
        <v>8643</v>
      </c>
      <c r="AK4" s="304">
        <v>7759</v>
      </c>
      <c r="AM4" s="304">
        <v>7729</v>
      </c>
      <c r="AO4" s="304">
        <v>7671</v>
      </c>
      <c r="AQ4" s="304">
        <v>5711</v>
      </c>
      <c r="AS4" s="304">
        <v>5837</v>
      </c>
      <c r="AU4" s="304">
        <v>5588</v>
      </c>
      <c r="AW4" s="304">
        <v>9418</v>
      </c>
      <c r="AY4" s="304">
        <v>8965</v>
      </c>
      <c r="BA4" s="304">
        <v>8014</v>
      </c>
      <c r="BC4" s="304">
        <v>13781</v>
      </c>
      <c r="BE4" s="304">
        <v>8400</v>
      </c>
      <c r="BG4" s="304">
        <v>8798</v>
      </c>
      <c r="BI4" s="304">
        <v>7139</v>
      </c>
      <c r="BK4" s="304">
        <v>7224</v>
      </c>
      <c r="BM4" s="304">
        <v>8497</v>
      </c>
      <c r="BO4" s="304">
        <v>12227</v>
      </c>
      <c r="BQ4" s="304">
        <v>7365</v>
      </c>
      <c r="BR4" s="304" t="s">
        <v>1718</v>
      </c>
    </row>
    <row r="5" spans="1:70" ht="15.75" customHeight="1">
      <c r="O5" s="156"/>
      <c r="T5" s="2"/>
      <c r="V5" s="2"/>
      <c r="X5" s="2"/>
      <c r="Z5" s="2"/>
      <c r="AB5" s="2"/>
      <c r="AD5" s="2"/>
      <c r="AF5" s="2"/>
      <c r="AH5" s="2"/>
    </row>
    <row r="6" spans="1:70" ht="15.75" customHeight="1">
      <c r="B6" s="252" t="s">
        <v>700</v>
      </c>
      <c r="C6" s="308"/>
      <c r="O6" s="156"/>
      <c r="T6" s="2"/>
      <c r="V6" s="2"/>
      <c r="X6" s="2"/>
      <c r="Z6" s="2"/>
      <c r="AB6" s="2"/>
      <c r="AD6" s="2"/>
      <c r="AF6" s="2"/>
      <c r="AH6" s="2"/>
    </row>
    <row r="7" spans="1:70">
      <c r="B7" s="266" t="s">
        <v>701</v>
      </c>
      <c r="O7" s="156"/>
      <c r="T7" s="2"/>
      <c r="V7" s="2"/>
      <c r="X7" s="2"/>
      <c r="Z7" s="2"/>
      <c r="AB7" s="2"/>
      <c r="AD7" s="2"/>
      <c r="AF7" s="2"/>
      <c r="AH7" s="2"/>
    </row>
    <row r="8" spans="1:70">
      <c r="B8" s="2" t="s">
        <v>702</v>
      </c>
      <c r="O8" s="2"/>
      <c r="T8" s="2"/>
      <c r="V8" s="2"/>
      <c r="X8" s="2"/>
      <c r="Z8" s="2"/>
      <c r="AB8" s="2"/>
      <c r="AD8" s="2"/>
      <c r="AF8" s="2"/>
      <c r="AH8" s="2"/>
    </row>
  </sheetData>
  <conditionalFormatting sqref="O2:O146 T2:T4 V2:V4 X2:X4 Z2:Z4 AB2:AB4 AB9:AB146 Z9:Z146 X9:X146 V9:V146 T9:T146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D2:AD4 AD9:AD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F2:AF4 AF9:AF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H2:AH4 AH9:AH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CN7"/>
  <sheetViews>
    <sheetView zoomScale="115" zoomScaleNormal="115" workbookViewId="0">
      <pane xSplit="2" ySplit="1" topLeftCell="D2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ColWidth="9.140625" defaultRowHeight="14.25" customHeight="1"/>
  <cols>
    <col min="1" max="1" width="4.85546875" style="1" customWidth="1"/>
    <col min="2" max="2" width="42.85546875" style="2" customWidth="1"/>
    <col min="3" max="3" width="162.4257812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9" width="17" style="2" customWidth="1"/>
    <col min="10" max="10" width="10.85546875" style="2" customWidth="1"/>
    <col min="11" max="11" width="18.140625" style="2" customWidth="1"/>
    <col min="12" max="12" width="9.140625" style="2" customWidth="1"/>
    <col min="13" max="13" width="10.7109375" style="2" customWidth="1"/>
    <col min="14" max="14" width="9.140625" style="2" customWidth="1"/>
    <col min="15" max="15" width="22.5703125" style="2" customWidth="1"/>
    <col min="16" max="16" width="13.5703125" style="2" customWidth="1"/>
    <col min="17" max="17" width="24.5703125" style="2" customWidth="1"/>
    <col min="18" max="33" width="9.140625" style="2" customWidth="1"/>
    <col min="34" max="40" width="10.7109375" style="2" customWidth="1"/>
    <col min="41" max="41" width="10.7109375" style="12" customWidth="1"/>
    <col min="42" max="42" width="11" style="2" customWidth="1"/>
    <col min="43" max="43" width="11.28515625" style="12" customWidth="1"/>
    <col min="44" max="44" width="30" style="2" customWidth="1"/>
    <col min="45" max="45" width="11.28515625" style="12" customWidth="1"/>
    <col min="46" max="46" width="30" style="2" customWidth="1"/>
    <col min="47" max="47" width="11.28515625" style="12" customWidth="1"/>
    <col min="48" max="48" width="30" style="2" customWidth="1"/>
    <col min="49" max="49" width="50" style="2" customWidth="1"/>
    <col min="50" max="50" width="30" style="2" customWidth="1"/>
    <col min="51" max="51" width="50" style="2" customWidth="1"/>
    <col min="52" max="52" width="30" style="2" customWidth="1"/>
    <col min="53" max="53" width="50" style="2" customWidth="1"/>
    <col min="54" max="54" width="9.140625" style="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16384" width="9.140625" style="2"/>
  </cols>
  <sheetData>
    <row r="1" spans="1:92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5*60*1000*SpeedFaktor</f>
        <v>300000</v>
      </c>
      <c r="H1" s="2">
        <v>10</v>
      </c>
      <c r="AH1" s="2" t="s">
        <v>5</v>
      </c>
      <c r="AI1" s="2" t="s">
        <v>324</v>
      </c>
      <c r="AJ1" s="2" t="s">
        <v>10</v>
      </c>
      <c r="AK1" s="2" t="s">
        <v>677</v>
      </c>
      <c r="AL1" s="2" t="s">
        <v>11</v>
      </c>
      <c r="AM1" s="2" t="s">
        <v>698</v>
      </c>
      <c r="AN1" s="2" t="s">
        <v>12</v>
      </c>
      <c r="AO1" s="24" t="s">
        <v>8</v>
      </c>
      <c r="AP1" s="2" t="s">
        <v>13</v>
      </c>
      <c r="AQ1" s="24" t="s">
        <v>8</v>
      </c>
      <c r="AR1" s="2" t="s">
        <v>65</v>
      </c>
      <c r="AS1" s="24" t="s">
        <v>8</v>
      </c>
      <c r="AT1" s="2" t="s">
        <v>15</v>
      </c>
      <c r="AU1" s="24" t="s">
        <v>8</v>
      </c>
      <c r="AV1" s="2" t="s">
        <v>17</v>
      </c>
      <c r="AW1" s="2" t="s">
        <v>622</v>
      </c>
      <c r="AX1" s="2" t="s">
        <v>1285</v>
      </c>
      <c r="AY1" s="2" t="s">
        <v>19</v>
      </c>
      <c r="AZ1" s="2" t="s">
        <v>1286</v>
      </c>
      <c r="BA1" s="2" t="s">
        <v>20</v>
      </c>
      <c r="BC1" s="519" t="s">
        <v>1303</v>
      </c>
      <c r="BD1" s="520" t="s">
        <v>572</v>
      </c>
      <c r="BE1" s="822" t="s">
        <v>1311</v>
      </c>
      <c r="BF1" s="823" t="s">
        <v>572</v>
      </c>
      <c r="BG1" s="948" t="s">
        <v>1318</v>
      </c>
      <c r="BH1" s="949" t="s">
        <v>572</v>
      </c>
      <c r="BI1" s="1095" t="s">
        <v>1324</v>
      </c>
      <c r="BJ1" s="1096" t="s">
        <v>572</v>
      </c>
      <c r="BK1" s="1298" t="s">
        <v>1341</v>
      </c>
      <c r="BL1" s="1299" t="s">
        <v>572</v>
      </c>
      <c r="BM1" s="1550" t="s">
        <v>1363</v>
      </c>
      <c r="BN1" s="1551" t="s">
        <v>572</v>
      </c>
      <c r="BO1" s="1694" t="s">
        <v>1368</v>
      </c>
      <c r="BP1" s="1695" t="s">
        <v>572</v>
      </c>
      <c r="BQ1" s="1835" t="s">
        <v>1372</v>
      </c>
      <c r="BR1" s="1836" t="s">
        <v>572</v>
      </c>
      <c r="BS1" s="2109" t="s">
        <v>1397</v>
      </c>
      <c r="BT1" s="2110" t="s">
        <v>572</v>
      </c>
      <c r="BU1" s="2299" t="s">
        <v>1421</v>
      </c>
      <c r="BV1" s="2300" t="s">
        <v>572</v>
      </c>
      <c r="BW1" s="2460" t="s">
        <v>1434</v>
      </c>
      <c r="BX1" s="2461" t="s">
        <v>572</v>
      </c>
      <c r="BY1" s="2619" t="s">
        <v>1442</v>
      </c>
      <c r="BZ1" s="2620" t="s">
        <v>572</v>
      </c>
      <c r="CA1" s="2806" t="s">
        <v>1460</v>
      </c>
      <c r="CB1" s="2807" t="s">
        <v>572</v>
      </c>
      <c r="CC1" s="2988" t="s">
        <v>1472</v>
      </c>
      <c r="CD1" s="2989" t="s">
        <v>572</v>
      </c>
      <c r="CE1" s="3176" t="s">
        <v>1492</v>
      </c>
      <c r="CF1" s="3177" t="s">
        <v>572</v>
      </c>
      <c r="CG1" s="3352" t="s">
        <v>1503</v>
      </c>
      <c r="CH1" s="3353" t="s">
        <v>572</v>
      </c>
      <c r="CI1" s="3532" t="s">
        <v>1519</v>
      </c>
      <c r="CJ1" s="3533" t="s">
        <v>572</v>
      </c>
      <c r="CK1" s="3822" t="s">
        <v>1666</v>
      </c>
      <c r="CL1" s="3823" t="s">
        <v>572</v>
      </c>
      <c r="CM1" s="4045" t="s">
        <v>1717</v>
      </c>
      <c r="CN1" s="4046" t="s">
        <v>572</v>
      </c>
    </row>
    <row r="2" spans="1:92" s="10" customFormat="1" ht="14.25" customHeight="1">
      <c r="A2" s="606">
        <v>1</v>
      </c>
      <c r="B2" s="606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>
        <v>1606</v>
      </c>
      <c r="AJ2" s="2">
        <v>1651</v>
      </c>
      <c r="AK2" s="2"/>
      <c r="AL2" s="2">
        <v>1840</v>
      </c>
      <c r="AM2" s="2"/>
      <c r="AN2" s="2">
        <v>1399</v>
      </c>
      <c r="AO2" s="156">
        <f>AN2/($AI2)</f>
        <v>0.87110834371108348</v>
      </c>
      <c r="AP2" s="2">
        <v>1697</v>
      </c>
      <c r="AQ2" s="156">
        <f>AP2/($AI2)</f>
        <v>1.0566625155666252</v>
      </c>
      <c r="AR2" s="2">
        <v>1439</v>
      </c>
      <c r="AS2" s="156">
        <f>AR2/($AI2)</f>
        <v>0.89601494396014947</v>
      </c>
      <c r="AT2" s="2">
        <v>1347</v>
      </c>
      <c r="AU2" s="156">
        <f>AT2/($AI2)</f>
        <v>0.83872976338729766</v>
      </c>
      <c r="AV2" s="2">
        <v>1081</v>
      </c>
      <c r="AW2" s="2"/>
      <c r="AX2" s="2">
        <v>1308</v>
      </c>
      <c r="AY2" s="2"/>
      <c r="AZ2" s="2">
        <v>607</v>
      </c>
      <c r="BA2" s="2"/>
      <c r="BC2" s="10">
        <v>1303</v>
      </c>
      <c r="BE2" s="10">
        <v>1417</v>
      </c>
      <c r="BG2" s="10">
        <v>1201</v>
      </c>
      <c r="BI2" s="10">
        <v>1343</v>
      </c>
      <c r="BK2" s="10">
        <v>1327</v>
      </c>
      <c r="BM2" s="10">
        <v>1213</v>
      </c>
      <c r="BO2" s="10">
        <v>1295</v>
      </c>
      <c r="BQ2" s="10">
        <v>1240</v>
      </c>
      <c r="BS2" s="10">
        <v>1634</v>
      </c>
      <c r="BU2" s="10">
        <v>1646</v>
      </c>
      <c r="BW2" s="10">
        <v>1701</v>
      </c>
      <c r="BY2" s="10">
        <v>1037</v>
      </c>
      <c r="CA2" s="10">
        <v>1108</v>
      </c>
      <c r="CC2" s="10">
        <v>1508</v>
      </c>
      <c r="CE2" s="10">
        <v>1234</v>
      </c>
      <c r="CG2" s="10">
        <v>1155</v>
      </c>
      <c r="CI2" s="10">
        <v>1203</v>
      </c>
      <c r="CK2" s="10">
        <v>907</v>
      </c>
      <c r="CM2" s="10">
        <v>565</v>
      </c>
      <c r="CN2" s="10" t="s">
        <v>1718</v>
      </c>
    </row>
    <row r="3" spans="1:92" s="10" customFormat="1" ht="18" customHeight="1" thickBot="1">
      <c r="A3" s="606">
        <v>2</v>
      </c>
      <c r="B3" s="606" t="s">
        <v>25</v>
      </c>
      <c r="C3" s="120" t="s">
        <v>703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>
        <v>8709</v>
      </c>
      <c r="AJ3" s="2">
        <v>9864</v>
      </c>
      <c r="AK3" s="2"/>
      <c r="AL3" s="2">
        <v>8761</v>
      </c>
      <c r="AM3" s="2"/>
      <c r="AN3" s="2">
        <v>9629</v>
      </c>
      <c r="AO3" s="156">
        <f t="shared" ref="AO3:AO4" si="0">AN3/($AI3)</f>
        <v>1.1056378459065335</v>
      </c>
      <c r="AP3" s="2">
        <v>8512</v>
      </c>
      <c r="AQ3" s="156">
        <f t="shared" ref="AQ3:AU4" si="1">AP3/($AI3)</f>
        <v>0.97737972212653579</v>
      </c>
      <c r="AR3" s="2">
        <v>9178</v>
      </c>
      <c r="AS3" s="156">
        <f t="shared" si="1"/>
        <v>1.053852336663222</v>
      </c>
      <c r="AT3" s="2">
        <v>8377</v>
      </c>
      <c r="AU3" s="156">
        <f t="shared" si="1"/>
        <v>0.96187851647720746</v>
      </c>
      <c r="AV3" s="2">
        <v>7384</v>
      </c>
      <c r="AW3" s="2"/>
      <c r="AX3" s="2">
        <v>6912</v>
      </c>
      <c r="AY3" s="2"/>
      <c r="AZ3" s="2">
        <v>5371</v>
      </c>
      <c r="BA3" s="2"/>
      <c r="BC3" s="10">
        <v>7368</v>
      </c>
      <c r="BE3" s="10">
        <v>8103</v>
      </c>
      <c r="BG3" s="10">
        <v>6532</v>
      </c>
      <c r="BI3" s="10">
        <v>7749</v>
      </c>
      <c r="BK3" s="10">
        <v>6980</v>
      </c>
      <c r="BM3" s="10">
        <v>7043</v>
      </c>
      <c r="BO3" s="10">
        <v>7256</v>
      </c>
      <c r="BQ3" s="10">
        <v>6601</v>
      </c>
      <c r="BS3" s="10">
        <v>6813</v>
      </c>
      <c r="BU3" s="10">
        <v>7385</v>
      </c>
      <c r="BW3" s="10">
        <v>6999</v>
      </c>
      <c r="BY3" s="10">
        <v>7030</v>
      </c>
      <c r="CA3" s="10">
        <v>8532</v>
      </c>
      <c r="CC3" s="10">
        <v>8486</v>
      </c>
      <c r="CE3" s="10">
        <v>7372</v>
      </c>
      <c r="CG3" s="10">
        <v>10003</v>
      </c>
      <c r="CI3" s="10">
        <v>8602</v>
      </c>
      <c r="CK3" s="10">
        <v>7760</v>
      </c>
      <c r="CM3" s="10">
        <v>7387</v>
      </c>
      <c r="CN3" s="10" t="s">
        <v>1718</v>
      </c>
    </row>
    <row r="4" spans="1:92" s="10" customFormat="1" ht="32.25" customHeight="1" thickBot="1">
      <c r="A4" s="231">
        <v>3</v>
      </c>
      <c r="B4" s="240" t="s">
        <v>704</v>
      </c>
      <c r="C4" s="248" t="str">
        <f ca="1">E4</f>
        <v>{"dossier":p.DossierName1,"zustTeam":"Sozialarbeit Bern 1","pruefer":"Aventis Kantons-MA","status":"In Bearbeitung","aufgabeTitel":"Eine Aufgabe durch Dossierprüfung","falligDatum":"31.12.2025","zugMitarbeiter":"Bern Sozialarbeiterin 1A","kontrollPunkte":"Subsidiaritätsprüfung"}</v>
      </c>
      <c r="D4" s="231" t="s">
        <v>28</v>
      </c>
      <c r="E4" s="231" t="str">
        <f ca="1">F4&amp;G4&amp;H4&amp;I4&amp;J4&amp;K4&amp;L4&amp;M4&amp;N4&amp;O4&amp;P4&amp;Q4&amp;R4&amp;S4&amp;T4&amp;U4&amp;V4&amp;W4&amp;X4&amp;Y4&amp;Z4&amp;AA4&amp;AB4&amp;AC4&amp;AD4&amp;AE4</f>
        <v>{"dossier":p.DossierName1,"zustTeam":"Sozialarbeit Bern 1","pruefer":"Aventis Kantons-MA","status":"In Bearbeitung","aufgabeTitel":"Eine Aufgabe durch Dossierprüfung","falligDatum":"31.12.2025","zugMitarbeiter":"Bern Sozialarbeiterin 1A","kontrollPunkte":"Subsidiaritätsprüfung"}</v>
      </c>
      <c r="F4" s="231" t="s">
        <v>159</v>
      </c>
      <c r="G4" s="248" t="s">
        <v>449</v>
      </c>
      <c r="H4" s="24" t="s">
        <v>705</v>
      </c>
      <c r="I4" s="248" t="s">
        <v>76</v>
      </c>
      <c r="J4" s="24" t="s">
        <v>706</v>
      </c>
      <c r="K4" s="24" t="s">
        <v>707</v>
      </c>
      <c r="L4" s="24" t="s">
        <v>202</v>
      </c>
      <c r="M4" s="24" t="s">
        <v>133</v>
      </c>
      <c r="N4" s="24" t="s">
        <v>708</v>
      </c>
      <c r="O4" s="24" t="s">
        <v>709</v>
      </c>
      <c r="P4" s="24" t="s">
        <v>710</v>
      </c>
      <c r="Q4" s="310" t="str">
        <f ca="1">"31.12."&amp;YEAR(TODAY())</f>
        <v>31.12.2025</v>
      </c>
      <c r="R4" s="24" t="s">
        <v>711</v>
      </c>
      <c r="S4" s="311" t="s">
        <v>116</v>
      </c>
      <c r="T4" s="24" t="s">
        <v>712</v>
      </c>
      <c r="U4" s="24" t="s">
        <v>713</v>
      </c>
      <c r="V4" s="24" t="s">
        <v>37</v>
      </c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>
        <v>16801</v>
      </c>
      <c r="AJ4" s="24">
        <v>17620</v>
      </c>
      <c r="AK4" s="24"/>
      <c r="AL4" s="24">
        <v>16801</v>
      </c>
      <c r="AM4" s="24"/>
      <c r="AN4" s="24">
        <v>16899</v>
      </c>
      <c r="AO4" s="156">
        <f t="shared" si="0"/>
        <v>1.0058329861317779</v>
      </c>
      <c r="AP4" s="24">
        <v>16659</v>
      </c>
      <c r="AQ4" s="156">
        <f t="shared" si="1"/>
        <v>0.99154812213558718</v>
      </c>
      <c r="AR4" s="24">
        <v>15729</v>
      </c>
      <c r="AS4" s="156">
        <f t="shared" si="1"/>
        <v>0.93619427415034817</v>
      </c>
      <c r="AT4" s="2">
        <v>14966</v>
      </c>
      <c r="AU4" s="156">
        <f t="shared" si="1"/>
        <v>0.89078031069579189</v>
      </c>
      <c r="AV4" s="2">
        <v>0</v>
      </c>
      <c r="AW4" s="2"/>
      <c r="AX4" s="2">
        <v>97998</v>
      </c>
      <c r="AY4" s="2"/>
      <c r="AZ4" s="2">
        <v>11321</v>
      </c>
      <c r="BA4" s="2"/>
      <c r="BC4" s="10">
        <v>17406</v>
      </c>
      <c r="BE4" s="10">
        <v>11756</v>
      </c>
      <c r="BG4" s="10">
        <v>11442</v>
      </c>
      <c r="BI4" s="10">
        <v>11916</v>
      </c>
      <c r="BK4" s="10">
        <v>10819</v>
      </c>
      <c r="BM4" s="10">
        <v>11084</v>
      </c>
      <c r="BO4" s="10">
        <v>43000</v>
      </c>
      <c r="BQ4" s="10">
        <v>11143</v>
      </c>
      <c r="BS4" s="10">
        <v>10694</v>
      </c>
      <c r="BU4" s="10">
        <v>11135</v>
      </c>
      <c r="BW4" s="10">
        <v>10788</v>
      </c>
      <c r="BY4" s="2621">
        <v>0</v>
      </c>
      <c r="BZ4" s="2622" t="s">
        <v>1447</v>
      </c>
      <c r="CA4" s="10">
        <v>10356</v>
      </c>
      <c r="CC4" s="10">
        <v>9898</v>
      </c>
      <c r="CE4" s="10">
        <v>10269</v>
      </c>
      <c r="CG4" s="10">
        <v>8976</v>
      </c>
      <c r="CI4" s="10">
        <v>9077</v>
      </c>
      <c r="CK4" s="10">
        <v>13228</v>
      </c>
      <c r="CM4" s="10">
        <v>11133</v>
      </c>
      <c r="CN4" s="10" t="s">
        <v>1718</v>
      </c>
    </row>
    <row r="5" spans="1:92" ht="15.75" customHeight="1">
      <c r="AO5" s="156"/>
      <c r="AQ5" s="156"/>
      <c r="AS5" s="156"/>
      <c r="AU5" s="156"/>
    </row>
    <row r="6" spans="1:92">
      <c r="B6" s="266"/>
      <c r="AO6" s="156"/>
      <c r="AQ6" s="156"/>
      <c r="AS6" s="156"/>
      <c r="AU6" s="156"/>
    </row>
    <row r="7" spans="1:92">
      <c r="AO7" s="2"/>
      <c r="AQ7" s="2"/>
      <c r="AS7" s="2"/>
      <c r="AU7" s="2"/>
    </row>
  </sheetData>
  <conditionalFormatting sqref="AO2:AO139 AQ2:AQ139 AS2:AS139 AU2:AU139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A1:CP6"/>
  <sheetViews>
    <sheetView zoomScale="115" zoomScaleNormal="115" workbookViewId="0">
      <pane xSplit="2" ySplit="1" topLeftCell="D2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ColWidth="9.140625" defaultRowHeight="14.25" customHeight="1"/>
  <cols>
    <col min="1" max="1" width="4.85546875" style="1" customWidth="1"/>
    <col min="2" max="2" width="42.85546875" style="2" customWidth="1"/>
    <col min="3" max="3" width="175.570312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9" width="9.85546875" style="2" customWidth="1"/>
    <col min="10" max="10" width="10.85546875" style="2" customWidth="1"/>
    <col min="11" max="11" width="18.140625" style="2" customWidth="1"/>
    <col min="12" max="12" width="9.140625" style="2" customWidth="1"/>
    <col min="13" max="13" width="10.7109375" style="2" customWidth="1"/>
    <col min="14" max="14" width="9.140625" style="2" customWidth="1"/>
    <col min="15" max="15" width="22.5703125" style="2" customWidth="1"/>
    <col min="16" max="16" width="13.5703125" style="2" customWidth="1"/>
    <col min="17" max="17" width="24.5703125" style="2" customWidth="1"/>
    <col min="18" max="34" width="9.140625" style="2" customWidth="1"/>
    <col min="35" max="38" width="10.85546875" style="2" customWidth="1"/>
    <col min="39" max="42" width="10.5703125" style="2" customWidth="1"/>
    <col min="43" max="43" width="10.5703125" style="12" customWidth="1"/>
    <col min="44" max="44" width="10.5703125" style="2" customWidth="1"/>
    <col min="45" max="45" width="10.5703125" style="12" customWidth="1"/>
    <col min="46" max="46" width="30" style="2" customWidth="1"/>
    <col min="47" max="47" width="10.5703125" style="12" customWidth="1"/>
    <col min="48" max="48" width="30" style="2" customWidth="1"/>
    <col min="49" max="49" width="10.5703125" style="12" customWidth="1"/>
    <col min="50" max="50" width="30" style="2" customWidth="1"/>
    <col min="51" max="51" width="10.5703125" style="12" customWidth="1"/>
    <col min="52" max="52" width="30" style="2" customWidth="1"/>
    <col min="53" max="53" width="50" style="2" customWidth="1"/>
    <col min="54" max="54" width="30" style="2" customWidth="1"/>
    <col min="55" max="55" width="50" style="2" customWidth="1"/>
    <col min="56" max="56" width="9.140625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2*60*1000*SpeedFaktor</f>
        <v>120000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489</v>
      </c>
      <c r="AL1" s="2" t="s">
        <v>324</v>
      </c>
      <c r="AM1" s="2" t="s">
        <v>677</v>
      </c>
      <c r="AN1" s="2" t="s">
        <v>11</v>
      </c>
      <c r="AO1" s="2" t="s">
        <v>698</v>
      </c>
      <c r="AP1" s="2" t="s">
        <v>12</v>
      </c>
      <c r="AQ1" s="24" t="s">
        <v>8</v>
      </c>
      <c r="AR1" s="2" t="s">
        <v>13</v>
      </c>
      <c r="AS1" s="24" t="s">
        <v>8</v>
      </c>
      <c r="AT1" s="2" t="s">
        <v>65</v>
      </c>
      <c r="AU1" s="24" t="s">
        <v>8</v>
      </c>
      <c r="AV1" s="2" t="s">
        <v>15</v>
      </c>
      <c r="AW1" s="24" t="s">
        <v>8</v>
      </c>
      <c r="AX1" s="2" t="s">
        <v>17</v>
      </c>
      <c r="AY1" s="24" t="s">
        <v>8</v>
      </c>
      <c r="AZ1" s="2" t="s">
        <v>1285</v>
      </c>
      <c r="BA1" s="2" t="s">
        <v>19</v>
      </c>
      <c r="BB1" s="2" t="s">
        <v>1286</v>
      </c>
      <c r="BC1" s="2" t="s">
        <v>20</v>
      </c>
      <c r="BE1" s="521" t="s">
        <v>1303</v>
      </c>
      <c r="BF1" s="522" t="s">
        <v>572</v>
      </c>
      <c r="BG1" s="824" t="s">
        <v>1311</v>
      </c>
      <c r="BH1" s="825" t="s">
        <v>572</v>
      </c>
      <c r="BI1" s="950" t="s">
        <v>1318</v>
      </c>
      <c r="BJ1" s="951" t="s">
        <v>572</v>
      </c>
      <c r="BK1" s="1097" t="s">
        <v>1324</v>
      </c>
      <c r="BL1" s="1098" t="s">
        <v>572</v>
      </c>
      <c r="BM1" s="1300" t="s">
        <v>1341</v>
      </c>
      <c r="BN1" s="1301" t="s">
        <v>572</v>
      </c>
      <c r="BO1" s="1552" t="s">
        <v>1363</v>
      </c>
      <c r="BP1" s="1553" t="s">
        <v>572</v>
      </c>
      <c r="BQ1" s="1696" t="s">
        <v>1368</v>
      </c>
      <c r="BR1" s="1697" t="s">
        <v>572</v>
      </c>
      <c r="BS1" s="1837" t="s">
        <v>1372</v>
      </c>
      <c r="BT1" s="1838" t="s">
        <v>572</v>
      </c>
      <c r="BU1" s="2111" t="s">
        <v>1397</v>
      </c>
      <c r="BV1" s="2112" t="s">
        <v>572</v>
      </c>
      <c r="BW1" s="2301" t="s">
        <v>1421</v>
      </c>
      <c r="BX1" s="2302" t="s">
        <v>572</v>
      </c>
      <c r="BY1" s="2462" t="s">
        <v>1434</v>
      </c>
      <c r="BZ1" s="2463" t="s">
        <v>572</v>
      </c>
      <c r="CA1" s="2623" t="s">
        <v>1442</v>
      </c>
      <c r="CB1" s="2624" t="s">
        <v>572</v>
      </c>
      <c r="CC1" s="2808" t="s">
        <v>1460</v>
      </c>
      <c r="CD1" s="2809" t="s">
        <v>572</v>
      </c>
      <c r="CE1" s="2990" t="s">
        <v>1472</v>
      </c>
      <c r="CF1" s="2991" t="s">
        <v>572</v>
      </c>
      <c r="CG1" s="3178" t="s">
        <v>1492</v>
      </c>
      <c r="CH1" s="3179" t="s">
        <v>572</v>
      </c>
      <c r="CI1" s="3354" t="s">
        <v>1503</v>
      </c>
      <c r="CJ1" s="3355" t="s">
        <v>572</v>
      </c>
      <c r="CK1" s="3534" t="s">
        <v>1519</v>
      </c>
      <c r="CL1" s="3535" t="s">
        <v>572</v>
      </c>
      <c r="CM1" s="3824" t="s">
        <v>1666</v>
      </c>
      <c r="CN1" s="3825" t="s">
        <v>572</v>
      </c>
      <c r="CO1" s="4047" t="s">
        <v>1717</v>
      </c>
      <c r="CP1" s="4048" t="s">
        <v>572</v>
      </c>
    </row>
    <row r="2" spans="1:94" s="10" customFormat="1" ht="14.25" customHeight="1">
      <c r="A2" s="122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2335</v>
      </c>
      <c r="AJ2" s="2">
        <v>2164</v>
      </c>
      <c r="AK2" s="2">
        <v>1805</v>
      </c>
      <c r="AL2" s="2">
        <v>381</v>
      </c>
      <c r="AM2" s="2"/>
      <c r="AN2" s="2">
        <v>394</v>
      </c>
      <c r="AO2" s="2"/>
      <c r="AP2" s="2">
        <v>394</v>
      </c>
      <c r="AQ2" s="156">
        <f>AP2/($AI2)</f>
        <v>0.16873661670235546</v>
      </c>
      <c r="AR2" s="2">
        <v>564</v>
      </c>
      <c r="AS2" s="156">
        <f>AR2/($AI2)</f>
        <v>0.24154175588865096</v>
      </c>
      <c r="AT2" s="2">
        <v>459</v>
      </c>
      <c r="AU2" s="156">
        <f>AT2/($AI2)</f>
        <v>0.19657387580299787</v>
      </c>
      <c r="AV2" s="2">
        <v>376</v>
      </c>
      <c r="AW2" s="156">
        <f>AV2/($AI2)</f>
        <v>0.16102783725910064</v>
      </c>
      <c r="AX2" s="2">
        <v>445</v>
      </c>
      <c r="AY2" s="156">
        <f>AX2/($AI2)</f>
        <v>0.19057815845824411</v>
      </c>
      <c r="AZ2" s="2">
        <v>332</v>
      </c>
      <c r="BA2" s="2"/>
      <c r="BB2" s="2">
        <v>182</v>
      </c>
      <c r="BC2" s="2"/>
      <c r="BE2" s="10">
        <v>353</v>
      </c>
      <c r="BG2" s="10">
        <v>467</v>
      </c>
      <c r="BI2" s="10">
        <v>244</v>
      </c>
      <c r="BK2" s="10">
        <v>285</v>
      </c>
      <c r="BM2" s="10">
        <v>378</v>
      </c>
      <c r="BO2" s="10">
        <v>305</v>
      </c>
      <c r="BQ2" s="10">
        <v>446</v>
      </c>
      <c r="BS2" s="10">
        <v>308</v>
      </c>
      <c r="BU2" s="10">
        <v>794</v>
      </c>
      <c r="BW2" s="10">
        <v>975</v>
      </c>
      <c r="BY2" s="10">
        <v>818</v>
      </c>
      <c r="CA2" s="10">
        <v>397</v>
      </c>
      <c r="CC2" s="10">
        <v>443</v>
      </c>
      <c r="CE2" s="10">
        <v>798</v>
      </c>
      <c r="CG2" s="10">
        <v>415</v>
      </c>
      <c r="CI2" s="10">
        <v>410</v>
      </c>
      <c r="CK2" s="10">
        <v>409</v>
      </c>
      <c r="CM2" s="10">
        <v>234</v>
      </c>
      <c r="CO2" s="10">
        <v>190</v>
      </c>
      <c r="CP2" s="10" t="s">
        <v>1718</v>
      </c>
    </row>
    <row r="3" spans="1:94" s="10" customFormat="1" ht="14.25" customHeight="1" thickBot="1">
      <c r="A3" s="122">
        <v>2</v>
      </c>
      <c r="B3" s="122" t="s">
        <v>25</v>
      </c>
      <c r="C3" s="120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7449</v>
      </c>
      <c r="AJ3" s="2">
        <v>8406</v>
      </c>
      <c r="AK3" s="2">
        <v>8445</v>
      </c>
      <c r="AL3" s="2">
        <v>9863</v>
      </c>
      <c r="AM3" s="2">
        <v>8951</v>
      </c>
      <c r="AN3" s="2"/>
      <c r="AO3" s="2">
        <v>8241</v>
      </c>
      <c r="AP3" s="2"/>
      <c r="AQ3" s="156">
        <f t="shared" ref="AQ3:AQ4" si="0">AP3/($AI3)</f>
        <v>0</v>
      </c>
      <c r="AR3" s="2">
        <v>1678</v>
      </c>
      <c r="AS3" s="156">
        <f t="shared" ref="AS3:AY4" si="1">AR3/($AI3)</f>
        <v>0.22526513625990066</v>
      </c>
      <c r="AT3" s="2">
        <v>1507</v>
      </c>
      <c r="AU3" s="156">
        <f t="shared" si="1"/>
        <v>0.20230903476976775</v>
      </c>
      <c r="AV3" s="2">
        <v>1218</v>
      </c>
      <c r="AW3" s="156">
        <f t="shared" si="1"/>
        <v>0.16351188078936771</v>
      </c>
      <c r="AX3" s="2">
        <v>1329</v>
      </c>
      <c r="AY3" s="156">
        <f t="shared" si="1"/>
        <v>0.17841320982682241</v>
      </c>
      <c r="AZ3" s="2">
        <v>1156</v>
      </c>
      <c r="BA3" s="2"/>
      <c r="BB3" s="2">
        <v>570</v>
      </c>
      <c r="BC3" s="2"/>
      <c r="BE3" s="10">
        <v>1540</v>
      </c>
      <c r="BG3" s="10">
        <v>1504</v>
      </c>
      <c r="BI3" s="10">
        <v>1151</v>
      </c>
      <c r="BK3" s="10">
        <v>1461</v>
      </c>
      <c r="BM3" s="10">
        <v>1184</v>
      </c>
      <c r="BO3" s="10">
        <v>1241</v>
      </c>
      <c r="BQ3" s="10">
        <v>1302</v>
      </c>
      <c r="BS3" s="10">
        <v>1257</v>
      </c>
      <c r="BU3" s="10">
        <v>1528</v>
      </c>
      <c r="BW3" s="10">
        <v>1662</v>
      </c>
      <c r="BY3" s="10">
        <v>1562</v>
      </c>
      <c r="CA3" s="10">
        <v>1122</v>
      </c>
      <c r="CC3" s="10">
        <v>1269</v>
      </c>
      <c r="CE3" s="10">
        <v>1438</v>
      </c>
      <c r="CG3" s="10">
        <v>1135</v>
      </c>
      <c r="CI3" s="10">
        <v>1146</v>
      </c>
      <c r="CK3" s="10">
        <v>1113</v>
      </c>
      <c r="CM3" s="10">
        <v>913</v>
      </c>
      <c r="CO3" s="10">
        <v>561</v>
      </c>
      <c r="CP3" s="10" t="s">
        <v>1718</v>
      </c>
    </row>
    <row r="4" spans="1:94" s="304" customFormat="1" ht="52.5" customHeight="1" thickBot="1">
      <c r="A4" s="312">
        <v>4</v>
      </c>
      <c r="B4" s="306" t="s">
        <v>714</v>
      </c>
      <c r="C4" s="307" t="str">
        <f ca="1">E4</f>
        <v xml:space="preserve">	{"entryTitel":"Bewilligungsworkflow beendet","entryDate":"04.11.2025","entryTime":"","textPart":"Ein Bewilligungsworkflow in Ihrer Zuständigkeit wurde bewilligt, abgelehnt oder abgebrochen","buttonName":"Bewilligungen Workflows","nurUngelesen":"true"}</v>
      </c>
      <c r="D4" s="313" t="s">
        <v>28</v>
      </c>
      <c r="E4" s="289" t="str">
        <f ca="1">F4&amp;G4&amp;H4&amp;I4&amp;J4&amp;K4&amp;L4&amp;M4&amp;N4&amp;O4&amp;P4&amp;Q4&amp;R4&amp;S4&amp;T4&amp;U4&amp;V4&amp;W4&amp;X4&amp;Y4&amp;Z4&amp;AA4&amp;AB4&amp;AC4&amp;AD4&amp;AE4</f>
        <v xml:space="preserve">	{"entryTitel":"Bewilligungsworkflow beendet","entryDate":"04.11.2025","entryTime":"","textPart":"Ein Bewilligungsworkflow in Ihrer Zuständigkeit wurde bewilligt, abgelehnt oder abgebrochen","buttonName":"Bewilligungen Workflows","nurUngelesen":"true"}</v>
      </c>
      <c r="F4" s="314" t="s">
        <v>715</v>
      </c>
      <c r="G4" s="315" t="s">
        <v>716</v>
      </c>
      <c r="H4" s="289" t="s">
        <v>717</v>
      </c>
      <c r="I4" s="289" t="str">
        <f ca="1">TEXT(TEXT(TODAY(),"DD")&amp;"."&amp;TEXT(TODAY(),"MM")&amp;"."&amp;TEXT(TODAY(),"YYYY"),"DD.MM.YYYY")</f>
        <v>04.11.2025</v>
      </c>
      <c r="J4" s="289" t="s">
        <v>718</v>
      </c>
      <c r="K4" s="316"/>
      <c r="L4" s="289" t="s">
        <v>719</v>
      </c>
      <c r="M4" s="315" t="s">
        <v>720</v>
      </c>
      <c r="N4" s="289" t="s">
        <v>721</v>
      </c>
      <c r="O4" s="315" t="s">
        <v>722</v>
      </c>
      <c r="P4" s="289"/>
      <c r="Q4" t="s">
        <v>1471</v>
      </c>
      <c r="R4" s="289" t="s">
        <v>109</v>
      </c>
      <c r="S4" s="317"/>
      <c r="T4" s="289"/>
      <c r="U4" s="289"/>
      <c r="V4" s="289"/>
      <c r="W4" s="289"/>
      <c r="X4" s="289"/>
      <c r="Y4" s="289"/>
      <c r="Z4" s="289"/>
      <c r="AA4" s="289"/>
      <c r="AB4" s="289"/>
      <c r="AC4" s="289"/>
      <c r="AD4" s="289"/>
      <c r="AE4" s="289"/>
      <c r="AF4" s="289"/>
      <c r="AG4" s="289"/>
      <c r="AH4" s="289"/>
      <c r="AI4" s="289">
        <v>17321</v>
      </c>
      <c r="AJ4" s="289">
        <v>15782</v>
      </c>
      <c r="AK4" s="289">
        <v>14029</v>
      </c>
      <c r="AL4" s="289">
        <v>4007</v>
      </c>
      <c r="AM4" s="289"/>
      <c r="AN4" s="289">
        <v>4017</v>
      </c>
      <c r="AO4" s="289"/>
      <c r="AP4" s="289">
        <v>4012</v>
      </c>
      <c r="AQ4" s="290">
        <f t="shared" si="0"/>
        <v>0.23162634951792621</v>
      </c>
      <c r="AR4" s="289">
        <v>4017</v>
      </c>
      <c r="AS4" s="290">
        <f t="shared" si="1"/>
        <v>0.23191501645401535</v>
      </c>
      <c r="AT4" s="289">
        <v>4015</v>
      </c>
      <c r="AU4" s="290">
        <f t="shared" si="1"/>
        <v>0.23179954967957969</v>
      </c>
      <c r="AV4" s="291">
        <v>4009</v>
      </c>
      <c r="AW4" s="290">
        <f t="shared" si="1"/>
        <v>0.23145314935627273</v>
      </c>
      <c r="AX4" s="291">
        <v>7484</v>
      </c>
      <c r="AY4" s="290">
        <f t="shared" si="1"/>
        <v>0.4320766699382253</v>
      </c>
      <c r="AZ4" s="291">
        <v>7477</v>
      </c>
      <c r="BA4" s="291"/>
      <c r="BB4" s="291">
        <v>5462</v>
      </c>
      <c r="BC4" s="291"/>
      <c r="BE4" s="304">
        <v>8774</v>
      </c>
      <c r="BG4" s="304">
        <v>8050</v>
      </c>
      <c r="BI4" s="304">
        <v>6973</v>
      </c>
      <c r="BK4" s="304">
        <v>7716</v>
      </c>
      <c r="BM4" s="304">
        <v>7023</v>
      </c>
      <c r="BO4" s="304">
        <v>7156</v>
      </c>
      <c r="BQ4" s="304">
        <v>7447</v>
      </c>
      <c r="BS4" s="304">
        <v>6754</v>
      </c>
      <c r="BU4" s="304">
        <v>6980</v>
      </c>
      <c r="BW4" s="304">
        <v>6302</v>
      </c>
      <c r="BY4" s="304">
        <v>6606</v>
      </c>
      <c r="CA4" s="304">
        <v>7584</v>
      </c>
      <c r="CC4" s="304">
        <v>11286</v>
      </c>
      <c r="CE4" s="304">
        <v>9587</v>
      </c>
      <c r="CG4" s="304">
        <v>7196</v>
      </c>
      <c r="CI4" s="304">
        <v>8190</v>
      </c>
      <c r="CK4" s="304">
        <v>9256</v>
      </c>
      <c r="CM4" s="304">
        <v>8743</v>
      </c>
      <c r="CO4" s="304">
        <v>6991</v>
      </c>
      <c r="CP4" s="304" t="s">
        <v>1718</v>
      </c>
    </row>
    <row r="5" spans="1:94" ht="15.75" customHeight="1" thickBot="1">
      <c r="AQ5" s="156"/>
      <c r="AS5" s="156"/>
      <c r="AU5" s="156"/>
      <c r="AW5" s="156"/>
      <c r="AY5" s="156"/>
    </row>
    <row r="6" spans="1:94" ht="15.75" customHeight="1" thickBot="1">
      <c r="B6" s="252"/>
      <c r="C6" s="308"/>
      <c r="E6" s="2" t="e">
        <f>F6&amp;G6&amp;H6&amp;I6&amp;J6&amp;K6&amp;L6&amp;M6&amp;N6&amp;O6&amp;P6&amp;Q6&amp;R6&amp;S6&amp;T6&amp;U6&amp;V6&amp;W6&amp;X6&amp;Y6&amp;Z6&amp;AA6&amp;AB6&amp;AC6&amp;AD6&amp;AE6&amp;AF6&amp;AG6&amp;AH6&amp;AI6&amp;#REF!&amp;AJ6&amp;#REF!&amp;#REF!&amp;AK6&amp;#REF!&amp;#REF!&amp;#REF!</f>
        <v>#REF!</v>
      </c>
      <c r="AQ6" s="156"/>
      <c r="AS6" s="156"/>
      <c r="AU6" s="156"/>
      <c r="AW6" s="156"/>
      <c r="AY6" s="156"/>
    </row>
  </sheetData>
  <conditionalFormatting sqref="AQ2:AQ133 AS2:AS133 AU2:AU133 AW2:AW133 AY2:AY133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</sheetPr>
  <dimension ref="A1:CR9"/>
  <sheetViews>
    <sheetView zoomScaleNormal="100" workbookViewId="0">
      <pane xSplit="2" ySplit="1" topLeftCell="K2" activePane="bottomRight" state="frozen"/>
      <selection activeCell="H1" sqref="H1"/>
      <selection pane="topRight" activeCell="H1" sqref="H1"/>
      <selection pane="bottomLeft" activeCell="H1" sqref="H1"/>
      <selection pane="bottomRight" activeCell="Q4" sqref="Q4"/>
    </sheetView>
  </sheetViews>
  <sheetFormatPr defaultColWidth="9.140625" defaultRowHeight="14.25" customHeight="1"/>
  <cols>
    <col min="1" max="1" width="9.140625" style="1" customWidth="1"/>
    <col min="2" max="2" width="43" style="2" customWidth="1"/>
    <col min="3" max="3" width="171.2851562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40.5703125" style="2" customWidth="1"/>
    <col min="16" max="16" width="22.5703125" style="2" customWidth="1"/>
    <col min="17" max="17" width="13.5703125" style="2" customWidth="1"/>
    <col min="18" max="18" width="24.5703125" style="2" customWidth="1"/>
    <col min="19" max="19" width="16.42578125" style="2" customWidth="1"/>
    <col min="20" max="34" width="9.140625" style="2" customWidth="1"/>
    <col min="35" max="40" width="30" style="2" customWidth="1"/>
    <col min="41" max="41" width="10.5703125" style="12" customWidth="1"/>
    <col min="42" max="42" width="30" style="2" customWidth="1"/>
    <col min="43" max="43" width="10.5703125" style="12" customWidth="1"/>
    <col min="44" max="44" width="30" style="2" customWidth="1"/>
    <col min="45" max="45" width="10.5703125" style="12" customWidth="1"/>
    <col min="46" max="46" width="30" style="2" customWidth="1"/>
    <col min="47" max="47" width="10.5703125" style="12" customWidth="1"/>
    <col min="48" max="48" width="30" style="2" customWidth="1"/>
    <col min="49" max="49" width="10.5703125" style="12" customWidth="1"/>
    <col min="50" max="50" width="30" style="2" customWidth="1"/>
    <col min="51" max="51" width="10.5703125" style="12" customWidth="1"/>
    <col min="52" max="52" width="11.140625" style="2" customWidth="1"/>
    <col min="53" max="53" width="11.140625" style="12" customWidth="1"/>
    <col min="54" max="54" width="11.140625" style="2" customWidth="1"/>
    <col min="55" max="55" width="11.140625" style="12" customWidth="1"/>
    <col min="56" max="56" width="11.140625" style="2" customWidth="1"/>
    <col min="57" max="57" width="11.140625" style="12" customWidth="1"/>
    <col min="58" max="58" width="11.140625" style="2" customWidth="1"/>
    <col min="59" max="59" width="11.140625" style="12" customWidth="1"/>
    <col min="60" max="60" width="9.140625" style="2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95" width="20" style="2" customWidth="1"/>
    <col min="96" max="96" width="50" style="2" customWidth="1"/>
    <col min="97" max="16384" width="9.140625" style="2"/>
  </cols>
  <sheetData>
    <row r="1" spans="1:96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2*60*1000*SpeedFaktor</f>
        <v>120000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489</v>
      </c>
      <c r="AM1" s="2" t="s">
        <v>723</v>
      </c>
      <c r="AN1" s="2" t="s">
        <v>10</v>
      </c>
      <c r="AO1" s="24" t="s">
        <v>8</v>
      </c>
      <c r="AP1" s="2" t="s">
        <v>11</v>
      </c>
      <c r="AQ1" s="24" t="s">
        <v>8</v>
      </c>
      <c r="AR1" s="2" t="s">
        <v>12</v>
      </c>
      <c r="AS1" s="24" t="s">
        <v>8</v>
      </c>
      <c r="AT1" s="2" t="s">
        <v>13</v>
      </c>
      <c r="AU1" s="24" t="s">
        <v>8</v>
      </c>
      <c r="AV1" s="2" t="s">
        <v>65</v>
      </c>
      <c r="AW1" s="24" t="s">
        <v>8</v>
      </c>
      <c r="AX1" s="2" t="s">
        <v>15</v>
      </c>
      <c r="AY1" s="24" t="s">
        <v>8</v>
      </c>
      <c r="AZ1" s="422" t="s">
        <v>17</v>
      </c>
      <c r="BA1" s="701" t="s">
        <v>8</v>
      </c>
      <c r="BB1" s="422" t="s">
        <v>1285</v>
      </c>
      <c r="BC1" s="701" t="s">
        <v>8</v>
      </c>
      <c r="BD1" s="422" t="s">
        <v>1286</v>
      </c>
      <c r="BE1" s="701" t="s">
        <v>8</v>
      </c>
      <c r="BF1" s="704" t="s">
        <v>1303</v>
      </c>
      <c r="BG1" s="701" t="s">
        <v>8</v>
      </c>
      <c r="BI1" s="826" t="s">
        <v>1311</v>
      </c>
      <c r="BJ1" s="827" t="s">
        <v>572</v>
      </c>
      <c r="BK1" s="952" t="s">
        <v>1318</v>
      </c>
      <c r="BL1" s="953" t="s">
        <v>572</v>
      </c>
      <c r="BM1" s="1099" t="s">
        <v>1324</v>
      </c>
      <c r="BN1" s="1100" t="s">
        <v>572</v>
      </c>
      <c r="BO1" s="1302" t="s">
        <v>1341</v>
      </c>
      <c r="BP1" s="1303" t="s">
        <v>572</v>
      </c>
      <c r="BQ1" s="1554" t="s">
        <v>1363</v>
      </c>
      <c r="BR1" s="1555" t="s">
        <v>572</v>
      </c>
      <c r="BS1" s="1698" t="s">
        <v>1368</v>
      </c>
      <c r="BT1" s="1699" t="s">
        <v>572</v>
      </c>
      <c r="BU1" s="1839" t="s">
        <v>1372</v>
      </c>
      <c r="BV1" s="1840" t="s">
        <v>572</v>
      </c>
      <c r="BW1" s="2113" t="s">
        <v>1397</v>
      </c>
      <c r="BX1" s="2114" t="s">
        <v>572</v>
      </c>
      <c r="BY1" s="2303" t="s">
        <v>1421</v>
      </c>
      <c r="BZ1" s="2304" t="s">
        <v>572</v>
      </c>
      <c r="CA1" s="2464" t="s">
        <v>1434</v>
      </c>
      <c r="CB1" s="2465" t="s">
        <v>572</v>
      </c>
      <c r="CC1" s="2625" t="s">
        <v>1442</v>
      </c>
      <c r="CD1" s="2626" t="s">
        <v>572</v>
      </c>
      <c r="CE1" s="2810" t="s">
        <v>1460</v>
      </c>
      <c r="CF1" s="2811" t="s">
        <v>572</v>
      </c>
      <c r="CG1" s="2992" t="s">
        <v>1472</v>
      </c>
      <c r="CH1" s="2993" t="s">
        <v>572</v>
      </c>
      <c r="CI1" s="3180" t="s">
        <v>1492</v>
      </c>
      <c r="CJ1" s="3181" t="s">
        <v>572</v>
      </c>
      <c r="CK1" s="3356" t="s">
        <v>1503</v>
      </c>
      <c r="CL1" s="3357" t="s">
        <v>572</v>
      </c>
      <c r="CM1" s="3536" t="s">
        <v>1519</v>
      </c>
      <c r="CN1" s="3537" t="s">
        <v>572</v>
      </c>
      <c r="CO1" s="3826" t="s">
        <v>1666</v>
      </c>
      <c r="CP1" s="3827" t="s">
        <v>572</v>
      </c>
      <c r="CQ1" s="4049" t="s">
        <v>1717</v>
      </c>
      <c r="CR1" s="4050" t="s">
        <v>572</v>
      </c>
    </row>
    <row r="2" spans="1:96" ht="14.25" customHeight="1">
      <c r="A2" s="119">
        <v>1</v>
      </c>
      <c r="B2" s="122" t="s">
        <v>21</v>
      </c>
      <c r="C2" s="590" t="str">
        <f>'001a'!B59</f>
        <v>{"url":p.aventisURL}</v>
      </c>
      <c r="AI2" s="2">
        <v>2088</v>
      </c>
      <c r="AJ2" s="2">
        <v>2013</v>
      </c>
      <c r="AK2" s="2">
        <v>2046</v>
      </c>
      <c r="AL2" s="2">
        <v>1623</v>
      </c>
      <c r="AM2" s="2">
        <v>1391</v>
      </c>
      <c r="AN2" s="2">
        <v>1438</v>
      </c>
      <c r="AO2" s="156">
        <f>AN2/($AI2)</f>
        <v>0.68869731800766287</v>
      </c>
      <c r="AP2" s="2">
        <v>1787</v>
      </c>
      <c r="AQ2" s="156">
        <f>AP2/($AI2)</f>
        <v>0.85584291187739459</v>
      </c>
      <c r="AR2" s="2">
        <v>1398</v>
      </c>
      <c r="AS2" s="156">
        <f>AR2/($AI2)</f>
        <v>0.66954022988505746</v>
      </c>
      <c r="AT2" s="2">
        <v>1389</v>
      </c>
      <c r="AU2" s="156">
        <f>AT2/($AI2)</f>
        <v>0.66522988505747127</v>
      </c>
      <c r="AV2" s="2">
        <v>1539</v>
      </c>
      <c r="AW2" s="156">
        <f>AV2/($AI2)</f>
        <v>0.73706896551724133</v>
      </c>
      <c r="AX2" s="2">
        <v>1500</v>
      </c>
      <c r="AY2" s="156">
        <f>AX2/($AI2)</f>
        <v>0.7183908045977011</v>
      </c>
      <c r="AZ2" s="2">
        <v>1468</v>
      </c>
      <c r="BA2" s="156">
        <f>AZ2/($AI2)</f>
        <v>0.70306513409961691</v>
      </c>
      <c r="BB2" s="2">
        <v>1228</v>
      </c>
      <c r="BC2" s="156">
        <f>BB2/($AI2)</f>
        <v>0.58812260536398464</v>
      </c>
      <c r="BD2" s="2">
        <v>660</v>
      </c>
      <c r="BE2" s="156">
        <f>BD2/($AI2)</f>
        <v>0.31609195402298851</v>
      </c>
      <c r="BF2" s="2">
        <v>1259</v>
      </c>
      <c r="BG2" s="156">
        <f>BF2/($AI2)</f>
        <v>0.60296934865900387</v>
      </c>
      <c r="BI2" s="2">
        <v>1436</v>
      </c>
      <c r="BK2" s="2">
        <v>1192</v>
      </c>
      <c r="BM2" s="2">
        <v>1413</v>
      </c>
      <c r="BO2" s="2">
        <v>1240</v>
      </c>
      <c r="BQ2" s="2">
        <v>1187</v>
      </c>
      <c r="BS2" s="2">
        <v>1241</v>
      </c>
      <c r="BU2" s="2">
        <v>1186</v>
      </c>
      <c r="BW2" s="2">
        <v>1862</v>
      </c>
      <c r="BY2" s="2">
        <v>1707</v>
      </c>
      <c r="CA2" s="2">
        <v>1652</v>
      </c>
      <c r="CC2" s="2">
        <v>1019</v>
      </c>
      <c r="CE2" s="2">
        <v>1339</v>
      </c>
      <c r="CG2" s="2">
        <v>1548</v>
      </c>
      <c r="CI2" s="2">
        <v>1184</v>
      </c>
      <c r="CK2" s="2">
        <v>1200</v>
      </c>
      <c r="CM2" s="2">
        <v>1140</v>
      </c>
      <c r="CO2" s="2">
        <v>928</v>
      </c>
      <c r="CQ2" s="2">
        <v>569</v>
      </c>
      <c r="CR2" s="2" t="s">
        <v>1718</v>
      </c>
    </row>
    <row r="3" spans="1:96" ht="14.25" customHeight="1" thickBot="1">
      <c r="A3" s="119">
        <v>2</v>
      </c>
      <c r="B3" s="122" t="s">
        <v>25</v>
      </c>
      <c r="C3" s="606" t="s">
        <v>633</v>
      </c>
      <c r="AI3" s="2">
        <v>7914</v>
      </c>
      <c r="AJ3" s="2">
        <v>6707</v>
      </c>
      <c r="AK3" s="2">
        <v>6578</v>
      </c>
      <c r="AL3" s="2">
        <v>9818</v>
      </c>
      <c r="AM3" s="2">
        <v>6658</v>
      </c>
      <c r="AN3" s="2">
        <v>9316</v>
      </c>
      <c r="AO3" s="156">
        <f t="shared" ref="AO3:AO4" si="0">AN3/($AI3)</f>
        <v>1.1771544099064948</v>
      </c>
      <c r="AP3" s="2">
        <v>9583</v>
      </c>
      <c r="AQ3" s="156">
        <f t="shared" ref="AQ3:AQ4" si="1">AP3/($AI3)</f>
        <v>1.2108920899671469</v>
      </c>
      <c r="AR3" s="2">
        <v>8385</v>
      </c>
      <c r="AS3" s="156">
        <f t="shared" ref="AS3:AS4" si="2">AR3/($AI3)</f>
        <v>1.0595147839272177</v>
      </c>
      <c r="AT3" s="2">
        <v>8595</v>
      </c>
      <c r="AU3" s="156">
        <f t="shared" ref="AU3:BE4" si="3">AT3/($AI3)</f>
        <v>1.0860500379075058</v>
      </c>
      <c r="AV3" s="2">
        <v>9318</v>
      </c>
      <c r="AW3" s="156">
        <f t="shared" si="3"/>
        <v>1.1774071266110691</v>
      </c>
      <c r="AX3" s="2">
        <v>9167</v>
      </c>
      <c r="AY3" s="156">
        <f t="shared" si="3"/>
        <v>1.158327015415719</v>
      </c>
      <c r="AZ3" s="2">
        <v>7393</v>
      </c>
      <c r="BA3" s="156">
        <f t="shared" si="3"/>
        <v>0.93416729845842805</v>
      </c>
      <c r="BB3" s="2">
        <v>8793</v>
      </c>
      <c r="BC3" s="156">
        <f t="shared" si="3"/>
        <v>1.1110689916603487</v>
      </c>
      <c r="BD3" s="2">
        <v>4951</v>
      </c>
      <c r="BE3" s="156">
        <f t="shared" si="3"/>
        <v>0.62560020217336365</v>
      </c>
      <c r="BF3" s="2">
        <v>8636</v>
      </c>
      <c r="BG3" s="156">
        <f t="shared" ref="BG3:BG4" si="4">BF3/($AI3)</f>
        <v>1.0912307303512763</v>
      </c>
      <c r="BI3" s="2">
        <v>8049</v>
      </c>
      <c r="BK3" s="2">
        <v>6874</v>
      </c>
      <c r="BM3" s="2">
        <v>7633</v>
      </c>
      <c r="BO3" s="2">
        <v>7147</v>
      </c>
      <c r="BQ3" s="2">
        <v>7192</v>
      </c>
      <c r="BS3" s="2">
        <v>7163</v>
      </c>
      <c r="BU3" s="2">
        <v>6398</v>
      </c>
      <c r="BW3" s="2">
        <v>7063</v>
      </c>
      <c r="BY3" s="2">
        <v>7610</v>
      </c>
      <c r="CA3" s="2">
        <v>7881</v>
      </c>
      <c r="CC3" s="2">
        <v>6377</v>
      </c>
      <c r="CE3" s="2">
        <v>9951</v>
      </c>
      <c r="CG3" s="2">
        <v>8638</v>
      </c>
      <c r="CI3" s="2">
        <v>7911</v>
      </c>
      <c r="CK3" s="2">
        <v>9516</v>
      </c>
      <c r="CM3" s="2">
        <v>10388</v>
      </c>
      <c r="CO3" s="2">
        <v>7606</v>
      </c>
      <c r="CQ3" s="2">
        <v>7633</v>
      </c>
      <c r="CR3" s="2" t="s">
        <v>1718</v>
      </c>
    </row>
    <row r="4" spans="1:96" s="304" customFormat="1" ht="14.25" customHeight="1" thickBot="1">
      <c r="A4" s="288">
        <v>4</v>
      </c>
      <c r="B4" s="307" t="s">
        <v>724</v>
      </c>
      <c r="C4" s="289" t="str">
        <f>E4</f>
        <v>{"searchDossierOrKlient":"1_Komplett_7561007047342 25-No05","filterThema":"Alle","stichWort":"JournalEintrag","docType":"Journal","person":"Weber25494, Elias","zeitRaum":"1 Jahr","checkDokument":"JournalEintrag"}</v>
      </c>
      <c r="D4" s="289" t="s">
        <v>28</v>
      </c>
      <c r="E4" s="289" t="str">
        <f>F4&amp;G4&amp;H4&amp;I4&amp;J4&amp;K4&amp;L4&amp;M4&amp;N4&amp;O4&amp;P4&amp;Q4&amp;R4&amp;S4&amp;T4&amp;U4&amp;V4&amp;W4&amp;X4</f>
        <v>{"searchDossierOrKlient":"1_Komplett_7561007047342 25-No05","filterThema":"Alle","stichWort":"JournalEintrag","docType":"Journal","person":"Weber25494, Elias","zeitRaum":"1 Jahr","checkDokument":"JournalEintrag"}</v>
      </c>
      <c r="F4" s="318" t="s">
        <v>1700</v>
      </c>
      <c r="G4" s="289" t="s">
        <v>1698</v>
      </c>
      <c r="H4" s="319" t="s">
        <v>1699</v>
      </c>
      <c r="I4" s="319" t="s">
        <v>725</v>
      </c>
      <c r="J4" s="319" t="s">
        <v>726</v>
      </c>
      <c r="K4" s="313" t="s">
        <v>727</v>
      </c>
      <c r="L4" s="313" t="s">
        <v>728</v>
      </c>
      <c r="M4" s="319" t="s">
        <v>729</v>
      </c>
      <c r="N4" s="313" t="s">
        <v>1702</v>
      </c>
      <c r="O4" s="2" t="s">
        <v>1701</v>
      </c>
      <c r="P4" s="320" t="s">
        <v>590</v>
      </c>
      <c r="Q4" s="321" t="s">
        <v>730</v>
      </c>
      <c r="R4" s="313" t="s">
        <v>731</v>
      </c>
      <c r="S4" s="313" t="s">
        <v>727</v>
      </c>
      <c r="T4" s="313" t="s">
        <v>37</v>
      </c>
      <c r="U4" s="289"/>
      <c r="V4" s="320"/>
      <c r="W4" s="289"/>
      <c r="X4" s="289"/>
      <c r="Y4" s="289"/>
      <c r="Z4" s="289"/>
      <c r="AA4" s="289"/>
      <c r="AB4" s="289"/>
      <c r="AC4" s="289"/>
      <c r="AD4" s="289"/>
      <c r="AE4" s="289"/>
      <c r="AF4" s="289"/>
      <c r="AG4" s="289"/>
      <c r="AH4" s="289"/>
      <c r="AI4" s="289">
        <v>12628</v>
      </c>
      <c r="AJ4" s="313">
        <v>0</v>
      </c>
      <c r="AK4" s="313">
        <v>0</v>
      </c>
      <c r="AL4" s="289">
        <v>12628</v>
      </c>
      <c r="AM4" s="289">
        <v>12888</v>
      </c>
      <c r="AN4" s="289">
        <v>0</v>
      </c>
      <c r="AO4" s="290">
        <f t="shared" si="0"/>
        <v>0</v>
      </c>
      <c r="AP4" s="289">
        <v>13212</v>
      </c>
      <c r="AQ4" s="290">
        <f t="shared" si="1"/>
        <v>1.046246436490339</v>
      </c>
      <c r="AR4" s="289">
        <v>13151</v>
      </c>
      <c r="AS4" s="290">
        <f t="shared" si="2"/>
        <v>1.0414159011719988</v>
      </c>
      <c r="AT4" s="289">
        <v>12787</v>
      </c>
      <c r="AU4" s="290">
        <f t="shared" si="3"/>
        <v>1.0125910674691163</v>
      </c>
      <c r="AV4" s="289">
        <v>6473</v>
      </c>
      <c r="AW4" s="290">
        <f t="shared" si="3"/>
        <v>0.5125910674691162</v>
      </c>
      <c r="AX4" s="291">
        <v>6195</v>
      </c>
      <c r="AY4" s="290">
        <f t="shared" si="3"/>
        <v>0.49057649667405767</v>
      </c>
      <c r="AZ4" s="291">
        <v>7240</v>
      </c>
      <c r="BA4" s="290">
        <f t="shared" si="3"/>
        <v>0.57332910991447572</v>
      </c>
      <c r="BB4" s="291">
        <v>8172</v>
      </c>
      <c r="BC4" s="290">
        <f t="shared" si="3"/>
        <v>0.64713335445042763</v>
      </c>
      <c r="BD4" s="291">
        <v>7209</v>
      </c>
      <c r="BE4" s="290">
        <f t="shared" si="3"/>
        <v>0.57087424770351602</v>
      </c>
      <c r="BF4" s="304">
        <v>11941</v>
      </c>
      <c r="BG4" s="290">
        <f t="shared" si="4"/>
        <v>0.94559708584098823</v>
      </c>
      <c r="BI4" s="304">
        <v>8088</v>
      </c>
      <c r="BK4" s="304">
        <v>8107</v>
      </c>
      <c r="BM4" s="304">
        <v>8397</v>
      </c>
      <c r="BO4" s="304">
        <v>7382</v>
      </c>
      <c r="BQ4" s="304">
        <v>4691</v>
      </c>
      <c r="BS4" s="304">
        <v>480016</v>
      </c>
      <c r="BU4" s="304">
        <v>4713</v>
      </c>
      <c r="BW4" s="304">
        <v>7713</v>
      </c>
      <c r="BY4" s="304">
        <v>7617</v>
      </c>
      <c r="CA4" s="304">
        <v>7576</v>
      </c>
      <c r="CC4" s="304">
        <v>12058</v>
      </c>
      <c r="CE4" s="304">
        <v>7457</v>
      </c>
      <c r="CG4" s="304">
        <v>6837</v>
      </c>
      <c r="CI4" s="304">
        <v>7317</v>
      </c>
      <c r="CK4" s="304">
        <v>7664</v>
      </c>
      <c r="CM4" s="304">
        <v>8407</v>
      </c>
      <c r="CO4" s="3828">
        <v>0</v>
      </c>
      <c r="CP4" s="3829" t="s">
        <v>1680</v>
      </c>
      <c r="CQ4" s="304">
        <v>7390</v>
      </c>
      <c r="CR4" s="304" t="s">
        <v>1718</v>
      </c>
    </row>
    <row r="5" spans="1:96">
      <c r="AI5" s="2">
        <v>772</v>
      </c>
      <c r="AJ5" s="2">
        <v>404</v>
      </c>
      <c r="AK5" s="2">
        <v>332</v>
      </c>
      <c r="AO5" s="156"/>
      <c r="AQ5" s="156"/>
      <c r="AS5" s="156"/>
      <c r="AU5" s="156"/>
      <c r="AW5" s="156"/>
      <c r="AY5" s="156"/>
      <c r="BA5" s="156"/>
      <c r="BC5" s="156"/>
      <c r="BE5" s="156"/>
      <c r="BG5" s="156"/>
    </row>
    <row r="6" spans="1:96">
      <c r="AO6" s="156"/>
      <c r="AQ6" s="156"/>
      <c r="AS6" s="156"/>
      <c r="AU6" s="156"/>
      <c r="AW6" s="156"/>
      <c r="AY6" s="156"/>
      <c r="BA6" s="156"/>
      <c r="BC6" s="156"/>
      <c r="BE6" s="156"/>
      <c r="BG6" s="156"/>
    </row>
    <row r="7" spans="1:96">
      <c r="B7" s="30" t="s">
        <v>732</v>
      </c>
      <c r="AO7" s="156"/>
      <c r="AQ7" s="156"/>
      <c r="AS7" s="156"/>
      <c r="AU7" s="156"/>
      <c r="AW7" s="156"/>
      <c r="AY7" s="156"/>
      <c r="BA7" s="156"/>
      <c r="BC7" s="156"/>
      <c r="BE7" s="156"/>
      <c r="BG7" s="156"/>
    </row>
    <row r="8" spans="1:96">
      <c r="C8" s="322" t="s">
        <v>733</v>
      </c>
      <c r="AO8" s="2"/>
      <c r="AQ8" s="2"/>
      <c r="AS8" s="2"/>
      <c r="AU8" s="2"/>
      <c r="AW8" s="2"/>
      <c r="AY8" s="2"/>
      <c r="BA8" s="2"/>
      <c r="BC8" s="2"/>
      <c r="BE8" s="2"/>
      <c r="BG8" s="2"/>
    </row>
    <row r="9" spans="1:96">
      <c r="B9" s="2" t="s">
        <v>734</v>
      </c>
      <c r="AO9" s="2"/>
      <c r="AQ9" s="2"/>
      <c r="AS9" s="2"/>
      <c r="AU9" s="2"/>
      <c r="AW9" s="2"/>
      <c r="AY9" s="2"/>
      <c r="BA9" s="2"/>
      <c r="BC9" s="2"/>
      <c r="BE9" s="2"/>
      <c r="BG9" s="2"/>
    </row>
  </sheetData>
  <conditionalFormatting sqref="AO2:AO146 AQ2:AQ146 AS2:AS146 AU2:AU146 AW2:AW146 AY2:AY146 BA2:BA146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2:BG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</sheetPr>
  <dimension ref="A1:BG9"/>
  <sheetViews>
    <sheetView zoomScaleNormal="100" workbookViewId="0">
      <selection activeCell="H1" sqref="H1"/>
    </sheetView>
  </sheetViews>
  <sheetFormatPr defaultColWidth="9.140625" defaultRowHeight="14.25" customHeight="1"/>
  <cols>
    <col min="1" max="1" width="9.140625" style="1" customWidth="1"/>
    <col min="2" max="2" width="48.42578125" style="2" customWidth="1"/>
    <col min="3" max="3" width="184.8554687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22.5703125" style="2" customWidth="1"/>
    <col min="17" max="17" width="13.5703125" style="2" customWidth="1"/>
    <col min="18" max="18" width="24.5703125" style="2" customWidth="1"/>
    <col min="19" max="33" width="9.140625" style="2" customWidth="1"/>
    <col min="34" max="34" width="10.85546875" style="2" customWidth="1"/>
    <col min="35" max="38" width="10.140625" style="2" customWidth="1"/>
    <col min="39" max="39" width="9.140625" style="2" customWidth="1"/>
    <col min="40" max="16384" width="9.140625" style="2"/>
  </cols>
  <sheetData>
    <row r="1" spans="1:59" ht="27" customHeight="1">
      <c r="A1" s="5" t="s">
        <v>0</v>
      </c>
      <c r="B1" s="5" t="s">
        <v>1</v>
      </c>
      <c r="C1" s="5" t="s">
        <v>2</v>
      </c>
      <c r="D1" s="5" t="s">
        <v>3</v>
      </c>
      <c r="E1" s="6" t="s">
        <v>735</v>
      </c>
      <c r="F1" s="2" t="s">
        <v>4</v>
      </c>
      <c r="G1" s="2558">
        <f>7*60*1000*SpeedFaktor</f>
        <v>420000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489</v>
      </c>
      <c r="BG1" s="7" t="s">
        <v>5</v>
      </c>
    </row>
    <row r="2" spans="1:59" ht="14.25" customHeight="1">
      <c r="A2" s="119">
        <v>1</v>
      </c>
      <c r="B2" s="122" t="s">
        <v>21</v>
      </c>
      <c r="C2" s="590" t="str">
        <f>'001a'!B59</f>
        <v>{"url":p.aventisURL}</v>
      </c>
      <c r="AI2" s="2">
        <v>1727</v>
      </c>
      <c r="AJ2" s="2">
        <v>1455</v>
      </c>
      <c r="AK2" s="2">
        <v>2149</v>
      </c>
      <c r="AL2" s="2">
        <v>1461</v>
      </c>
    </row>
    <row r="3" spans="1:59" ht="14.25" customHeight="1">
      <c r="A3" s="119">
        <v>2</v>
      </c>
      <c r="B3" s="122" t="s">
        <v>25</v>
      </c>
      <c r="C3" s="606" t="s">
        <v>633</v>
      </c>
      <c r="AI3" s="2">
        <v>9015</v>
      </c>
      <c r="AJ3" s="2">
        <v>7048</v>
      </c>
      <c r="AK3" s="2">
        <v>6848</v>
      </c>
      <c r="AL3" s="2">
        <v>9256</v>
      </c>
    </row>
    <row r="4" spans="1:59" ht="17.25" customHeight="1" thickBot="1">
      <c r="A4" s="119">
        <v>4</v>
      </c>
      <c r="B4" s="122" t="s">
        <v>139</v>
      </c>
      <c r="C4" s="606" t="str">
        <f>E4</f>
        <v>{"searchDossierOrKlient":p.DossierName1,"resultType":"Dossiers"}</v>
      </c>
      <c r="E4" s="3" t="str">
        <f>F4&amp;G4&amp;H4&amp;I4&amp;J4&amp;K4&amp;L4&amp;M4&amp;N4&amp;O4&amp;P4&amp;Q4&amp;R4&amp;S4&amp;T4&amp;U4&amp;V4&amp;W4</f>
        <v>{"searchDossierOrKlient":p.DossierName1,"resultType":"Dossiers"}</v>
      </c>
      <c r="F4" s="2" t="s">
        <v>140</v>
      </c>
      <c r="G4" s="2" t="s">
        <v>449</v>
      </c>
      <c r="H4" s="2" t="s">
        <v>623</v>
      </c>
      <c r="AI4" s="2">
        <v>11809</v>
      </c>
      <c r="AJ4" s="2">
        <v>11835</v>
      </c>
      <c r="AK4" s="2">
        <v>11882</v>
      </c>
      <c r="AL4" s="2">
        <v>10828</v>
      </c>
    </row>
    <row r="5" spans="1:59" s="10" customFormat="1" ht="33.75" customHeight="1" thickBot="1">
      <c r="A5" s="21">
        <v>5</v>
      </c>
      <c r="B5" s="240" t="s">
        <v>736</v>
      </c>
      <c r="C5" s="187" t="str">
        <f>E5</f>
        <v>{"searchDossierOrKlient":p.DossierName1,"vorlage":"Brief an Dritte - Deutsch","titel":"Wunderbar","thema":"Allgemein","betrifft":"Ganze Klientschaft","instOderBezug":"Institution","instOBezNamen":"AFOREM","kontPerson":"","absender":"Bern Sachbearbeiterin"}</v>
      </c>
      <c r="D5" s="24" t="s">
        <v>28</v>
      </c>
      <c r="E5" s="187" t="str">
        <f>F5&amp;G5&amp;H5&amp;I5&amp;J5&amp;K5&amp;L5&amp;M5&amp;N5&amp;O5&amp;P5&amp;Q5&amp;R5&amp;S5&amp;T5&amp;U5&amp;V5&amp;W5&amp;X5</f>
        <v>{"searchDossierOrKlient":p.DossierName1,"vorlage":"Brief an Dritte - Deutsch","titel":"Wunderbar","thema":"Allgemein","betrifft":"Ganze Klientschaft","instOderBezug":"Institution","instOBezNamen":"AFOREM","kontPerson":"","absender":"Bern Sachbearbeiterin"}</v>
      </c>
      <c r="F5" s="240" t="s">
        <v>140</v>
      </c>
      <c r="G5" s="255" t="s">
        <v>449</v>
      </c>
      <c r="H5" s="323" t="s">
        <v>737</v>
      </c>
      <c r="I5" s="323" t="s">
        <v>738</v>
      </c>
      <c r="J5" s="323" t="s">
        <v>442</v>
      </c>
      <c r="K5" s="24" t="s">
        <v>443</v>
      </c>
      <c r="L5" s="323" t="s">
        <v>379</v>
      </c>
      <c r="M5" s="24" t="s">
        <v>739</v>
      </c>
      <c r="N5" s="323" t="s">
        <v>740</v>
      </c>
      <c r="O5" s="324" t="s">
        <v>741</v>
      </c>
      <c r="P5" s="325" t="s">
        <v>742</v>
      </c>
      <c r="Q5" s="24" t="s">
        <v>743</v>
      </c>
      <c r="R5" s="323" t="s">
        <v>744</v>
      </c>
      <c r="S5" s="24" t="s">
        <v>425</v>
      </c>
      <c r="T5" s="323" t="s">
        <v>745</v>
      </c>
      <c r="U5" s="24"/>
      <c r="V5" s="324" t="s">
        <v>746</v>
      </c>
      <c r="W5" s="24" t="s">
        <v>120</v>
      </c>
      <c r="X5" s="24" t="s">
        <v>37</v>
      </c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>
        <v>9711</v>
      </c>
      <c r="AJ5" s="24">
        <v>8541</v>
      </c>
      <c r="AK5" s="24">
        <v>8564</v>
      </c>
      <c r="AL5" s="24">
        <v>0</v>
      </c>
    </row>
    <row r="6" spans="1:59" s="10" customFormat="1" ht="32.25" customHeight="1" thickBot="1">
      <c r="A6" s="21"/>
      <c r="B6" s="240" t="s">
        <v>439</v>
      </c>
      <c r="C6" s="187" t="str">
        <f>E6</f>
        <v>{"vorlage":"IIZ Formular","sprache":"Deutsch","titel":"Wunderbar","klient":`${p.FamilyName1}, ${p.ManFirstName1}`,"adresse":"Wohnsituation:  , "}</v>
      </c>
      <c r="D6" s="24" t="s">
        <v>28</v>
      </c>
      <c r="E6" s="187" t="str">
        <f>F6&amp;G6&amp;H6&amp;I6&amp;J6&amp;K6&amp;L6&amp;M6&amp;N6&amp;O6&amp;P6&amp;Q6&amp;R6&amp;S6&amp;T6&amp;U6&amp;V6&amp;W6&amp;X6&amp;Y6&amp;Z6</f>
        <v>{"vorlage":"IIZ Formular","sprache":"Deutsch","titel":"Wunderbar","klient":`${p.FamilyName1}, ${p.ManFirstName1}`,"adresse":"Wohnsituation:  , "}</v>
      </c>
      <c r="F6" s="326" t="s">
        <v>440</v>
      </c>
      <c r="G6" s="255" t="s">
        <v>747</v>
      </c>
      <c r="H6" s="323" t="s">
        <v>748</v>
      </c>
      <c r="I6" s="323" t="s">
        <v>85</v>
      </c>
      <c r="J6" s="323" t="s">
        <v>442</v>
      </c>
      <c r="K6" s="323" t="s">
        <v>443</v>
      </c>
      <c r="L6" s="323" t="s">
        <v>444</v>
      </c>
      <c r="M6" s="327" t="s">
        <v>492</v>
      </c>
      <c r="N6" s="323" t="s">
        <v>445</v>
      </c>
      <c r="O6" s="24" t="str">
        <f>"Wohnsituation: "&amp;N8&amp;" "&amp;O8&amp;", "&amp;P8</f>
        <v xml:space="preserve">Wohnsituation:  , </v>
      </c>
      <c r="P6" s="325" t="s">
        <v>37</v>
      </c>
      <c r="Q6" s="24"/>
      <c r="R6" s="323"/>
      <c r="S6" s="24"/>
      <c r="T6" s="323"/>
      <c r="U6" s="24"/>
      <c r="V6" s="3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>
        <v>6975</v>
      </c>
      <c r="AJ6" s="24">
        <v>6523</v>
      </c>
      <c r="AK6" s="24">
        <v>6788</v>
      </c>
      <c r="AL6" s="24">
        <v>0</v>
      </c>
    </row>
    <row r="7" spans="1:59">
      <c r="B7" s="328" t="s">
        <v>749</v>
      </c>
    </row>
    <row r="8" spans="1:59" ht="30" customHeight="1">
      <c r="B8" s="2" t="s">
        <v>750</v>
      </c>
    </row>
    <row r="9" spans="1:59">
      <c r="B9" s="30" t="s">
        <v>751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</sheetPr>
  <dimension ref="A1:CN10"/>
  <sheetViews>
    <sheetView zoomScaleNormal="100" workbookViewId="0">
      <pane xSplit="2" ySplit="1" topLeftCell="D2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ColWidth="9.140625" defaultRowHeight="14.25" customHeight="1"/>
  <cols>
    <col min="1" max="1" width="9.140625" style="1" customWidth="1"/>
    <col min="2" max="2" width="49" style="2" customWidth="1"/>
    <col min="3" max="3" width="193.4257812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20.5703125" style="2" customWidth="1"/>
    <col min="11" max="11" width="31.710937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22.5703125" style="2" customWidth="1"/>
    <col min="17" max="17" width="13.5703125" style="2" customWidth="1"/>
    <col min="18" max="18" width="24.5703125" style="2" customWidth="1"/>
    <col min="19" max="34" width="9.140625" style="2" customWidth="1"/>
    <col min="35" max="37" width="10" style="2" customWidth="1"/>
    <col min="38" max="38" width="10" style="12" customWidth="1"/>
    <col min="39" max="39" width="10" style="2" customWidth="1"/>
    <col min="40" max="40" width="10" style="12" customWidth="1"/>
    <col min="41" max="41" width="10" style="2" customWidth="1"/>
    <col min="42" max="42" width="10" style="12" customWidth="1"/>
    <col min="43" max="43" width="10" style="2" customWidth="1"/>
    <col min="44" max="44" width="10.5703125" style="12" customWidth="1"/>
    <col min="45" max="45" width="30" style="2" customWidth="1"/>
    <col min="46" max="46" width="10.5703125" style="12" customWidth="1"/>
    <col min="47" max="47" width="30" style="2" customWidth="1"/>
    <col min="48" max="48" width="10.5703125" style="12" customWidth="1"/>
    <col min="49" max="49" width="11.5703125" style="2" customWidth="1"/>
    <col min="50" max="50" width="10.5703125" style="12" customWidth="1"/>
    <col min="51" max="51" width="30" style="2" customWidth="1"/>
    <col min="52" max="52" width="50" style="2" customWidth="1"/>
    <col min="53" max="53" width="30" style="2" customWidth="1"/>
    <col min="54" max="54" width="50" style="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16384" width="9.140625" style="2"/>
  </cols>
  <sheetData>
    <row r="1" spans="1:92" ht="15.7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4*60*1000*SpeedFaktor</f>
        <v>240000</v>
      </c>
      <c r="H1" s="2">
        <v>10</v>
      </c>
      <c r="AH1" s="2" t="s">
        <v>5</v>
      </c>
      <c r="AI1" s="2" t="s">
        <v>657</v>
      </c>
      <c r="AJ1" s="2" t="s">
        <v>658</v>
      </c>
      <c r="AK1" s="2" t="s">
        <v>10</v>
      </c>
      <c r="AL1" s="24" t="s">
        <v>8</v>
      </c>
      <c r="AM1" s="2" t="s">
        <v>11</v>
      </c>
      <c r="AN1" s="24" t="s">
        <v>8</v>
      </c>
      <c r="AO1" s="2" t="s">
        <v>12</v>
      </c>
      <c r="AP1" s="24" t="s">
        <v>8</v>
      </c>
      <c r="AQ1" s="2" t="s">
        <v>13</v>
      </c>
      <c r="AR1" s="24" t="s">
        <v>8</v>
      </c>
      <c r="AS1" s="2" t="s">
        <v>65</v>
      </c>
      <c r="AT1" s="24" t="s">
        <v>8</v>
      </c>
      <c r="AU1" s="2" t="s">
        <v>15</v>
      </c>
      <c r="AV1" s="24" t="s">
        <v>8</v>
      </c>
      <c r="AW1" s="2" t="s">
        <v>17</v>
      </c>
      <c r="AX1" s="24" t="s">
        <v>8</v>
      </c>
      <c r="AY1" s="2" t="s">
        <v>1285</v>
      </c>
      <c r="AZ1" s="2" t="s">
        <v>19</v>
      </c>
      <c r="BA1" s="2" t="s">
        <v>1286</v>
      </c>
      <c r="BB1" s="2" t="s">
        <v>20</v>
      </c>
      <c r="BC1" s="523" t="s">
        <v>1303</v>
      </c>
      <c r="BD1" s="524" t="s">
        <v>572</v>
      </c>
      <c r="BE1" s="828" t="s">
        <v>1311</v>
      </c>
      <c r="BF1" s="829" t="s">
        <v>572</v>
      </c>
      <c r="BG1" s="954" t="s">
        <v>1318</v>
      </c>
      <c r="BH1" s="955" t="s">
        <v>572</v>
      </c>
      <c r="BI1" s="1101" t="s">
        <v>1324</v>
      </c>
      <c r="BJ1" s="1102" t="s">
        <v>572</v>
      </c>
      <c r="BK1" s="1304" t="s">
        <v>1341</v>
      </c>
      <c r="BL1" s="1305" t="s">
        <v>572</v>
      </c>
      <c r="BM1" s="1556" t="s">
        <v>1363</v>
      </c>
      <c r="BN1" s="1557" t="s">
        <v>572</v>
      </c>
      <c r="BO1" s="1700" t="s">
        <v>1368</v>
      </c>
      <c r="BP1" s="1701" t="s">
        <v>572</v>
      </c>
      <c r="BQ1" s="1841" t="s">
        <v>1372</v>
      </c>
      <c r="BR1" s="1842" t="s">
        <v>572</v>
      </c>
      <c r="BS1" s="2115" t="s">
        <v>1397</v>
      </c>
      <c r="BT1" s="2116" t="s">
        <v>572</v>
      </c>
      <c r="BU1" s="2305" t="s">
        <v>1421</v>
      </c>
      <c r="BV1" s="2306" t="s">
        <v>572</v>
      </c>
      <c r="BW1" s="2466" t="s">
        <v>1434</v>
      </c>
      <c r="BX1" s="2467" t="s">
        <v>572</v>
      </c>
      <c r="BY1" s="2627" t="s">
        <v>1442</v>
      </c>
      <c r="BZ1" s="2628" t="s">
        <v>572</v>
      </c>
      <c r="CA1" s="2812" t="s">
        <v>1460</v>
      </c>
      <c r="CB1" s="2813" t="s">
        <v>572</v>
      </c>
      <c r="CC1" s="2994" t="s">
        <v>1472</v>
      </c>
      <c r="CD1" s="2995" t="s">
        <v>572</v>
      </c>
      <c r="CE1" s="3182" t="s">
        <v>1492</v>
      </c>
      <c r="CF1" s="3183" t="s">
        <v>572</v>
      </c>
      <c r="CG1" s="3358" t="s">
        <v>1503</v>
      </c>
      <c r="CH1" s="3359" t="s">
        <v>572</v>
      </c>
      <c r="CI1" s="3538" t="s">
        <v>1519</v>
      </c>
      <c r="CJ1" s="3539" t="s">
        <v>572</v>
      </c>
      <c r="CK1" s="3830" t="s">
        <v>1666</v>
      </c>
      <c r="CL1" s="3831" t="s">
        <v>572</v>
      </c>
      <c r="CM1" s="4051" t="s">
        <v>1717</v>
      </c>
      <c r="CN1" s="4052" t="s">
        <v>572</v>
      </c>
    </row>
    <row r="2" spans="1:92" s="10" customFormat="1" ht="14.25" customHeight="1">
      <c r="A2" s="119">
        <v>1</v>
      </c>
      <c r="B2" s="122" t="s">
        <v>21</v>
      </c>
      <c r="C2" s="589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2401</v>
      </c>
      <c r="AJ2" s="2">
        <v>2059</v>
      </c>
      <c r="AK2" s="2">
        <v>1584</v>
      </c>
      <c r="AL2" s="156">
        <f>AK2/($AI2)</f>
        <v>0.65972511453561011</v>
      </c>
      <c r="AM2" s="2">
        <v>1439</v>
      </c>
      <c r="AN2" s="156">
        <f>AM2/($AI2)</f>
        <v>0.5993336109954186</v>
      </c>
      <c r="AO2" s="2">
        <v>1611</v>
      </c>
      <c r="AP2" s="156">
        <f>AO2/($AI2)</f>
        <v>0.6709704289879217</v>
      </c>
      <c r="AQ2" s="2">
        <v>1593</v>
      </c>
      <c r="AR2" s="156">
        <f>AQ2/($AI2)</f>
        <v>0.66347355268638064</v>
      </c>
      <c r="AS2" s="2">
        <v>1721</v>
      </c>
      <c r="AT2" s="156">
        <f>AS2/($AI2)</f>
        <v>0.71678467305289462</v>
      </c>
      <c r="AU2" s="2">
        <v>1371</v>
      </c>
      <c r="AV2" s="156">
        <f>AU2/($AI2)</f>
        <v>0.57101207830070799</v>
      </c>
      <c r="AW2" s="2">
        <v>1143</v>
      </c>
      <c r="AX2" s="156">
        <f>AW2/($AI2)</f>
        <v>0.47605164514785508</v>
      </c>
      <c r="AY2" s="2">
        <v>1192</v>
      </c>
      <c r="AZ2" s="2"/>
      <c r="BA2" s="2">
        <v>572</v>
      </c>
      <c r="BB2" s="2"/>
      <c r="BC2" s="10">
        <v>1169</v>
      </c>
      <c r="BE2" s="10">
        <v>1398</v>
      </c>
      <c r="BG2" s="10">
        <v>1174</v>
      </c>
      <c r="BI2" s="10">
        <v>1369</v>
      </c>
      <c r="BK2" s="10">
        <v>1201</v>
      </c>
      <c r="BM2" s="10">
        <v>1182</v>
      </c>
      <c r="BO2" s="10">
        <v>1262</v>
      </c>
      <c r="BQ2" s="10">
        <v>1129</v>
      </c>
      <c r="BS2" s="10">
        <v>1715</v>
      </c>
      <c r="BU2" s="10">
        <v>1555</v>
      </c>
      <c r="BW2" s="10">
        <v>1723</v>
      </c>
      <c r="BY2" s="10">
        <v>1119</v>
      </c>
      <c r="CA2" s="10">
        <v>1322</v>
      </c>
      <c r="CC2" s="10">
        <v>1504</v>
      </c>
      <c r="CE2" s="10">
        <v>1083</v>
      </c>
      <c r="CG2" s="10">
        <v>1093</v>
      </c>
      <c r="CI2" s="10">
        <v>1133</v>
      </c>
      <c r="CK2" s="10">
        <v>938</v>
      </c>
      <c r="CM2" s="10">
        <v>529</v>
      </c>
      <c r="CN2" s="10" t="s">
        <v>1718</v>
      </c>
    </row>
    <row r="3" spans="1:92" s="10" customFormat="1" ht="14.25" customHeight="1">
      <c r="A3" s="119">
        <v>2</v>
      </c>
      <c r="B3" s="122" t="s">
        <v>25</v>
      </c>
      <c r="C3" s="121" t="s">
        <v>633</v>
      </c>
      <c r="D3" s="2"/>
      <c r="E3" s="12"/>
      <c r="F3" s="2"/>
      <c r="G3" s="2"/>
      <c r="H3" s="2"/>
      <c r="I3" s="2"/>
      <c r="J3" s="2"/>
      <c r="K3" s="2"/>
      <c r="L3" s="2"/>
      <c r="M3" s="2" t="s">
        <v>752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8481</v>
      </c>
      <c r="AJ3" s="2">
        <v>6740</v>
      </c>
      <c r="AK3" s="2">
        <v>9579</v>
      </c>
      <c r="AL3" s="156">
        <f t="shared" ref="AL3:AL5" si="0">AK3/($AI3)</f>
        <v>1.1294658648744251</v>
      </c>
      <c r="AM3" s="2">
        <v>9542</v>
      </c>
      <c r="AN3" s="156">
        <f t="shared" ref="AN3:AN5" si="1">AM3/($AI3)</f>
        <v>1.1251031717957789</v>
      </c>
      <c r="AO3" s="2">
        <v>8329</v>
      </c>
      <c r="AP3" s="156">
        <f t="shared" ref="AP3:AP5" si="2">AO3/($AI3)</f>
        <v>0.98207758519042565</v>
      </c>
      <c r="AQ3" s="2">
        <v>8740</v>
      </c>
      <c r="AR3" s="156">
        <f t="shared" ref="AR3:AX5" si="3">AQ3/($AI3)</f>
        <v>1.0305388515505247</v>
      </c>
      <c r="AS3" s="2">
        <v>9193</v>
      </c>
      <c r="AT3" s="156">
        <f t="shared" si="3"/>
        <v>1.0839523641080062</v>
      </c>
      <c r="AU3" s="2">
        <v>8813</v>
      </c>
      <c r="AV3" s="156">
        <f t="shared" si="3"/>
        <v>1.0391463270840702</v>
      </c>
      <c r="AW3" s="2">
        <v>7758</v>
      </c>
      <c r="AX3" s="156">
        <f t="shared" si="3"/>
        <v>0.9147506190307747</v>
      </c>
      <c r="AY3" s="2">
        <v>9196</v>
      </c>
      <c r="AZ3" s="2"/>
      <c r="BA3" s="2">
        <v>5085</v>
      </c>
      <c r="BB3" s="2"/>
      <c r="BC3" s="10">
        <v>6830</v>
      </c>
      <c r="BE3" s="10">
        <v>8132</v>
      </c>
      <c r="BG3" s="10">
        <v>7151</v>
      </c>
      <c r="BI3" s="10">
        <v>7277</v>
      </c>
      <c r="BK3" s="10">
        <v>7146</v>
      </c>
      <c r="BM3" s="10">
        <v>7607</v>
      </c>
      <c r="BO3" s="10">
        <v>7126</v>
      </c>
      <c r="BQ3" s="10">
        <v>6682</v>
      </c>
      <c r="BS3" s="10">
        <v>7642</v>
      </c>
      <c r="BU3" s="10">
        <v>8713</v>
      </c>
      <c r="BW3" s="10">
        <v>7503</v>
      </c>
      <c r="BY3" s="10">
        <v>6759</v>
      </c>
      <c r="CA3" s="10">
        <v>10395</v>
      </c>
      <c r="CC3" s="10">
        <v>9023</v>
      </c>
      <c r="CE3" s="10">
        <v>7408</v>
      </c>
      <c r="CG3" s="10">
        <v>8865</v>
      </c>
      <c r="CI3" s="10">
        <v>9130</v>
      </c>
      <c r="CK3" s="10">
        <v>7285</v>
      </c>
      <c r="CM3" s="10">
        <v>6623</v>
      </c>
      <c r="CN3" s="10" t="s">
        <v>1718</v>
      </c>
    </row>
    <row r="4" spans="1:92" s="10" customFormat="1" ht="17.25" customHeight="1" thickBot="1">
      <c r="A4" s="119">
        <v>3</v>
      </c>
      <c r="B4" s="122" t="s">
        <v>139</v>
      </c>
      <c r="C4" s="121" t="str">
        <f>E4</f>
        <v>{"searchDossierOrKlient":p.DossierName1,"resultType":"Dossiers"}</v>
      </c>
      <c r="D4" s="2"/>
      <c r="E4" s="12" t="str">
        <f>F4&amp;G4&amp;H4&amp;I4&amp;J4&amp;K4&amp;L4&amp;M4&amp;N4&amp;O4&amp;P4&amp;Q4&amp;R4&amp;S4&amp;T4&amp;U4&amp;V4&amp;W4</f>
        <v>{"searchDossierOrKlient":p.DossierName1,"resultType":"Dossiers"}</v>
      </c>
      <c r="F4" s="2" t="s">
        <v>140</v>
      </c>
      <c r="G4" s="2" t="s">
        <v>449</v>
      </c>
      <c r="H4" s="2" t="s">
        <v>623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>
        <v>11515</v>
      </c>
      <c r="AJ4" s="2">
        <v>11857</v>
      </c>
      <c r="AK4" s="2">
        <v>10777</v>
      </c>
      <c r="AL4" s="156">
        <f t="shared" si="0"/>
        <v>0.93590968302214506</v>
      </c>
      <c r="AM4" s="2">
        <v>11053</v>
      </c>
      <c r="AN4" s="156">
        <f t="shared" si="1"/>
        <v>0.95987841945288754</v>
      </c>
      <c r="AO4" s="2">
        <v>11011</v>
      </c>
      <c r="AP4" s="156">
        <f t="shared" si="2"/>
        <v>0.95623100303951369</v>
      </c>
      <c r="AQ4" s="2">
        <v>10696</v>
      </c>
      <c r="AR4" s="156">
        <f t="shared" si="3"/>
        <v>0.92887537993920977</v>
      </c>
      <c r="AS4" s="2">
        <v>2471</v>
      </c>
      <c r="AT4" s="156">
        <f t="shared" si="3"/>
        <v>0.21458966565349544</v>
      </c>
      <c r="AU4" s="2">
        <v>2506</v>
      </c>
      <c r="AV4" s="156">
        <f t="shared" si="3"/>
        <v>0.21762917933130699</v>
      </c>
      <c r="AW4" s="2">
        <v>4695</v>
      </c>
      <c r="AX4" s="156">
        <f t="shared" si="3"/>
        <v>0.40772904906643509</v>
      </c>
      <c r="AY4" s="2">
        <v>5144</v>
      </c>
      <c r="AZ4" s="2"/>
      <c r="BA4" s="2">
        <v>4809</v>
      </c>
      <c r="BB4" s="2"/>
      <c r="BC4" s="10">
        <v>4801</v>
      </c>
      <c r="BE4" s="10">
        <v>5530</v>
      </c>
      <c r="BG4" s="10">
        <v>5151</v>
      </c>
      <c r="BI4" s="10">
        <v>5386</v>
      </c>
      <c r="BK4" s="10">
        <v>5355</v>
      </c>
      <c r="BM4" s="10">
        <v>2565</v>
      </c>
      <c r="BO4" s="10">
        <v>2961</v>
      </c>
      <c r="BQ4" s="10">
        <v>2927</v>
      </c>
      <c r="BS4" s="10">
        <v>5292</v>
      </c>
      <c r="BU4" s="10">
        <v>5264</v>
      </c>
      <c r="BW4" s="10">
        <v>5431</v>
      </c>
      <c r="BY4" s="10">
        <v>8238</v>
      </c>
      <c r="CA4" s="10">
        <v>6267</v>
      </c>
      <c r="CC4" s="10">
        <v>4596</v>
      </c>
      <c r="CE4" s="10">
        <v>4835</v>
      </c>
      <c r="CG4" s="10">
        <v>6019</v>
      </c>
      <c r="CI4" s="10">
        <v>4522</v>
      </c>
      <c r="CK4" s="10">
        <v>4911</v>
      </c>
      <c r="CM4" s="10">
        <v>4529</v>
      </c>
      <c r="CN4" s="10" t="s">
        <v>1718</v>
      </c>
    </row>
    <row r="5" spans="1:92" s="304" customFormat="1" ht="20.25" customHeight="1" thickBot="1">
      <c r="A5" s="288">
        <v>4</v>
      </c>
      <c r="B5" s="306" t="s">
        <v>439</v>
      </c>
      <c r="C5" s="329" t="str">
        <f ca="1">E5</f>
        <v>{"vorlage":"IIZ Formular","sprache":"Deutsch","titel":"Wunderbar","klient":`${p.FamilyName1}, ${p.ManFirstName1}`,"adresse":"Wohnsituation: Strasse_743 41, 3053 Münchenbuchsee"}</v>
      </c>
      <c r="D5" s="289" t="s">
        <v>28</v>
      </c>
      <c r="E5" s="329" t="str">
        <f ca="1">F5&amp;G5&amp;H5&amp;I5&amp;J5&amp;K5&amp;L5&amp;M5&amp;N5&amp;O5&amp;P5&amp;Q5&amp;R5&amp;S5&amp;T5&amp;U5&amp;V5&amp;W5&amp;X5&amp;Y5&amp;Z5</f>
        <v>{"vorlage":"IIZ Formular","sprache":"Deutsch","titel":"Wunderbar","klient":`${p.FamilyName1}, ${p.ManFirstName1}`,"adresse":"Wohnsituation: Strasse_743 41, 3053 Münchenbuchsee"}</v>
      </c>
      <c r="F5" s="330" t="s">
        <v>440</v>
      </c>
      <c r="G5" s="331" t="s">
        <v>747</v>
      </c>
      <c r="H5" s="319" t="s">
        <v>748</v>
      </c>
      <c r="I5" s="319" t="s">
        <v>85</v>
      </c>
      <c r="J5" s="319" t="s">
        <v>442</v>
      </c>
      <c r="K5" s="319" t="s">
        <v>443</v>
      </c>
      <c r="L5" s="319" t="s">
        <v>444</v>
      </c>
      <c r="M5" s="332" t="s">
        <v>492</v>
      </c>
      <c r="N5" s="319" t="s">
        <v>445</v>
      </c>
      <c r="O5" s="289" t="str">
        <f ca="1">"Wohnsituation: "&amp;N6&amp;" "&amp;O6&amp;", "&amp;P6</f>
        <v>Wohnsituation: Strasse_743 41, 3053 Münchenbuchsee</v>
      </c>
      <c r="P5" s="321" t="s">
        <v>37</v>
      </c>
      <c r="Q5" s="289"/>
      <c r="R5" s="319"/>
      <c r="S5" s="289"/>
      <c r="T5" s="319"/>
      <c r="U5" s="289"/>
      <c r="V5" s="320"/>
      <c r="W5" s="289"/>
      <c r="X5" s="289"/>
      <c r="Y5" s="289"/>
      <c r="Z5" s="289"/>
      <c r="AA5" s="289"/>
      <c r="AB5" s="289"/>
      <c r="AC5" s="289"/>
      <c r="AD5" s="289"/>
      <c r="AE5" s="289"/>
      <c r="AF5" s="289"/>
      <c r="AG5" s="289"/>
      <c r="AH5" s="289"/>
      <c r="AI5" s="289">
        <v>6975</v>
      </c>
      <c r="AJ5" s="289">
        <v>6788</v>
      </c>
      <c r="AK5" s="289">
        <v>8285</v>
      </c>
      <c r="AL5" s="290">
        <f t="shared" si="0"/>
        <v>1.1878136200716847</v>
      </c>
      <c r="AM5" s="289">
        <v>7182</v>
      </c>
      <c r="AN5" s="290">
        <f t="shared" si="1"/>
        <v>1.0296774193548388</v>
      </c>
      <c r="AO5" s="289">
        <v>7084</v>
      </c>
      <c r="AP5" s="290">
        <f t="shared" si="2"/>
        <v>1.0156272401433692</v>
      </c>
      <c r="AQ5" s="289">
        <v>7332</v>
      </c>
      <c r="AR5" s="290">
        <f t="shared" si="3"/>
        <v>1.0511827956989248</v>
      </c>
      <c r="AS5" s="289">
        <v>7309</v>
      </c>
      <c r="AT5" s="290">
        <f t="shared" si="3"/>
        <v>1.0478853046594983</v>
      </c>
      <c r="AU5" s="291">
        <v>0</v>
      </c>
      <c r="AV5" s="290">
        <f t="shared" si="3"/>
        <v>0</v>
      </c>
      <c r="AW5" s="291">
        <v>4221</v>
      </c>
      <c r="AX5" s="290">
        <f t="shared" si="3"/>
        <v>0.60516129032258059</v>
      </c>
      <c r="AY5" s="291">
        <v>5105</v>
      </c>
      <c r="AZ5" s="291"/>
      <c r="BA5" s="291">
        <v>4822</v>
      </c>
      <c r="BB5" s="291"/>
      <c r="BC5" s="304">
        <v>6784</v>
      </c>
      <c r="BE5" s="304">
        <v>4700</v>
      </c>
      <c r="BG5" s="304">
        <v>5055</v>
      </c>
      <c r="BI5" s="304">
        <v>4900</v>
      </c>
      <c r="BK5" s="304">
        <v>4943</v>
      </c>
      <c r="BM5" s="304">
        <v>5024</v>
      </c>
      <c r="BO5" s="304">
        <v>5030</v>
      </c>
      <c r="BQ5" s="304">
        <v>3989</v>
      </c>
      <c r="BS5" s="304">
        <v>10505</v>
      </c>
      <c r="BU5" s="304">
        <v>10444</v>
      </c>
      <c r="BW5" s="304">
        <v>9359</v>
      </c>
      <c r="BY5" s="304">
        <v>6900</v>
      </c>
      <c r="CA5" s="304">
        <v>5980</v>
      </c>
      <c r="CC5" s="304">
        <v>7621</v>
      </c>
      <c r="CE5" s="304">
        <v>5640</v>
      </c>
      <c r="CG5" s="304">
        <v>4463</v>
      </c>
      <c r="CI5" s="304">
        <v>9107</v>
      </c>
      <c r="CK5" s="304">
        <v>10351</v>
      </c>
      <c r="CM5" s="304">
        <v>9394</v>
      </c>
      <c r="CN5" s="304" t="s">
        <v>1718</v>
      </c>
    </row>
    <row r="6" spans="1:92">
      <c r="C6" s="333" t="s">
        <v>753</v>
      </c>
      <c r="N6" s="2" t="str">
        <f ca="1">'001a'!I8</f>
        <v>Strasse_743</v>
      </c>
      <c r="O6" s="2">
        <f ca="1">'001a'!K8</f>
        <v>41</v>
      </c>
      <c r="P6" s="2" t="str">
        <f>'001a'!M8</f>
        <v>3053 Münchenbuchsee</v>
      </c>
      <c r="AL6" s="156"/>
      <c r="AN6" s="156"/>
      <c r="AP6" s="156"/>
      <c r="AR6" s="156"/>
      <c r="AT6" s="156"/>
      <c r="AV6" s="156"/>
      <c r="AX6" s="156"/>
    </row>
    <row r="7" spans="1:92">
      <c r="B7" s="1"/>
      <c r="I7" s="333" t="s">
        <v>753</v>
      </c>
      <c r="AL7" s="2"/>
      <c r="AN7" s="2"/>
      <c r="AP7" s="2"/>
      <c r="AR7" s="2"/>
      <c r="AT7" s="2"/>
      <c r="AV7" s="2"/>
      <c r="AX7" s="2"/>
    </row>
    <row r="8" spans="1:92" ht="30" customHeight="1">
      <c r="B8" s="2" t="s">
        <v>750</v>
      </c>
      <c r="AL8" s="2"/>
      <c r="AN8" s="2"/>
      <c r="AP8" s="2"/>
      <c r="AR8" s="2"/>
      <c r="AT8" s="2"/>
      <c r="AV8" s="2"/>
      <c r="AX8" s="2"/>
    </row>
    <row r="9" spans="1:92">
      <c r="B9" s="30" t="s">
        <v>751</v>
      </c>
      <c r="AL9" s="2"/>
      <c r="AN9" s="2"/>
      <c r="AP9" s="2"/>
      <c r="AR9" s="2"/>
      <c r="AT9" s="2"/>
      <c r="AV9" s="2"/>
      <c r="AX9" s="2"/>
    </row>
    <row r="10" spans="1:92">
      <c r="C10" s="2" t="s">
        <v>754</v>
      </c>
      <c r="AL10" s="2"/>
      <c r="AN10" s="2"/>
      <c r="AP10" s="2"/>
      <c r="AR10" s="2"/>
      <c r="AT10" s="2"/>
      <c r="AV10" s="2"/>
      <c r="AX10" s="2"/>
    </row>
  </sheetData>
  <conditionalFormatting sqref="AL2:AL145 AN2:AN145 AP2:AP145 AR2:AR145 AT2:AT145 AV2:AV145 AX2:AX145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A1:BZ9"/>
  <sheetViews>
    <sheetView zoomScaleNormal="100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B5" sqref="B5"/>
    </sheetView>
  </sheetViews>
  <sheetFormatPr defaultColWidth="9.140625" defaultRowHeight="14.25" customHeight="1"/>
  <cols>
    <col min="1" max="1" width="9.140625" style="1" customWidth="1"/>
    <col min="2" max="2" width="49" style="2" customWidth="1"/>
    <col min="3" max="3" width="193.4257812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20.5703125" style="2" customWidth="1"/>
    <col min="11" max="11" width="31.7109375" style="2" customWidth="1"/>
    <col min="12" max="12" width="36.5703125" style="2" customWidth="1"/>
    <col min="13" max="13" width="9.140625" style="2" customWidth="1"/>
    <col min="14" max="14" width="10.7109375" style="2" customWidth="1"/>
    <col min="15" max="17" width="9.140625" style="2" customWidth="1"/>
    <col min="18" max="18" width="22.5703125" style="2" customWidth="1"/>
    <col min="19" max="19" width="13.5703125" style="2" customWidth="1"/>
    <col min="20" max="25" width="11.85546875" style="2" customWidth="1"/>
    <col min="26" max="26" width="11.85546875" style="12" customWidth="1"/>
    <col min="27" max="27" width="11.85546875" style="2" customWidth="1"/>
    <col min="28" max="28" width="11.85546875" style="12" customWidth="1"/>
    <col min="29" max="29" width="11.85546875" style="2" customWidth="1"/>
    <col min="30" max="30" width="11.85546875" style="12" customWidth="1"/>
    <col min="31" max="31" width="11.85546875" style="2" customWidth="1"/>
    <col min="32" max="32" width="11.85546875" style="12" customWidth="1"/>
    <col min="33" max="33" width="11.85546875" style="2" customWidth="1"/>
    <col min="34" max="34" width="13.7109375" style="12" customWidth="1"/>
    <col min="35" max="35" width="13.7109375" style="2" customWidth="1"/>
    <col min="36" max="36" width="13.7109375" style="12" customWidth="1"/>
    <col min="37" max="37" width="13.7109375" style="2" customWidth="1"/>
    <col min="38" max="38" width="13.7109375" style="12" customWidth="1"/>
    <col min="39" max="39" width="13.7109375" style="2" customWidth="1"/>
    <col min="40" max="40" width="13.7109375" style="12" customWidth="1"/>
    <col min="41" max="41" width="13.7109375" style="2" customWidth="1"/>
    <col min="42" max="42" width="13.7109375" style="12" customWidth="1"/>
    <col min="43" max="43" width="20" style="2" customWidth="1"/>
    <col min="44" max="44" width="50" style="2" customWidth="1"/>
    <col min="45" max="45" width="20" style="2" customWidth="1"/>
    <col min="46" max="46" width="50" style="2" customWidth="1"/>
    <col min="47" max="47" width="20" style="2" customWidth="1"/>
    <col min="48" max="48" width="50" style="2" customWidth="1"/>
    <col min="49" max="49" width="20" style="2" customWidth="1"/>
    <col min="50" max="50" width="50" style="2" customWidth="1"/>
    <col min="51" max="51" width="20" style="2" customWidth="1"/>
    <col min="52" max="52" width="50" style="2" customWidth="1"/>
    <col min="53" max="53" width="20" style="2" customWidth="1"/>
    <col min="54" max="54" width="50" style="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16384" width="9.140625" style="2"/>
  </cols>
  <sheetData>
    <row r="1" spans="1:78" ht="14.2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4*60*1000*SpeedFaktor</f>
        <v>240000</v>
      </c>
      <c r="H1" s="2">
        <v>10</v>
      </c>
      <c r="T1" s="2" t="s">
        <v>5</v>
      </c>
      <c r="U1" s="2" t="s">
        <v>657</v>
      </c>
      <c r="V1" s="2" t="s">
        <v>676</v>
      </c>
      <c r="W1" s="2" t="s">
        <v>658</v>
      </c>
      <c r="X1" s="2" t="s">
        <v>489</v>
      </c>
      <c r="Y1" s="2" t="s">
        <v>10</v>
      </c>
      <c r="Z1" s="24" t="s">
        <v>8</v>
      </c>
      <c r="AA1" s="2" t="s">
        <v>11</v>
      </c>
      <c r="AB1" s="24" t="s">
        <v>8</v>
      </c>
      <c r="AC1" s="2" t="s">
        <v>12</v>
      </c>
      <c r="AD1" s="24" t="s">
        <v>8</v>
      </c>
      <c r="AE1" s="705" t="s">
        <v>13</v>
      </c>
      <c r="AF1" s="24" t="s">
        <v>8</v>
      </c>
      <c r="AG1" s="705" t="s">
        <v>65</v>
      </c>
      <c r="AH1" s="24" t="s">
        <v>8</v>
      </c>
      <c r="AI1" s="705" t="s">
        <v>17</v>
      </c>
      <c r="AJ1" s="24" t="s">
        <v>8</v>
      </c>
      <c r="AK1" s="705" t="s">
        <v>1285</v>
      </c>
      <c r="AL1" s="24" t="s">
        <v>8</v>
      </c>
      <c r="AM1" s="705" t="s">
        <v>1286</v>
      </c>
      <c r="AN1" s="24" t="s">
        <v>8</v>
      </c>
      <c r="AO1" s="525" t="s">
        <v>1303</v>
      </c>
      <c r="AP1" s="24" t="s">
        <v>8</v>
      </c>
      <c r="AQ1" s="830" t="s">
        <v>1311</v>
      </c>
      <c r="AR1" s="831" t="s">
        <v>572</v>
      </c>
      <c r="AS1" s="956" t="s">
        <v>1318</v>
      </c>
      <c r="AT1" s="957" t="s">
        <v>572</v>
      </c>
      <c r="AU1" s="1103" t="s">
        <v>1324</v>
      </c>
      <c r="AV1" s="1104" t="s">
        <v>572</v>
      </c>
      <c r="AW1" s="1306" t="s">
        <v>1341</v>
      </c>
      <c r="AX1" s="1307" t="s">
        <v>572</v>
      </c>
      <c r="AY1" s="1558" t="s">
        <v>1363</v>
      </c>
      <c r="AZ1" s="1559" t="s">
        <v>572</v>
      </c>
      <c r="BA1" s="1702" t="s">
        <v>1368</v>
      </c>
      <c r="BB1" s="1703" t="s">
        <v>572</v>
      </c>
      <c r="BC1" s="1843" t="s">
        <v>1372</v>
      </c>
      <c r="BD1" s="1844" t="s">
        <v>572</v>
      </c>
      <c r="BE1" s="2117" t="s">
        <v>1397</v>
      </c>
      <c r="BF1" s="2118" t="s">
        <v>572</v>
      </c>
      <c r="BG1" s="2307" t="s">
        <v>1421</v>
      </c>
      <c r="BH1" s="2308" t="s">
        <v>572</v>
      </c>
      <c r="BI1" s="2468" t="s">
        <v>1434</v>
      </c>
      <c r="BJ1" s="2469" t="s">
        <v>572</v>
      </c>
      <c r="BK1" s="2629" t="s">
        <v>1442</v>
      </c>
      <c r="BL1" s="2630" t="s">
        <v>572</v>
      </c>
      <c r="BM1" s="2814" t="s">
        <v>1460</v>
      </c>
      <c r="BN1" s="2815" t="s">
        <v>572</v>
      </c>
      <c r="BO1" s="2996" t="s">
        <v>1472</v>
      </c>
      <c r="BP1" s="2997" t="s">
        <v>572</v>
      </c>
      <c r="BQ1" s="3184" t="s">
        <v>1492</v>
      </c>
      <c r="BR1" s="3185" t="s">
        <v>572</v>
      </c>
      <c r="BS1" s="3360" t="s">
        <v>1503</v>
      </c>
      <c r="BT1" s="3361" t="s">
        <v>572</v>
      </c>
      <c r="BU1" s="3540" t="s">
        <v>1519</v>
      </c>
      <c r="BV1" s="3541" t="s">
        <v>572</v>
      </c>
      <c r="BW1" s="3832" t="s">
        <v>1666</v>
      </c>
      <c r="BX1" s="3833" t="s">
        <v>572</v>
      </c>
      <c r="BY1" s="4053" t="s">
        <v>1717</v>
      </c>
      <c r="BZ1" s="4054" t="s">
        <v>572</v>
      </c>
    </row>
    <row r="2" spans="1:78" s="10" customFormat="1" ht="14.25" customHeight="1">
      <c r="A2" s="119">
        <v>1</v>
      </c>
      <c r="B2" s="122" t="s">
        <v>21</v>
      </c>
      <c r="C2" s="589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>
        <v>2401</v>
      </c>
      <c r="V2" s="2">
        <v>2082</v>
      </c>
      <c r="W2" s="2">
        <v>2059</v>
      </c>
      <c r="X2" s="2">
        <v>1843</v>
      </c>
      <c r="Y2" s="2">
        <v>1613</v>
      </c>
      <c r="Z2" s="156">
        <f>Y2/($U2)</f>
        <v>0.67180341524364851</v>
      </c>
      <c r="AA2" s="2">
        <v>1781</v>
      </c>
      <c r="AB2" s="156">
        <f>AA2/($U2)</f>
        <v>0.7417742607246981</v>
      </c>
      <c r="AC2" s="2">
        <v>1943</v>
      </c>
      <c r="AD2" s="156">
        <f>AC2/($U2)</f>
        <v>0.80924614743856726</v>
      </c>
      <c r="AE2" s="2">
        <v>1875</v>
      </c>
      <c r="AF2" s="156">
        <f>AE2/($U2)</f>
        <v>0.78092461474385677</v>
      </c>
      <c r="AG2" s="2">
        <v>1952</v>
      </c>
      <c r="AH2" s="156">
        <f>AG2/($U2)</f>
        <v>0.81299458558933779</v>
      </c>
      <c r="AI2" s="2">
        <v>1320</v>
      </c>
      <c r="AJ2" s="156">
        <f>AI2/($U2)</f>
        <v>0.54977092877967515</v>
      </c>
      <c r="AK2" s="2">
        <v>1705</v>
      </c>
      <c r="AL2" s="156">
        <f>AK2/($U2)</f>
        <v>0.71012078300708037</v>
      </c>
      <c r="AM2" s="2">
        <v>549</v>
      </c>
      <c r="AN2" s="156">
        <f>AM2/($U2)</f>
        <v>0.22865472719700125</v>
      </c>
      <c r="AO2" s="10">
        <v>1062</v>
      </c>
      <c r="AP2" s="156">
        <f>AO2/($U2)</f>
        <v>0.44231570179092045</v>
      </c>
      <c r="AQ2" s="10">
        <v>1433</v>
      </c>
      <c r="AS2" s="10">
        <v>1197</v>
      </c>
      <c r="AU2" s="10">
        <v>1272</v>
      </c>
      <c r="AW2" s="10">
        <v>1197</v>
      </c>
      <c r="AY2" s="10">
        <v>1346</v>
      </c>
      <c r="BA2" s="10">
        <v>1208</v>
      </c>
      <c r="BC2" s="10">
        <v>1277</v>
      </c>
      <c r="BE2" s="10">
        <v>1611</v>
      </c>
      <c r="BG2" s="10">
        <v>1730</v>
      </c>
      <c r="BI2" s="10">
        <v>1519</v>
      </c>
      <c r="BK2" s="10">
        <v>1198</v>
      </c>
      <c r="BM2" s="10">
        <v>1124</v>
      </c>
      <c r="BO2" s="10">
        <v>1619</v>
      </c>
      <c r="BQ2" s="10">
        <v>1059</v>
      </c>
      <c r="BS2" s="10">
        <v>1112</v>
      </c>
      <c r="BU2" s="10">
        <v>1155</v>
      </c>
      <c r="BW2" s="10">
        <v>864</v>
      </c>
      <c r="BY2" s="10">
        <v>600</v>
      </c>
      <c r="BZ2" s="10" t="s">
        <v>1718</v>
      </c>
    </row>
    <row r="3" spans="1:78" s="10" customFormat="1" ht="14.25" customHeight="1">
      <c r="A3" s="119">
        <v>2</v>
      </c>
      <c r="B3" s="122" t="s">
        <v>25</v>
      </c>
      <c r="C3" s="121" t="s">
        <v>633</v>
      </c>
      <c r="D3" s="2"/>
      <c r="E3" s="12"/>
      <c r="F3" s="2"/>
      <c r="G3" s="2"/>
      <c r="H3" s="2"/>
      <c r="I3" s="2"/>
      <c r="J3" s="2"/>
      <c r="K3" s="2"/>
      <c r="L3" s="2"/>
      <c r="M3" s="2" t="s">
        <v>752</v>
      </c>
      <c r="N3" s="2"/>
      <c r="O3" s="2"/>
      <c r="P3" s="2"/>
      <c r="Q3" s="2"/>
      <c r="R3" s="2"/>
      <c r="S3" s="2"/>
      <c r="T3" s="2"/>
      <c r="U3" s="2">
        <v>8481</v>
      </c>
      <c r="V3" s="2">
        <v>6710</v>
      </c>
      <c r="W3" s="2">
        <v>6740</v>
      </c>
      <c r="X3" s="2">
        <v>9797</v>
      </c>
      <c r="Y3" s="2">
        <v>9584</v>
      </c>
      <c r="Z3" s="156">
        <f t="shared" ref="Z3:AB5" si="0">Y3/($U3)</f>
        <v>1.1300554179931612</v>
      </c>
      <c r="AA3" s="2">
        <v>9312</v>
      </c>
      <c r="AB3" s="156">
        <f t="shared" si="0"/>
        <v>1.0979837283339229</v>
      </c>
      <c r="AC3" s="2">
        <v>8982</v>
      </c>
      <c r="AD3" s="156">
        <f t="shared" ref="AD3" si="1">AC3/($U3)</f>
        <v>1.0590732224973469</v>
      </c>
      <c r="AE3" s="2">
        <v>9571</v>
      </c>
      <c r="AF3" s="156">
        <f t="shared" ref="AF3:AP3" si="2">AE3/($U3)</f>
        <v>1.1285225798844476</v>
      </c>
      <c r="AG3" s="2">
        <v>10609</v>
      </c>
      <c r="AH3" s="156">
        <f t="shared" si="2"/>
        <v>1.2509138073340409</v>
      </c>
      <c r="AI3" s="2">
        <v>7701</v>
      </c>
      <c r="AJ3" s="156">
        <f t="shared" si="2"/>
        <v>0.90802971347718431</v>
      </c>
      <c r="AK3" s="2">
        <v>11362</v>
      </c>
      <c r="AL3" s="156">
        <f t="shared" si="2"/>
        <v>1.3397005070156822</v>
      </c>
      <c r="AM3" s="2">
        <v>5407</v>
      </c>
      <c r="AN3" s="156">
        <f t="shared" si="2"/>
        <v>0.63754274260110833</v>
      </c>
      <c r="AO3" s="10">
        <v>7520</v>
      </c>
      <c r="AP3" s="156">
        <f t="shared" si="2"/>
        <v>0.88668789057894115</v>
      </c>
      <c r="AQ3" s="10">
        <v>7928</v>
      </c>
      <c r="AS3" s="10">
        <v>7222</v>
      </c>
      <c r="AU3" s="10">
        <v>7408</v>
      </c>
      <c r="AW3" s="10">
        <v>7003</v>
      </c>
      <c r="AY3" s="10">
        <v>7916</v>
      </c>
      <c r="BA3" s="10">
        <v>7053</v>
      </c>
      <c r="BC3" s="10">
        <v>6560</v>
      </c>
      <c r="BE3" s="10">
        <v>6729</v>
      </c>
      <c r="BG3" s="10">
        <v>6775</v>
      </c>
      <c r="BI3" s="10">
        <v>6501</v>
      </c>
      <c r="BK3" s="10">
        <v>6973</v>
      </c>
      <c r="BM3" s="10">
        <v>11825</v>
      </c>
      <c r="BO3" s="10">
        <v>8228</v>
      </c>
      <c r="BQ3" s="10">
        <v>8696</v>
      </c>
      <c r="BS3" s="10">
        <v>9057</v>
      </c>
      <c r="BU3" s="10">
        <v>8653</v>
      </c>
      <c r="BW3" s="10">
        <v>8711</v>
      </c>
      <c r="BY3" s="10">
        <v>7960</v>
      </c>
      <c r="BZ3" s="10" t="s">
        <v>1718</v>
      </c>
    </row>
    <row r="4" spans="1:78" s="10" customFormat="1" ht="17.25" customHeight="1" thickBot="1">
      <c r="A4" s="119">
        <v>4</v>
      </c>
      <c r="B4" s="122" t="s">
        <v>139</v>
      </c>
      <c r="C4" s="121" t="str">
        <f>E4</f>
        <v>{"searchDossierOrKlient":p.DossierName1,"resultType":"Dossiers"}</v>
      </c>
      <c r="D4" s="2"/>
      <c r="E4" s="12" t="str">
        <f>F4&amp;G4&amp;H4&amp;I4&amp;J4&amp;K4&amp;L4&amp;M4&amp;N4&amp;O4&amp;R4&amp;S4</f>
        <v>{"searchDossierOrKlient":p.DossierName1,"resultType":"Dossiers"}</v>
      </c>
      <c r="F4" s="2" t="s">
        <v>140</v>
      </c>
      <c r="G4" s="2" t="s">
        <v>449</v>
      </c>
      <c r="H4" s="2" t="s">
        <v>623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>
        <v>11515</v>
      </c>
      <c r="V4" s="2">
        <v>11895</v>
      </c>
      <c r="W4" s="2">
        <v>11857</v>
      </c>
      <c r="X4" s="2">
        <v>10862</v>
      </c>
      <c r="Y4" s="2">
        <v>10863</v>
      </c>
      <c r="Z4" s="156">
        <f t="shared" si="0"/>
        <v>0.94337820234476766</v>
      </c>
      <c r="AA4" s="2">
        <v>11061</v>
      </c>
      <c r="AB4" s="156">
        <f t="shared" si="0"/>
        <v>0.96057316543638727</v>
      </c>
      <c r="AC4" s="2">
        <v>11073</v>
      </c>
      <c r="AD4" s="156">
        <f t="shared" ref="AD4" si="3">AC4/($U4)</f>
        <v>0.96161528441163702</v>
      </c>
      <c r="AE4" s="2">
        <v>10607</v>
      </c>
      <c r="AF4" s="156">
        <f t="shared" ref="AF4:AP4" si="4">AE4/($U4)</f>
        <v>0.92114633087277464</v>
      </c>
      <c r="AG4" s="2">
        <v>2595</v>
      </c>
      <c r="AH4" s="156">
        <f t="shared" si="4"/>
        <v>0.22535822839774208</v>
      </c>
      <c r="AI4" s="2">
        <v>5192</v>
      </c>
      <c r="AJ4" s="156">
        <f t="shared" si="4"/>
        <v>0.45089014329135912</v>
      </c>
      <c r="AK4" s="2">
        <v>5350</v>
      </c>
      <c r="AL4" s="156">
        <f t="shared" si="4"/>
        <v>0.46461137646547979</v>
      </c>
      <c r="AM4" s="2">
        <v>4936</v>
      </c>
      <c r="AN4" s="156">
        <f t="shared" si="4"/>
        <v>0.42865827181936605</v>
      </c>
      <c r="AO4" s="10">
        <v>5361</v>
      </c>
      <c r="AP4" s="156">
        <f t="shared" si="4"/>
        <v>0.46556665219279203</v>
      </c>
      <c r="AQ4" s="10">
        <v>5520</v>
      </c>
      <c r="AS4" s="10">
        <v>5120</v>
      </c>
      <c r="AU4" s="10">
        <v>5479</v>
      </c>
      <c r="AW4" s="10">
        <v>5530</v>
      </c>
      <c r="AY4" s="10">
        <v>2814</v>
      </c>
      <c r="BA4" s="10">
        <v>2630</v>
      </c>
      <c r="BC4" s="10">
        <v>3016</v>
      </c>
      <c r="BE4" s="10">
        <v>5289</v>
      </c>
      <c r="BG4" s="10">
        <v>5247</v>
      </c>
      <c r="BI4" s="10">
        <v>5351</v>
      </c>
      <c r="BK4" s="10">
        <v>8142</v>
      </c>
      <c r="BM4" s="10">
        <v>4664</v>
      </c>
      <c r="BO4" s="10">
        <v>4605</v>
      </c>
      <c r="BQ4" s="10">
        <v>4814</v>
      </c>
      <c r="BS4" s="10">
        <v>4654</v>
      </c>
      <c r="BU4" s="10">
        <v>4721</v>
      </c>
      <c r="BW4" s="10">
        <v>5915</v>
      </c>
      <c r="BY4" s="10">
        <v>4609</v>
      </c>
      <c r="BZ4" s="10" t="s">
        <v>1718</v>
      </c>
    </row>
    <row r="5" spans="1:78" s="304" customFormat="1" ht="19.5" customHeight="1" thickBot="1">
      <c r="A5" s="288">
        <v>5</v>
      </c>
      <c r="B5" s="306" t="s">
        <v>755</v>
      </c>
      <c r="C5" s="329" t="str">
        <f ca="1">E5</f>
        <v>{"vorlage":"Brief an Klientschaft","sprache":"Deutsch","titel":"Wunderbar dieser Titel","klient":`${p.FamilyName1}, ${p.ManFirstName1}`,"adresse":"Wohnsituation: Strasse_743 41, 3053 Münchenbuchsee","thema":"Allgemein"}</v>
      </c>
      <c r="D5" s="313" t="s">
        <v>28</v>
      </c>
      <c r="E5" s="329" t="str">
        <f ca="1">F5&amp;G5&amp;H5&amp;I5&amp;J5&amp;K5&amp;L5&amp;M5&amp;N5&amp;O5&amp;P5&amp;Q5&amp;R5&amp;S5</f>
        <v>{"vorlage":"Brief an Klientschaft","sprache":"Deutsch","titel":"Wunderbar dieser Titel","klient":`${p.FamilyName1}, ${p.ManFirstName1}`,"adresse":"Wohnsituation: Strasse_743 41, 3053 Münchenbuchsee","thema":"Allgemein"}</v>
      </c>
      <c r="F5" s="330" t="s">
        <v>440</v>
      </c>
      <c r="G5" s="331" t="s">
        <v>756</v>
      </c>
      <c r="H5" s="319" t="s">
        <v>748</v>
      </c>
      <c r="I5" s="319" t="s">
        <v>85</v>
      </c>
      <c r="J5" s="319" t="s">
        <v>442</v>
      </c>
      <c r="K5" s="319" t="s">
        <v>757</v>
      </c>
      <c r="L5" s="319" t="s">
        <v>444</v>
      </c>
      <c r="M5" s="332" t="s">
        <v>492</v>
      </c>
      <c r="N5" s="319" t="s">
        <v>445</v>
      </c>
      <c r="O5" s="313" t="str">
        <f ca="1">"Wohnsituation: "&amp;N6&amp;" "&amp;O6&amp;", "&amp;R6</f>
        <v>Wohnsituation: Strasse_743 41, 3053 Münchenbuchsee</v>
      </c>
      <c r="P5" s="313" t="s">
        <v>379</v>
      </c>
      <c r="Q5" s="313" t="s">
        <v>739</v>
      </c>
      <c r="R5" s="321" t="s">
        <v>37</v>
      </c>
      <c r="S5" s="313"/>
      <c r="T5" s="289"/>
      <c r="U5" s="313">
        <v>6975</v>
      </c>
      <c r="V5" s="313">
        <v>6523</v>
      </c>
      <c r="W5" s="313">
        <v>6788</v>
      </c>
      <c r="X5" s="313">
        <v>0</v>
      </c>
      <c r="Y5" s="289">
        <v>6887</v>
      </c>
      <c r="Z5" s="290">
        <f t="shared" si="0"/>
        <v>0.98738351254480283</v>
      </c>
      <c r="AA5" s="289">
        <v>6871</v>
      </c>
      <c r="AB5" s="290">
        <f t="shared" si="0"/>
        <v>0.985089605734767</v>
      </c>
      <c r="AC5" s="289">
        <v>6815</v>
      </c>
      <c r="AD5" s="290">
        <f t="shared" ref="AD5" si="5">AC5/($U5)</f>
        <v>0.9770609318996416</v>
      </c>
      <c r="AE5" s="289">
        <v>7164</v>
      </c>
      <c r="AF5" s="290">
        <f t="shared" ref="AF5:AP5" si="6">AE5/($U5)</f>
        <v>1.0270967741935484</v>
      </c>
      <c r="AG5" s="289">
        <v>7175</v>
      </c>
      <c r="AH5" s="290">
        <f t="shared" si="6"/>
        <v>1.0286738351254481</v>
      </c>
      <c r="AI5" s="291">
        <v>3251</v>
      </c>
      <c r="AJ5" s="290">
        <f t="shared" si="6"/>
        <v>0.46609318996415772</v>
      </c>
      <c r="AK5" s="291">
        <v>3928</v>
      </c>
      <c r="AL5" s="290">
        <f t="shared" si="6"/>
        <v>0.56315412186379932</v>
      </c>
      <c r="AM5" s="291">
        <v>3402</v>
      </c>
      <c r="AN5" s="290">
        <f t="shared" si="6"/>
        <v>0.48774193548387096</v>
      </c>
      <c r="AO5" s="304">
        <v>3895</v>
      </c>
      <c r="AP5" s="290">
        <f t="shared" si="6"/>
        <v>0.55842293906810037</v>
      </c>
      <c r="AQ5" s="304">
        <v>4133</v>
      </c>
      <c r="AS5" s="304">
        <v>4024</v>
      </c>
      <c r="AU5" s="304">
        <v>4514</v>
      </c>
      <c r="AW5" s="304">
        <v>3732</v>
      </c>
      <c r="AY5" s="1560">
        <v>0</v>
      </c>
      <c r="AZ5" s="1561" t="s">
        <v>1365</v>
      </c>
      <c r="BA5" s="304">
        <v>4213</v>
      </c>
      <c r="BC5" s="304">
        <v>4196</v>
      </c>
      <c r="BE5" s="304">
        <v>3608</v>
      </c>
      <c r="BG5" s="304">
        <v>4235</v>
      </c>
      <c r="BI5" s="304">
        <v>4947</v>
      </c>
      <c r="BK5" s="304">
        <v>3658</v>
      </c>
      <c r="BM5" s="304">
        <v>3814</v>
      </c>
      <c r="BO5" s="304">
        <v>3368</v>
      </c>
      <c r="BQ5" s="304">
        <v>3442</v>
      </c>
      <c r="BS5" s="304">
        <v>3522</v>
      </c>
      <c r="BU5" s="304">
        <v>4268</v>
      </c>
      <c r="BW5" s="304">
        <v>3834</v>
      </c>
      <c r="BY5" s="304">
        <v>3339</v>
      </c>
      <c r="BZ5" s="304" t="s">
        <v>1718</v>
      </c>
    </row>
    <row r="6" spans="1:78" ht="15.75" customHeight="1" thickBot="1">
      <c r="C6" s="333"/>
      <c r="N6" s="2" t="str">
        <f ca="1">'001a'!I8</f>
        <v>Strasse_743</v>
      </c>
      <c r="O6" s="2">
        <f ca="1">'001a'!K8</f>
        <v>41</v>
      </c>
      <c r="R6" s="2" t="str">
        <f>'001a'!M8</f>
        <v>3053 Münchenbuchsee</v>
      </c>
      <c r="X6" s="2">
        <v>323</v>
      </c>
      <c r="Z6" s="156"/>
      <c r="AB6" s="156"/>
      <c r="AD6" s="156"/>
      <c r="AF6" s="156"/>
      <c r="AH6" s="156"/>
      <c r="AJ6" s="156"/>
      <c r="AL6" s="156"/>
      <c r="AN6" s="156"/>
      <c r="AP6" s="156"/>
    </row>
    <row r="7" spans="1:78">
      <c r="B7" s="4193" t="s">
        <v>755</v>
      </c>
      <c r="C7" s="4196"/>
      <c r="I7" s="333"/>
      <c r="Z7" s="2"/>
      <c r="AB7" s="2"/>
      <c r="AD7" s="2"/>
      <c r="AF7" s="2"/>
      <c r="AH7" s="2"/>
      <c r="AJ7" s="2"/>
      <c r="AL7" s="2"/>
      <c r="AN7" s="2"/>
      <c r="AP7" s="2"/>
    </row>
    <row r="8" spans="1:78" ht="15.75" customHeight="1">
      <c r="B8" s="4194"/>
      <c r="C8" s="4197"/>
      <c r="Z8" s="2"/>
      <c r="AB8" s="2"/>
      <c r="AD8" s="2"/>
      <c r="AF8" s="2"/>
      <c r="AH8" s="2"/>
      <c r="AJ8" s="2"/>
      <c r="AL8" s="2"/>
      <c r="AN8" s="2"/>
      <c r="AP8" s="2"/>
    </row>
    <row r="9" spans="1:78" ht="15.75" customHeight="1">
      <c r="B9" s="4195"/>
      <c r="C9" s="334" t="s">
        <v>758</v>
      </c>
      <c r="Z9" s="2"/>
      <c r="AB9" s="2"/>
      <c r="AD9" s="2"/>
      <c r="AF9" s="2"/>
      <c r="AH9" s="2"/>
      <c r="AJ9" s="2"/>
      <c r="AL9" s="2"/>
      <c r="AN9" s="2"/>
      <c r="AP9" s="2"/>
    </row>
  </sheetData>
  <mergeCells count="2">
    <mergeCell ref="B7:B9"/>
    <mergeCell ref="C7:C8"/>
  </mergeCells>
  <conditionalFormatting sqref="Z2:Z145 AB2:AB145 AD2:AD145 AF2:AF145 AH2:AH145 AJ2:AJ145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L2:AL145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N2:AN145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P2:AP145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2032-2741-4DC5-999D-0FFB757A6AB3}">
  <sheetPr>
    <tabColor theme="0" tint="-0.34998626667073579"/>
  </sheetPr>
  <dimension ref="A1:BZ10"/>
  <sheetViews>
    <sheetView zoomScaleNormal="100" workbookViewId="0">
      <pane xSplit="2" ySplit="1" topLeftCell="D2" activePane="bottomRight" state="frozen"/>
      <selection activeCell="H1" sqref="H1"/>
      <selection pane="topRight" activeCell="H1" sqref="H1"/>
      <selection pane="bottomLeft" activeCell="H1" sqref="H1"/>
      <selection pane="bottomRight" activeCell="F5" sqref="F5"/>
    </sheetView>
  </sheetViews>
  <sheetFormatPr defaultColWidth="9.140625" defaultRowHeight="14.25" customHeight="1"/>
  <cols>
    <col min="1" max="1" width="9.140625" style="1" customWidth="1"/>
    <col min="2" max="2" width="49" style="2" customWidth="1"/>
    <col min="3" max="3" width="193.4257812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20.5703125" style="2" customWidth="1"/>
    <col min="11" max="11" width="31.7109375" style="2" customWidth="1"/>
    <col min="12" max="12" width="36.5703125" style="2" customWidth="1"/>
    <col min="13" max="13" width="9.140625" style="2" customWidth="1"/>
    <col min="14" max="14" width="10.7109375" style="2" customWidth="1"/>
    <col min="15" max="17" width="9.140625" style="2" customWidth="1"/>
    <col min="18" max="18" width="22.5703125" style="2" customWidth="1"/>
    <col min="19" max="19" width="13.5703125" style="2" customWidth="1"/>
    <col min="20" max="25" width="11.85546875" style="2" customWidth="1"/>
    <col min="26" max="26" width="11.85546875" style="12" customWidth="1"/>
    <col min="27" max="27" width="11.85546875" style="2" customWidth="1"/>
    <col min="28" max="28" width="11.85546875" style="12" customWidth="1"/>
    <col min="29" max="29" width="11.85546875" style="2" customWidth="1"/>
    <col min="30" max="30" width="11.85546875" style="12" customWidth="1"/>
    <col min="31" max="31" width="11.85546875" style="2" customWidth="1"/>
    <col min="32" max="32" width="11.85546875" style="12" customWidth="1"/>
    <col min="33" max="33" width="11.85546875" style="2" customWidth="1"/>
    <col min="34" max="34" width="13.7109375" style="12" customWidth="1"/>
    <col min="35" max="35" width="13.7109375" style="2" customWidth="1"/>
    <col min="36" max="36" width="13.7109375" style="12" customWidth="1"/>
    <col min="37" max="37" width="13.7109375" style="2" customWidth="1"/>
    <col min="38" max="38" width="13.7109375" style="12" customWidth="1"/>
    <col min="39" max="39" width="13.7109375" style="2" customWidth="1"/>
    <col min="40" max="40" width="13.7109375" style="12" customWidth="1"/>
    <col min="41" max="41" width="13.7109375" style="2" customWidth="1"/>
    <col min="42" max="42" width="13.7109375" style="12" customWidth="1"/>
    <col min="43" max="43" width="20" style="2" customWidth="1"/>
    <col min="44" max="44" width="50" style="2" customWidth="1"/>
    <col min="45" max="45" width="20" style="2" customWidth="1"/>
    <col min="46" max="46" width="50" style="2" customWidth="1"/>
    <col min="47" max="47" width="20" style="2" customWidth="1"/>
    <col min="48" max="48" width="50" style="2" customWidth="1"/>
    <col min="49" max="49" width="20" style="2" customWidth="1"/>
    <col min="50" max="50" width="50" style="2" customWidth="1"/>
    <col min="51" max="51" width="20" style="2" customWidth="1"/>
    <col min="52" max="52" width="50" style="2" customWidth="1"/>
    <col min="53" max="53" width="20" style="2" customWidth="1"/>
    <col min="54" max="54" width="50" style="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16384" width="9.140625" style="2"/>
  </cols>
  <sheetData>
    <row r="1" spans="1:78" ht="14.2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4*60*1000*SpeedFaktor</f>
        <v>240000</v>
      </c>
      <c r="H1" s="2">
        <v>10</v>
      </c>
      <c r="T1" s="2" t="s">
        <v>5</v>
      </c>
      <c r="U1" s="2" t="s">
        <v>657</v>
      </c>
      <c r="V1" s="2" t="s">
        <v>676</v>
      </c>
      <c r="W1" s="2" t="s">
        <v>658</v>
      </c>
      <c r="X1" s="2" t="s">
        <v>489</v>
      </c>
      <c r="Y1" s="2" t="s">
        <v>10</v>
      </c>
      <c r="Z1" s="24" t="s">
        <v>8</v>
      </c>
      <c r="AA1" s="2" t="s">
        <v>11</v>
      </c>
      <c r="AB1" s="24" t="s">
        <v>8</v>
      </c>
      <c r="AC1" s="2" t="s">
        <v>12</v>
      </c>
      <c r="AD1" s="24" t="s">
        <v>8</v>
      </c>
      <c r="AE1" s="705" t="s">
        <v>13</v>
      </c>
      <c r="AF1" s="24" t="s">
        <v>8</v>
      </c>
      <c r="AG1" s="705" t="s">
        <v>65</v>
      </c>
      <c r="AH1" s="24" t="s">
        <v>8</v>
      </c>
      <c r="AI1" s="705" t="s">
        <v>17</v>
      </c>
      <c r="AJ1" s="24" t="s">
        <v>8</v>
      </c>
      <c r="AK1" s="705" t="s">
        <v>1285</v>
      </c>
      <c r="AL1" s="24" t="s">
        <v>8</v>
      </c>
      <c r="AM1" s="705" t="s">
        <v>1286</v>
      </c>
      <c r="AN1" s="24" t="s">
        <v>8</v>
      </c>
      <c r="AO1" s="525" t="s">
        <v>1303</v>
      </c>
      <c r="AP1" s="24" t="s">
        <v>8</v>
      </c>
      <c r="AQ1" s="830" t="s">
        <v>1311</v>
      </c>
      <c r="AR1" s="831" t="s">
        <v>572</v>
      </c>
      <c r="AS1" s="956" t="s">
        <v>1318</v>
      </c>
      <c r="AT1" s="957" t="s">
        <v>572</v>
      </c>
      <c r="AU1" s="1103" t="s">
        <v>1324</v>
      </c>
      <c r="AV1" s="1104" t="s">
        <v>572</v>
      </c>
      <c r="AW1" s="1306" t="s">
        <v>1341</v>
      </c>
      <c r="AX1" s="1307" t="s">
        <v>572</v>
      </c>
      <c r="AY1" s="1558" t="s">
        <v>1363</v>
      </c>
      <c r="AZ1" s="1559" t="s">
        <v>572</v>
      </c>
      <c r="BA1" s="1702" t="s">
        <v>1368</v>
      </c>
      <c r="BB1" s="1703" t="s">
        <v>572</v>
      </c>
      <c r="BC1" s="1843" t="s">
        <v>1372</v>
      </c>
      <c r="BD1" s="1844" t="s">
        <v>572</v>
      </c>
      <c r="BE1" s="2117" t="s">
        <v>1397</v>
      </c>
      <c r="BF1" s="2118" t="s">
        <v>572</v>
      </c>
      <c r="BG1" s="2307" t="s">
        <v>1421</v>
      </c>
      <c r="BH1" s="2308" t="s">
        <v>572</v>
      </c>
      <c r="BI1" s="2468" t="s">
        <v>1434</v>
      </c>
      <c r="BJ1" s="2469" t="s">
        <v>572</v>
      </c>
      <c r="BK1" s="2629" t="s">
        <v>1442</v>
      </c>
      <c r="BL1" s="2630" t="s">
        <v>572</v>
      </c>
      <c r="BM1" s="2814" t="s">
        <v>1460</v>
      </c>
      <c r="BN1" s="2815" t="s">
        <v>572</v>
      </c>
      <c r="BO1" s="2996" t="s">
        <v>1472</v>
      </c>
      <c r="BP1" s="2997" t="s">
        <v>572</v>
      </c>
      <c r="BQ1" s="3184" t="s">
        <v>1492</v>
      </c>
      <c r="BR1" s="3185" t="s">
        <v>572</v>
      </c>
      <c r="BS1" s="3360" t="s">
        <v>1503</v>
      </c>
      <c r="BT1" s="3361" t="s">
        <v>572</v>
      </c>
      <c r="BU1" s="3540" t="s">
        <v>1519</v>
      </c>
      <c r="BV1" s="3541" t="s">
        <v>572</v>
      </c>
      <c r="BW1" s="3834" t="s">
        <v>1666</v>
      </c>
      <c r="BX1" s="3835" t="s">
        <v>572</v>
      </c>
      <c r="BY1" s="4055" t="s">
        <v>1717</v>
      </c>
      <c r="BZ1" s="4056" t="s">
        <v>572</v>
      </c>
    </row>
    <row r="2" spans="1:78" s="10" customFormat="1" ht="14.25" customHeight="1">
      <c r="A2" s="119">
        <v>1</v>
      </c>
      <c r="B2" s="122" t="s">
        <v>21</v>
      </c>
      <c r="C2" s="589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>
        <v>2401</v>
      </c>
      <c r="V2" s="2">
        <v>2082</v>
      </c>
      <c r="W2" s="2">
        <v>2059</v>
      </c>
      <c r="X2" s="2">
        <v>1843</v>
      </c>
      <c r="Y2" s="2">
        <v>1613</v>
      </c>
      <c r="Z2" s="156">
        <f>Y2/($U2)</f>
        <v>0.67180341524364851</v>
      </c>
      <c r="AA2" s="2">
        <v>1781</v>
      </c>
      <c r="AB2" s="156">
        <f>AA2/($U2)</f>
        <v>0.7417742607246981</v>
      </c>
      <c r="AC2" s="2">
        <v>1943</v>
      </c>
      <c r="AD2" s="156">
        <f>AC2/($U2)</f>
        <v>0.80924614743856726</v>
      </c>
      <c r="AE2" s="2">
        <v>1875</v>
      </c>
      <c r="AF2" s="156">
        <f>AE2/($U2)</f>
        <v>0.78092461474385677</v>
      </c>
      <c r="AG2" s="2">
        <v>1952</v>
      </c>
      <c r="AH2" s="156">
        <f>AG2/($U2)</f>
        <v>0.81299458558933779</v>
      </c>
      <c r="AI2" s="2">
        <v>1320</v>
      </c>
      <c r="AJ2" s="156">
        <f>AI2/($U2)</f>
        <v>0.54977092877967515</v>
      </c>
      <c r="AK2" s="2">
        <v>1705</v>
      </c>
      <c r="AL2" s="156">
        <f>AK2/($U2)</f>
        <v>0.71012078300708037</v>
      </c>
      <c r="AM2" s="2">
        <v>549</v>
      </c>
      <c r="AN2" s="156">
        <f>AM2/($U2)</f>
        <v>0.22865472719700125</v>
      </c>
      <c r="AO2" s="10">
        <v>1062</v>
      </c>
      <c r="AP2" s="156">
        <f>AO2/($U2)</f>
        <v>0.44231570179092045</v>
      </c>
      <c r="AQ2" s="10">
        <v>1433</v>
      </c>
      <c r="AS2" s="10">
        <v>1197</v>
      </c>
      <c r="AU2" s="10">
        <v>1272</v>
      </c>
      <c r="AW2" s="10">
        <v>1197</v>
      </c>
      <c r="AY2" s="10">
        <v>1346</v>
      </c>
      <c r="BA2" s="10">
        <v>1208</v>
      </c>
      <c r="BC2" s="10">
        <v>1277</v>
      </c>
      <c r="BE2" s="10">
        <v>1611</v>
      </c>
      <c r="BG2" s="10">
        <v>1730</v>
      </c>
      <c r="BI2" s="10">
        <v>1519</v>
      </c>
      <c r="BK2" s="10">
        <v>1198</v>
      </c>
      <c r="BM2" s="10">
        <v>1124</v>
      </c>
      <c r="BO2" s="10">
        <v>1619</v>
      </c>
      <c r="BQ2" s="10">
        <v>1059</v>
      </c>
      <c r="BS2" s="10">
        <v>1112</v>
      </c>
      <c r="BU2" s="10">
        <v>1155</v>
      </c>
      <c r="BW2" s="10">
        <v>869</v>
      </c>
      <c r="BY2" s="10">
        <v>545</v>
      </c>
      <c r="BZ2" s="10" t="s">
        <v>1718</v>
      </c>
    </row>
    <row r="3" spans="1:78" s="10" customFormat="1" ht="14.25" customHeight="1">
      <c r="A3" s="119">
        <v>2</v>
      </c>
      <c r="B3" s="122" t="s">
        <v>25</v>
      </c>
      <c r="C3" s="121" t="s">
        <v>633</v>
      </c>
      <c r="D3" s="2"/>
      <c r="E3" s="12"/>
      <c r="F3" s="2"/>
      <c r="G3" s="2"/>
      <c r="H3" s="2"/>
      <c r="I3" s="2"/>
      <c r="J3" s="2"/>
      <c r="K3" s="2"/>
      <c r="L3" s="2"/>
      <c r="M3" s="2" t="s">
        <v>752</v>
      </c>
      <c r="N3" s="2"/>
      <c r="O3" s="2"/>
      <c r="P3" s="2"/>
      <c r="Q3" s="2"/>
      <c r="R3" s="2"/>
      <c r="S3" s="2"/>
      <c r="T3" s="2"/>
      <c r="U3" s="2">
        <v>8481</v>
      </c>
      <c r="V3" s="2">
        <v>6710</v>
      </c>
      <c r="W3" s="2">
        <v>6740</v>
      </c>
      <c r="X3" s="2">
        <v>9797</v>
      </c>
      <c r="Y3" s="2">
        <v>9584</v>
      </c>
      <c r="Z3" s="156">
        <f t="shared" ref="Z3:AB5" si="0">Y3/($U3)</f>
        <v>1.1300554179931612</v>
      </c>
      <c r="AA3" s="2">
        <v>9312</v>
      </c>
      <c r="AB3" s="156">
        <f t="shared" si="0"/>
        <v>1.0979837283339229</v>
      </c>
      <c r="AC3" s="2">
        <v>8982</v>
      </c>
      <c r="AD3" s="156">
        <f t="shared" ref="AD3:AD5" si="1">AC3/($U3)</f>
        <v>1.0590732224973469</v>
      </c>
      <c r="AE3" s="2">
        <v>9571</v>
      </c>
      <c r="AF3" s="156">
        <f t="shared" ref="AF3:AP5" si="2">AE3/($U3)</f>
        <v>1.1285225798844476</v>
      </c>
      <c r="AG3" s="2">
        <v>10609</v>
      </c>
      <c r="AH3" s="156">
        <f t="shared" si="2"/>
        <v>1.2509138073340409</v>
      </c>
      <c r="AI3" s="2">
        <v>7701</v>
      </c>
      <c r="AJ3" s="156">
        <f t="shared" si="2"/>
        <v>0.90802971347718431</v>
      </c>
      <c r="AK3" s="2">
        <v>11362</v>
      </c>
      <c r="AL3" s="156">
        <f t="shared" si="2"/>
        <v>1.3397005070156822</v>
      </c>
      <c r="AM3" s="2">
        <v>5407</v>
      </c>
      <c r="AN3" s="156">
        <f t="shared" si="2"/>
        <v>0.63754274260110833</v>
      </c>
      <c r="AO3" s="10">
        <v>7520</v>
      </c>
      <c r="AP3" s="156">
        <f t="shared" si="2"/>
        <v>0.88668789057894115</v>
      </c>
      <c r="AQ3" s="10">
        <v>7928</v>
      </c>
      <c r="AS3" s="10">
        <v>7222</v>
      </c>
      <c r="AU3" s="10">
        <v>7408</v>
      </c>
      <c r="AW3" s="10">
        <v>7003</v>
      </c>
      <c r="AY3" s="10">
        <v>7916</v>
      </c>
      <c r="BA3" s="10">
        <v>7053</v>
      </c>
      <c r="BC3" s="10">
        <v>6560</v>
      </c>
      <c r="BE3" s="10">
        <v>6729</v>
      </c>
      <c r="BG3" s="10">
        <v>6775</v>
      </c>
      <c r="BI3" s="10">
        <v>6501</v>
      </c>
      <c r="BK3" s="10">
        <v>6973</v>
      </c>
      <c r="BM3" s="10">
        <v>11825</v>
      </c>
      <c r="BO3" s="10">
        <v>8228</v>
      </c>
      <c r="BQ3" s="10">
        <v>8696</v>
      </c>
      <c r="BS3" s="10">
        <v>9057</v>
      </c>
      <c r="BU3" s="10">
        <v>8653</v>
      </c>
      <c r="BW3" s="10">
        <v>10214</v>
      </c>
      <c r="BY3" s="10">
        <v>6907</v>
      </c>
      <c r="BZ3" s="10" t="s">
        <v>1718</v>
      </c>
    </row>
    <row r="4" spans="1:78" s="10" customFormat="1" ht="17.25" customHeight="1" thickBot="1">
      <c r="A4" s="119">
        <v>4</v>
      </c>
      <c r="B4" s="122" t="s">
        <v>139</v>
      </c>
      <c r="C4" s="121" t="str">
        <f>E4</f>
        <v>{"searchDossierOrKlient":p.DossierName1,"resultType":"Dossiers"}</v>
      </c>
      <c r="D4" s="2"/>
      <c r="E4" s="12" t="str">
        <f>F4&amp;G4&amp;H4&amp;I4&amp;J4&amp;K4&amp;L4&amp;M4&amp;N4&amp;O4&amp;R4&amp;S4</f>
        <v>{"searchDossierOrKlient":p.DossierName1,"resultType":"Dossiers"}</v>
      </c>
      <c r="F4" s="2" t="s">
        <v>140</v>
      </c>
      <c r="G4" s="2" t="s">
        <v>449</v>
      </c>
      <c r="H4" s="2" t="s">
        <v>623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>
        <v>11515</v>
      </c>
      <c r="V4" s="2">
        <v>11895</v>
      </c>
      <c r="W4" s="2">
        <v>11857</v>
      </c>
      <c r="X4" s="2">
        <v>10862</v>
      </c>
      <c r="Y4" s="2">
        <v>10863</v>
      </c>
      <c r="Z4" s="156">
        <f t="shared" si="0"/>
        <v>0.94337820234476766</v>
      </c>
      <c r="AA4" s="2">
        <v>11061</v>
      </c>
      <c r="AB4" s="156">
        <f t="shared" si="0"/>
        <v>0.96057316543638727</v>
      </c>
      <c r="AC4" s="2">
        <v>11073</v>
      </c>
      <c r="AD4" s="156">
        <f t="shared" si="1"/>
        <v>0.96161528441163702</v>
      </c>
      <c r="AE4" s="2">
        <v>10607</v>
      </c>
      <c r="AF4" s="156">
        <f t="shared" si="2"/>
        <v>0.92114633087277464</v>
      </c>
      <c r="AG4" s="2">
        <v>2595</v>
      </c>
      <c r="AH4" s="156">
        <f t="shared" si="2"/>
        <v>0.22535822839774208</v>
      </c>
      <c r="AI4" s="2">
        <v>5192</v>
      </c>
      <c r="AJ4" s="156">
        <f t="shared" si="2"/>
        <v>0.45089014329135912</v>
      </c>
      <c r="AK4" s="2">
        <v>5350</v>
      </c>
      <c r="AL4" s="156">
        <f t="shared" si="2"/>
        <v>0.46461137646547979</v>
      </c>
      <c r="AM4" s="2">
        <v>4936</v>
      </c>
      <c r="AN4" s="156">
        <f t="shared" si="2"/>
        <v>0.42865827181936605</v>
      </c>
      <c r="AO4" s="10">
        <v>5361</v>
      </c>
      <c r="AP4" s="156">
        <f t="shared" si="2"/>
        <v>0.46556665219279203</v>
      </c>
      <c r="AQ4" s="10">
        <v>5520</v>
      </c>
      <c r="AS4" s="10">
        <v>5120</v>
      </c>
      <c r="AU4" s="10">
        <v>5479</v>
      </c>
      <c r="AW4" s="10">
        <v>5530</v>
      </c>
      <c r="AY4" s="10">
        <v>2814</v>
      </c>
      <c r="BA4" s="10">
        <v>2630</v>
      </c>
      <c r="BC4" s="10">
        <v>3016</v>
      </c>
      <c r="BE4" s="10">
        <v>5289</v>
      </c>
      <c r="BG4" s="10">
        <v>5247</v>
      </c>
      <c r="BI4" s="10">
        <v>5351</v>
      </c>
      <c r="BK4" s="10">
        <v>8142</v>
      </c>
      <c r="BM4" s="10">
        <v>4664</v>
      </c>
      <c r="BO4" s="10">
        <v>4605</v>
      </c>
      <c r="BQ4" s="10">
        <v>4814</v>
      </c>
      <c r="BS4" s="10">
        <v>4654</v>
      </c>
      <c r="BU4" s="10">
        <v>4721</v>
      </c>
      <c r="BW4" s="10">
        <v>4935</v>
      </c>
      <c r="BY4" s="10">
        <v>4526</v>
      </c>
      <c r="BZ4" s="10" t="s">
        <v>1718</v>
      </c>
    </row>
    <row r="5" spans="1:78" s="304" customFormat="1" ht="19.5" customHeight="1" thickBot="1">
      <c r="A5" s="288">
        <v>5</v>
      </c>
      <c r="B5" s="306" t="s">
        <v>1660</v>
      </c>
      <c r="C5" s="329" t="str">
        <f>E5</f>
        <v>{"klient":"${p.FamilyName1}, ${p.ManFirstName1}","dokumente":"eins.doc,zwei.doc,drei.doc","docPath":"C:/temp/"}</v>
      </c>
      <c r="D5" s="313" t="s">
        <v>28</v>
      </c>
      <c r="E5" s="329" t="str">
        <f>F5&amp;G5&amp;H5&amp;I5&amp;J5&amp;K5&amp;L5&amp;M5&amp;N5&amp;O5&amp;P5&amp;Q5&amp;R5&amp;S5</f>
        <v>{"klient":"${p.FamilyName1}, ${p.ManFirstName1}","dokumente":"eins.doc,zwei.doc,drei.doc","docPath":"C:/temp/"}</v>
      </c>
      <c r="F5" s="330" t="s">
        <v>1662</v>
      </c>
      <c r="G5" s="2" t="s">
        <v>492</v>
      </c>
      <c r="H5" s="319" t="s">
        <v>861</v>
      </c>
      <c r="I5" s="319" t="s">
        <v>1661</v>
      </c>
      <c r="J5" s="319" t="s">
        <v>1663</v>
      </c>
      <c r="K5" s="319" t="s">
        <v>1664</v>
      </c>
      <c r="L5" s="319"/>
      <c r="M5" s="332"/>
      <c r="N5" s="319"/>
      <c r="O5" s="313"/>
      <c r="P5" s="313"/>
      <c r="Q5" s="313"/>
      <c r="R5" s="321" t="s">
        <v>37</v>
      </c>
      <c r="S5" s="313"/>
      <c r="T5" s="289"/>
      <c r="U5" s="313">
        <v>6975</v>
      </c>
      <c r="V5" s="313">
        <v>6523</v>
      </c>
      <c r="W5" s="313">
        <v>6788</v>
      </c>
      <c r="X5" s="313">
        <v>0</v>
      </c>
      <c r="Y5" s="289">
        <v>6887</v>
      </c>
      <c r="Z5" s="290">
        <f t="shared" si="0"/>
        <v>0.98738351254480283</v>
      </c>
      <c r="AA5" s="289">
        <v>6871</v>
      </c>
      <c r="AB5" s="290">
        <f t="shared" si="0"/>
        <v>0.985089605734767</v>
      </c>
      <c r="AC5" s="289">
        <v>6815</v>
      </c>
      <c r="AD5" s="290">
        <f t="shared" si="1"/>
        <v>0.9770609318996416</v>
      </c>
      <c r="AE5" s="289">
        <v>7164</v>
      </c>
      <c r="AF5" s="290">
        <f t="shared" si="2"/>
        <v>1.0270967741935484</v>
      </c>
      <c r="AG5" s="289">
        <v>7175</v>
      </c>
      <c r="AH5" s="290">
        <f t="shared" si="2"/>
        <v>1.0286738351254481</v>
      </c>
      <c r="AI5" s="291">
        <v>3251</v>
      </c>
      <c r="AJ5" s="290">
        <f t="shared" si="2"/>
        <v>0.46609318996415772</v>
      </c>
      <c r="AK5" s="291">
        <v>3928</v>
      </c>
      <c r="AL5" s="290">
        <f t="shared" si="2"/>
        <v>0.56315412186379932</v>
      </c>
      <c r="AM5" s="291">
        <v>3402</v>
      </c>
      <c r="AN5" s="290">
        <f t="shared" si="2"/>
        <v>0.48774193548387096</v>
      </c>
      <c r="AO5" s="304">
        <v>3895</v>
      </c>
      <c r="AP5" s="290">
        <f t="shared" si="2"/>
        <v>0.55842293906810037</v>
      </c>
      <c r="AQ5" s="304">
        <v>4133</v>
      </c>
      <c r="AS5" s="304">
        <v>4024</v>
      </c>
      <c r="AU5" s="304">
        <v>4514</v>
      </c>
      <c r="AW5" s="304">
        <v>3732</v>
      </c>
      <c r="AY5" s="1560">
        <v>0</v>
      </c>
      <c r="AZ5" s="1561" t="s">
        <v>1365</v>
      </c>
      <c r="BA5" s="304">
        <v>4213</v>
      </c>
      <c r="BC5" s="304">
        <v>4196</v>
      </c>
      <c r="BE5" s="304">
        <v>3608</v>
      </c>
      <c r="BG5" s="304">
        <v>4235</v>
      </c>
      <c r="BI5" s="304">
        <v>4947</v>
      </c>
      <c r="BK5" s="304">
        <v>3658</v>
      </c>
      <c r="BM5" s="304">
        <v>3814</v>
      </c>
      <c r="BO5" s="304">
        <v>3368</v>
      </c>
      <c r="BQ5" s="304">
        <v>3442</v>
      </c>
      <c r="BS5" s="304">
        <v>3522</v>
      </c>
      <c r="BU5" s="304">
        <v>4268</v>
      </c>
    </row>
    <row r="6" spans="1:78" ht="15.75" customHeight="1" thickBot="1">
      <c r="C6" s="333"/>
      <c r="N6" s="2" t="str">
        <f ca="1">'001a'!I8</f>
        <v>Strasse_743</v>
      </c>
      <c r="O6" s="2">
        <f ca="1">'001a'!K8</f>
        <v>41</v>
      </c>
      <c r="R6" s="2" t="str">
        <f>'001a'!M8</f>
        <v>3053 Münchenbuchsee</v>
      </c>
      <c r="X6" s="2">
        <v>323</v>
      </c>
      <c r="Z6" s="156"/>
      <c r="AB6" s="156"/>
      <c r="AD6" s="156"/>
      <c r="AF6" s="156"/>
      <c r="AH6" s="156"/>
      <c r="AJ6" s="156"/>
      <c r="AL6" s="156"/>
      <c r="AN6" s="156"/>
      <c r="AP6" s="156"/>
    </row>
    <row r="7" spans="1:78" ht="14.25" customHeight="1">
      <c r="B7" s="1"/>
      <c r="C7" s="4196"/>
      <c r="I7" s="333"/>
      <c r="Z7" s="2"/>
      <c r="AB7" s="2"/>
      <c r="AD7" s="2"/>
      <c r="AF7" s="2"/>
      <c r="AH7" s="2"/>
      <c r="AJ7" s="2"/>
      <c r="AL7" s="2"/>
      <c r="AN7" s="2"/>
      <c r="AP7" s="2"/>
    </row>
    <row r="8" spans="1:78" ht="15.75" customHeight="1" thickBot="1">
      <c r="B8" s="1"/>
      <c r="C8" s="4197"/>
      <c r="Z8" s="2"/>
      <c r="AB8" s="2"/>
      <c r="AD8" s="2"/>
      <c r="AF8" s="2"/>
      <c r="AH8" s="2"/>
      <c r="AJ8" s="2"/>
      <c r="AL8" s="2"/>
      <c r="AN8" s="2"/>
      <c r="AP8" s="2"/>
    </row>
    <row r="9" spans="1:78" ht="15.75" customHeight="1" thickBot="1">
      <c r="B9" s="1"/>
      <c r="C9" s="334" t="s">
        <v>758</v>
      </c>
      <c r="Z9" s="2"/>
      <c r="AB9" s="2"/>
      <c r="AD9" s="2"/>
      <c r="AF9" s="2"/>
      <c r="AH9" s="2"/>
      <c r="AJ9" s="2"/>
      <c r="AL9" s="2"/>
      <c r="AN9" s="2"/>
      <c r="AP9" s="2"/>
    </row>
    <row r="10" spans="1:78" ht="14.25" customHeight="1">
      <c r="B10" s="1"/>
    </row>
  </sheetData>
  <mergeCells count="1">
    <mergeCell ref="C7:C8"/>
  </mergeCells>
  <conditionalFormatting sqref="Z2:Z145 AB2:AB145 AD2:AD145 AF2:AF145 AH2:AH145 AJ2:AJ145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L2:AL145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N2:AN145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P2:AP145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</sheetPr>
  <dimension ref="A1:CP4"/>
  <sheetViews>
    <sheetView zoomScaleNormal="100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ColWidth="9.140625" defaultRowHeight="14.25" customHeight="1"/>
  <cols>
    <col min="1" max="1" width="10.28515625" style="1" customWidth="1"/>
    <col min="2" max="2" width="44.140625" style="2" customWidth="1"/>
    <col min="3" max="3" width="141.28515625" style="2" customWidth="1"/>
    <col min="4" max="4" width="11.28515625" style="2" customWidth="1"/>
    <col min="5" max="5" width="9.85546875" style="3" customWidth="1"/>
    <col min="6" max="6" width="7.7109375" style="2" customWidth="1"/>
    <col min="7" max="7" width="11.28515625" style="2" customWidth="1"/>
    <col min="8" max="8" width="3.5703125" style="2" customWidth="1"/>
    <col min="9" max="9" width="10.5703125" style="2" customWidth="1"/>
    <col min="10" max="10" width="3.85546875" style="2" customWidth="1"/>
    <col min="11" max="11" width="11.42578125" style="2" customWidth="1"/>
    <col min="12" max="12" width="4.7109375" style="2" customWidth="1"/>
    <col min="13" max="13" width="14.5703125" style="2" customWidth="1"/>
    <col min="14" max="14" width="9.42578125" style="2" customWidth="1"/>
    <col min="15" max="15" width="13.85546875" style="2" customWidth="1"/>
    <col min="16" max="16" width="3" style="2" customWidth="1"/>
    <col min="17" max="17" width="15" style="2" customWidth="1"/>
    <col min="18" max="18" width="10.28515625" style="2" customWidth="1"/>
    <col min="19" max="19" width="10" style="2" customWidth="1"/>
    <col min="20" max="20" width="12.42578125" style="2" customWidth="1"/>
    <col min="21" max="21" width="7.42578125" style="2" customWidth="1"/>
    <col min="22" max="22" width="11.140625" style="2" customWidth="1"/>
    <col min="23" max="23" width="12.7109375" style="2" customWidth="1"/>
    <col min="24" max="24" width="5.140625" style="2" customWidth="1"/>
    <col min="25" max="25" width="11.7109375" style="2" customWidth="1"/>
    <col min="26" max="26" width="21" style="2" customWidth="1"/>
    <col min="27" max="27" width="14.85546875" style="2" customWidth="1"/>
    <col min="28" max="28" width="15.7109375" style="2" customWidth="1"/>
    <col min="29" max="29" width="14.42578125" style="2" customWidth="1"/>
    <col min="30" max="30" width="10.42578125" style="2" customWidth="1"/>
    <col min="31" max="31" width="13.7109375" style="2" customWidth="1"/>
    <col min="32" max="32" width="10.42578125" style="2" customWidth="1"/>
    <col min="33" max="34" width="9.140625" style="2" customWidth="1"/>
    <col min="35" max="38" width="10.140625" style="2" customWidth="1"/>
    <col min="39" max="39" width="9.42578125" style="2" customWidth="1"/>
    <col min="40" max="40" width="9.42578125" style="12" customWidth="1"/>
    <col min="41" max="41" width="9.42578125" style="2" customWidth="1"/>
    <col min="42" max="42" width="9.42578125" style="12" customWidth="1"/>
    <col min="43" max="43" width="9.42578125" style="2" customWidth="1"/>
    <col min="44" max="44" width="9.42578125" style="12" customWidth="1"/>
    <col min="45" max="45" width="9.42578125" style="2" customWidth="1"/>
    <col min="46" max="46" width="9.42578125" style="12" customWidth="1"/>
    <col min="47" max="47" width="30" style="2" customWidth="1"/>
    <col min="48" max="48" width="10" style="12" customWidth="1"/>
    <col min="49" max="49" width="10" style="2" customWidth="1"/>
    <col min="50" max="50" width="10" style="12" customWidth="1"/>
    <col min="51" max="51" width="10" style="2" customWidth="1"/>
    <col min="52" max="52" width="10" style="12" customWidth="1"/>
    <col min="53" max="53" width="10" style="2" customWidth="1"/>
    <col min="54" max="54" width="10" style="12" customWidth="1"/>
    <col min="55" max="55" width="10" style="2" customWidth="1"/>
    <col min="56" max="56" width="10" style="12" customWidth="1"/>
    <col min="57" max="57" width="10" style="2" customWidth="1"/>
    <col min="58" max="58" width="10" style="1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17.2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4*60*1000*SpeedFaktor</f>
        <v>240000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489</v>
      </c>
      <c r="AM1" s="2" t="s">
        <v>10</v>
      </c>
      <c r="AN1" s="24" t="s">
        <v>8</v>
      </c>
      <c r="AO1" s="2" t="s">
        <v>11</v>
      </c>
      <c r="AP1" s="24" t="s">
        <v>8</v>
      </c>
      <c r="AQ1" s="2" t="s">
        <v>12</v>
      </c>
      <c r="AR1" s="24" t="s">
        <v>8</v>
      </c>
      <c r="AS1" s="2" t="s">
        <v>13</v>
      </c>
      <c r="AT1" s="24" t="s">
        <v>8</v>
      </c>
      <c r="AU1" s="2" t="s">
        <v>65</v>
      </c>
      <c r="AV1" s="701" t="s">
        <v>8</v>
      </c>
      <c r="AW1" s="422" t="s">
        <v>15</v>
      </c>
      <c r="AX1" s="701" t="s">
        <v>8</v>
      </c>
      <c r="AY1" s="422" t="s">
        <v>17</v>
      </c>
      <c r="AZ1" s="701" t="s">
        <v>8</v>
      </c>
      <c r="BA1" s="422" t="s">
        <v>1285</v>
      </c>
      <c r="BB1" s="701" t="s">
        <v>8</v>
      </c>
      <c r="BC1" s="422" t="s">
        <v>1286</v>
      </c>
      <c r="BD1" s="701" t="s">
        <v>8</v>
      </c>
      <c r="BE1" s="706" t="s">
        <v>1303</v>
      </c>
      <c r="BF1" s="701" t="s">
        <v>8</v>
      </c>
      <c r="BG1" s="832" t="s">
        <v>1311</v>
      </c>
      <c r="BH1" s="833" t="s">
        <v>572</v>
      </c>
      <c r="BI1" s="958" t="s">
        <v>1318</v>
      </c>
      <c r="BJ1" s="959" t="s">
        <v>572</v>
      </c>
      <c r="BK1" s="1105" t="s">
        <v>1324</v>
      </c>
      <c r="BL1" s="1106" t="s">
        <v>572</v>
      </c>
      <c r="BM1" s="1308" t="s">
        <v>1341</v>
      </c>
      <c r="BN1" s="1309" t="s">
        <v>572</v>
      </c>
      <c r="BO1" s="1562" t="s">
        <v>1363</v>
      </c>
      <c r="BP1" s="1563" t="s">
        <v>572</v>
      </c>
      <c r="BQ1" s="1704" t="s">
        <v>1368</v>
      </c>
      <c r="BR1" s="1705" t="s">
        <v>572</v>
      </c>
      <c r="BS1" s="1845" t="s">
        <v>1372</v>
      </c>
      <c r="BT1" s="1846" t="s">
        <v>572</v>
      </c>
      <c r="BU1" s="2119" t="s">
        <v>1397</v>
      </c>
      <c r="BV1" s="2120" t="s">
        <v>572</v>
      </c>
      <c r="BW1" s="2309" t="s">
        <v>1421</v>
      </c>
      <c r="BX1" s="2310" t="s">
        <v>572</v>
      </c>
      <c r="BY1" s="2470" t="s">
        <v>1434</v>
      </c>
      <c r="BZ1" s="2471" t="s">
        <v>572</v>
      </c>
      <c r="CA1" s="2631" t="s">
        <v>1442</v>
      </c>
      <c r="CB1" s="2632" t="s">
        <v>572</v>
      </c>
      <c r="CC1" s="2816" t="s">
        <v>1460</v>
      </c>
      <c r="CD1" s="2817" t="s">
        <v>572</v>
      </c>
      <c r="CE1" s="2998" t="s">
        <v>1472</v>
      </c>
      <c r="CF1" s="2999" t="s">
        <v>572</v>
      </c>
      <c r="CG1" s="3186" t="s">
        <v>1492</v>
      </c>
      <c r="CH1" s="3187" t="s">
        <v>572</v>
      </c>
      <c r="CI1" s="3362" t="s">
        <v>1503</v>
      </c>
      <c r="CJ1" s="3363" t="s">
        <v>572</v>
      </c>
      <c r="CK1" s="3542" t="s">
        <v>1519</v>
      </c>
      <c r="CL1" s="3543" t="s">
        <v>572</v>
      </c>
      <c r="CM1" s="3836" t="s">
        <v>1666</v>
      </c>
      <c r="CN1" s="3837" t="s">
        <v>572</v>
      </c>
      <c r="CO1" s="4057" t="s">
        <v>1717</v>
      </c>
      <c r="CP1" s="4058" t="s">
        <v>572</v>
      </c>
    </row>
    <row r="2" spans="1:94" s="10" customFormat="1" ht="14.25" customHeight="1">
      <c r="A2" s="122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2082</v>
      </c>
      <c r="AJ2" s="2">
        <v>2076</v>
      </c>
      <c r="AK2" s="2">
        <v>1940</v>
      </c>
      <c r="AL2" s="2">
        <v>2917</v>
      </c>
      <c r="AM2" s="2">
        <v>1587</v>
      </c>
      <c r="AN2" s="156">
        <f>AM2/($AK2)</f>
        <v>0.81804123711340204</v>
      </c>
      <c r="AO2" s="2">
        <v>1662</v>
      </c>
      <c r="AP2" s="156">
        <f>AO2/($AK2)</f>
        <v>0.85670103092783501</v>
      </c>
      <c r="AQ2" s="2">
        <v>1730</v>
      </c>
      <c r="AR2" s="156">
        <f>AQ2/($AK2)</f>
        <v>0.89175257731958768</v>
      </c>
      <c r="AS2" s="2">
        <v>2100</v>
      </c>
      <c r="AT2" s="156">
        <f>AS2/($AK2)</f>
        <v>1.0824742268041236</v>
      </c>
      <c r="AU2" s="2">
        <v>1488</v>
      </c>
      <c r="AV2" s="156">
        <f>AU2/($AK2)</f>
        <v>0.76701030927835057</v>
      </c>
      <c r="AW2" s="2">
        <v>1652</v>
      </c>
      <c r="AX2" s="156">
        <f>AW2/($AK2)</f>
        <v>0.85154639175257729</v>
      </c>
      <c r="AY2" s="2">
        <v>1354</v>
      </c>
      <c r="AZ2" s="156">
        <f>AY2/($AK2)</f>
        <v>0.69793814432989687</v>
      </c>
      <c r="BA2" s="2">
        <v>1319</v>
      </c>
      <c r="BB2" s="156">
        <f>BA2/($AK2)</f>
        <v>0.67989690721649487</v>
      </c>
      <c r="BC2" s="2">
        <v>568</v>
      </c>
      <c r="BD2" s="156">
        <f>BC2/($AK2)</f>
        <v>0.29278350515463919</v>
      </c>
      <c r="BE2" s="10">
        <v>1146</v>
      </c>
      <c r="BF2" s="156">
        <f>BE2/($AK2)</f>
        <v>0.59072164948453609</v>
      </c>
      <c r="BG2" s="10">
        <v>1411</v>
      </c>
      <c r="BI2" s="10">
        <v>1149</v>
      </c>
      <c r="BK2" s="10">
        <v>1384</v>
      </c>
      <c r="BM2" s="10">
        <v>1155</v>
      </c>
      <c r="BO2" s="10">
        <v>1293</v>
      </c>
      <c r="BQ2" s="10">
        <v>1193</v>
      </c>
      <c r="BS2" s="10">
        <v>1110</v>
      </c>
      <c r="BU2" s="10">
        <v>1824</v>
      </c>
      <c r="BW2" s="10">
        <v>1520</v>
      </c>
      <c r="BY2" s="10">
        <v>1716</v>
      </c>
      <c r="CA2" s="10">
        <v>1132</v>
      </c>
      <c r="CC2" s="10">
        <v>1146</v>
      </c>
      <c r="CE2" s="10">
        <v>1606</v>
      </c>
      <c r="CG2" s="10">
        <v>1072</v>
      </c>
      <c r="CI2" s="10">
        <v>1128</v>
      </c>
      <c r="CK2" s="10">
        <v>1170</v>
      </c>
      <c r="CM2" s="10">
        <v>829</v>
      </c>
      <c r="CO2" s="10">
        <v>550</v>
      </c>
      <c r="CP2" s="10" t="s">
        <v>1718</v>
      </c>
    </row>
    <row r="3" spans="1:94" s="10" customFormat="1" ht="14.25" customHeight="1" thickBot="1">
      <c r="A3" s="122">
        <v>2</v>
      </c>
      <c r="B3" s="122" t="s">
        <v>25</v>
      </c>
      <c r="C3" s="120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7795</v>
      </c>
      <c r="AJ3" s="2">
        <v>6516</v>
      </c>
      <c r="AK3" s="2">
        <v>6716</v>
      </c>
      <c r="AL3" s="2">
        <v>8403</v>
      </c>
      <c r="AM3" s="2">
        <v>9602</v>
      </c>
      <c r="AN3" s="156">
        <f t="shared" ref="AN3:AN4" si="0">AM3/($AK3)</f>
        <v>1.4297200714711138</v>
      </c>
      <c r="AO3" s="2">
        <v>9117</v>
      </c>
      <c r="AP3" s="156">
        <f t="shared" ref="AP3:AP4" si="1">AO3/($AK3)</f>
        <v>1.3575044669446099</v>
      </c>
      <c r="AQ3" s="2">
        <v>8934</v>
      </c>
      <c r="AR3" s="156">
        <f t="shared" ref="AR3:AR4" si="2">AQ3/($AK3)</f>
        <v>1.3302561048243002</v>
      </c>
      <c r="AS3" s="2">
        <v>9653</v>
      </c>
      <c r="AT3" s="156">
        <f t="shared" ref="AT3:BF4" si="3">AS3/($AK3)</f>
        <v>1.4373138773079215</v>
      </c>
      <c r="AU3" s="2">
        <v>9838</v>
      </c>
      <c r="AV3" s="156">
        <f t="shared" si="3"/>
        <v>1.4648600357355568</v>
      </c>
      <c r="AW3" s="2">
        <v>8858</v>
      </c>
      <c r="AX3" s="156">
        <f t="shared" si="3"/>
        <v>1.3189398451459202</v>
      </c>
      <c r="AY3" s="2">
        <v>8203</v>
      </c>
      <c r="AZ3" s="156">
        <f t="shared" si="3"/>
        <v>1.2214115544967243</v>
      </c>
      <c r="BA3" s="2">
        <v>9969</v>
      </c>
      <c r="BB3" s="156">
        <f t="shared" si="3"/>
        <v>1.484365693865396</v>
      </c>
      <c r="BC3" s="2">
        <v>4950</v>
      </c>
      <c r="BD3" s="156">
        <f t="shared" si="3"/>
        <v>0.73704586063132815</v>
      </c>
      <c r="BE3" s="10">
        <v>7268</v>
      </c>
      <c r="BF3" s="156">
        <f t="shared" si="3"/>
        <v>1.0821917808219179</v>
      </c>
      <c r="BG3" s="10">
        <v>7868</v>
      </c>
      <c r="BI3" s="10">
        <v>7042</v>
      </c>
      <c r="BK3" s="10">
        <v>7297</v>
      </c>
      <c r="BM3" s="10">
        <v>7668</v>
      </c>
      <c r="BO3" s="10">
        <v>7353</v>
      </c>
      <c r="BQ3" s="10">
        <v>6798</v>
      </c>
      <c r="BS3" s="10">
        <v>6908</v>
      </c>
      <c r="BU3" s="10">
        <v>6721</v>
      </c>
      <c r="BW3" s="10">
        <v>6738</v>
      </c>
      <c r="BY3" s="10">
        <v>7475</v>
      </c>
      <c r="CA3" s="10">
        <v>8651</v>
      </c>
      <c r="CC3" s="10">
        <v>8636</v>
      </c>
      <c r="CE3" s="10">
        <v>8275</v>
      </c>
      <c r="CG3" s="10">
        <v>7436</v>
      </c>
      <c r="CI3" s="10">
        <v>8688</v>
      </c>
      <c r="CK3" s="10">
        <v>9300</v>
      </c>
      <c r="CM3" s="10">
        <v>8609</v>
      </c>
      <c r="CO3" s="10">
        <v>6694</v>
      </c>
      <c r="CP3" s="10" t="s">
        <v>1718</v>
      </c>
    </row>
    <row r="4" spans="1:94" s="10" customFormat="1" ht="32.25" customHeight="1" thickBot="1">
      <c r="A4" s="24">
        <v>4</v>
      </c>
      <c r="B4" s="240" t="s">
        <v>759</v>
      </c>
      <c r="C4" s="255" t="str">
        <f ca="1">E4</f>
        <v>{"dossier":p.DossierName1,"level1":"Situationsbedingte Leistungen","level2":"Gesundheit","level3":"Brille","titel":"Keine Brille","leistungserbringer":"Agrisano Krankenkasse AG, 5210 Brugg","betrag":1500,"klient":`${p.FamilyName1}, ${p.ManFirstName1}`,"gultigAb":"04.11.2025","verFallDatum":"31.12.2025","begruendung":"Keine"}</v>
      </c>
      <c r="D4" s="24" t="s">
        <v>28</v>
      </c>
      <c r="E4" s="24" t="str">
        <f ca="1">F4&amp;G4&amp;H4&amp;I4&amp;J4&amp;K4&amp;L4&amp;M4&amp;N4&amp;O4&amp;P4&amp;Q4&amp;R4&amp;S4&amp;T4&amp;U4&amp;V4&amp;W4&amp;X4&amp;Y4&amp;Z4&amp;AA4&amp;AB4&amp;AC4&amp;AD4&amp;AE4&amp;AF4&amp;AG4&amp;AH4</f>
        <v>{"dossier":p.DossierName1,"level1":"Situationsbedingte Leistungen","level2":"Gesundheit","level3":"Brille","titel":"Keine Brille","leistungserbringer":"Agrisano Krankenkasse AG, 5210 Brugg","betrag":1500,"klient":`${p.FamilyName1}, ${p.ManFirstName1}`,"gultigAb":"04.11.2025","verFallDatum":"31.12.2025","begruendung":"Keine"}</v>
      </c>
      <c r="F4" s="255" t="s">
        <v>159</v>
      </c>
      <c r="G4" s="24" t="s">
        <v>449</v>
      </c>
      <c r="H4" s="255" t="s">
        <v>760</v>
      </c>
      <c r="I4" s="273" t="s">
        <v>761</v>
      </c>
      <c r="J4" s="24" t="s">
        <v>762</v>
      </c>
      <c r="K4" s="264" t="s">
        <v>763</v>
      </c>
      <c r="L4" s="265" t="s">
        <v>764</v>
      </c>
      <c r="M4" s="24" t="s">
        <v>765</v>
      </c>
      <c r="N4" s="24" t="s">
        <v>442</v>
      </c>
      <c r="O4" s="24" t="s">
        <v>766</v>
      </c>
      <c r="P4" s="24" t="s">
        <v>767</v>
      </c>
      <c r="Q4" s="24" t="s">
        <v>768</v>
      </c>
      <c r="R4" s="24" t="s">
        <v>556</v>
      </c>
      <c r="S4" s="25">
        <v>1500</v>
      </c>
      <c r="T4" s="24" t="s">
        <v>769</v>
      </c>
      <c r="U4" s="24" t="s">
        <v>492</v>
      </c>
      <c r="V4" s="24" t="s">
        <v>770</v>
      </c>
      <c r="W4" s="335" t="str">
        <f ca="1">TEXT(TEXT(TODAY(),"DD")&amp;"."&amp;TEXT(TODAY(),"MM")&amp;"."&amp;TEXT(TODAY(),"YYYY"),"DD.MM.YYYY")</f>
        <v>04.11.2025</v>
      </c>
      <c r="X4" s="24" t="s">
        <v>771</v>
      </c>
      <c r="Y4" s="336" t="str">
        <f ca="1">"31.12."&amp;YEAR(TODAY())</f>
        <v>31.12.2025</v>
      </c>
      <c r="Z4" s="24" t="s">
        <v>515</v>
      </c>
      <c r="AA4" s="25" t="s">
        <v>772</v>
      </c>
      <c r="AB4" s="24" t="s">
        <v>37</v>
      </c>
      <c r="AC4" s="24"/>
      <c r="AD4" s="24"/>
      <c r="AE4" s="24"/>
      <c r="AF4" s="24"/>
      <c r="AG4" s="24"/>
      <c r="AH4" s="24"/>
      <c r="AI4" s="24">
        <v>20390</v>
      </c>
      <c r="AJ4" s="24">
        <v>19290</v>
      </c>
      <c r="AK4" s="24">
        <v>19307</v>
      </c>
      <c r="AL4" s="24">
        <v>33496</v>
      </c>
      <c r="AM4" s="24">
        <v>17761</v>
      </c>
      <c r="AN4" s="156">
        <f t="shared" si="0"/>
        <v>0.91992541565235408</v>
      </c>
      <c r="AO4" s="24">
        <v>18508</v>
      </c>
      <c r="AP4" s="156">
        <f t="shared" si="1"/>
        <v>0.958616045993681</v>
      </c>
      <c r="AQ4" s="24">
        <v>17784</v>
      </c>
      <c r="AR4" s="156">
        <f t="shared" si="2"/>
        <v>0.92111669342725433</v>
      </c>
      <c r="AS4" s="24">
        <v>17168</v>
      </c>
      <c r="AT4" s="156">
        <f t="shared" si="3"/>
        <v>0.88921116693427249</v>
      </c>
      <c r="AU4" s="24">
        <v>12066</v>
      </c>
      <c r="AV4" s="156">
        <f t="shared" si="3"/>
        <v>0.62495467964986795</v>
      </c>
      <c r="AW4" s="2">
        <v>10676</v>
      </c>
      <c r="AX4" s="156">
        <f t="shared" si="3"/>
        <v>0.55296006629719796</v>
      </c>
      <c r="AY4" s="2">
        <v>11330</v>
      </c>
      <c r="AZ4" s="156">
        <f t="shared" si="3"/>
        <v>0.58683379085305842</v>
      </c>
      <c r="BA4" s="2">
        <v>13498</v>
      </c>
      <c r="BB4" s="156">
        <f t="shared" si="3"/>
        <v>0.69912466980887766</v>
      </c>
      <c r="BC4" s="2">
        <v>11740</v>
      </c>
      <c r="BD4" s="156">
        <f t="shared" si="3"/>
        <v>0.60806961205780286</v>
      </c>
      <c r="BE4" s="10">
        <v>13976</v>
      </c>
      <c r="BF4" s="156">
        <f t="shared" si="3"/>
        <v>0.7238825296524577</v>
      </c>
      <c r="BG4" s="10">
        <v>12567</v>
      </c>
      <c r="BI4" s="10">
        <v>12247</v>
      </c>
      <c r="BK4" s="10">
        <v>11777</v>
      </c>
      <c r="BM4" s="10">
        <v>12649</v>
      </c>
      <c r="BO4" s="10">
        <v>9556</v>
      </c>
      <c r="BQ4" s="10">
        <v>9840</v>
      </c>
      <c r="BS4" s="10">
        <v>9459</v>
      </c>
      <c r="BU4" s="2121">
        <v>0</v>
      </c>
      <c r="BV4" s="2122" t="s">
        <v>1406</v>
      </c>
      <c r="BW4" s="10">
        <v>18832</v>
      </c>
      <c r="BY4" s="10">
        <v>13789</v>
      </c>
      <c r="CA4" s="10">
        <v>15263</v>
      </c>
      <c r="CC4" s="10">
        <v>12272</v>
      </c>
      <c r="CE4" s="10">
        <v>11743</v>
      </c>
      <c r="CG4" s="10">
        <v>11140</v>
      </c>
      <c r="CI4" s="10">
        <v>13276</v>
      </c>
      <c r="CK4" s="3544">
        <v>0</v>
      </c>
      <c r="CL4" s="3545" t="s">
        <v>1533</v>
      </c>
      <c r="CM4" s="10">
        <v>15271</v>
      </c>
      <c r="CO4" s="10">
        <v>13672</v>
      </c>
      <c r="CP4" s="10" t="s">
        <v>1718</v>
      </c>
    </row>
  </sheetData>
  <conditionalFormatting sqref="AN2:AN146 AP2:AP146 AR2:AR146 AT2:AT146 AV2:AV146 AX2:AX146 AZ2:AZ146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2D050"/>
  </sheetPr>
  <dimension ref="A1:CJ17"/>
  <sheetViews>
    <sheetView zoomScaleNormal="100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B17" sqref="B17"/>
    </sheetView>
  </sheetViews>
  <sheetFormatPr defaultColWidth="9.140625" defaultRowHeight="14.25" customHeight="1"/>
  <cols>
    <col min="1" max="1" width="10.28515625" style="10" customWidth="1"/>
    <col min="2" max="2" width="84.28515625" style="12" customWidth="1"/>
    <col min="3" max="3" width="162.42578125" style="12" customWidth="1"/>
    <col min="4" max="4" width="11.28515625" style="12" customWidth="1"/>
    <col min="5" max="5" width="9.85546875" style="12" customWidth="1"/>
    <col min="6" max="6" width="7.7109375" style="12" customWidth="1"/>
    <col min="7" max="7" width="11.28515625" style="12" customWidth="1"/>
    <col min="8" max="8" width="3.5703125" style="12" customWidth="1"/>
    <col min="9" max="9" width="10.5703125" style="12" customWidth="1"/>
    <col min="10" max="10" width="3.85546875" style="12" customWidth="1"/>
    <col min="11" max="11" width="11.42578125" style="12" customWidth="1"/>
    <col min="12" max="12" width="4.7109375" style="12" customWidth="1"/>
    <col min="13" max="13" width="14.5703125" style="12" customWidth="1"/>
    <col min="14" max="14" width="9.42578125" style="12" customWidth="1"/>
    <col min="15" max="15" width="13.85546875" style="12" customWidth="1"/>
    <col min="16" max="16" width="3" style="12" customWidth="1"/>
    <col min="17" max="17" width="15" style="12" customWidth="1"/>
    <col min="18" max="18" width="10.28515625" style="12" customWidth="1"/>
    <col min="19" max="19" width="10" style="12" customWidth="1"/>
    <col min="20" max="20" width="12.42578125" style="12" customWidth="1"/>
    <col min="21" max="21" width="7.42578125" style="12" customWidth="1"/>
    <col min="22" max="22" width="11.140625" style="12" customWidth="1"/>
    <col min="23" max="23" width="12.7109375" style="12" customWidth="1"/>
    <col min="24" max="24" width="5.140625" style="12" customWidth="1"/>
    <col min="25" max="25" width="11.7109375" style="12" customWidth="1"/>
    <col min="26" max="26" width="21" style="12" customWidth="1"/>
    <col min="27" max="27" width="14.85546875" style="12" customWidth="1"/>
    <col min="28" max="28" width="15.7109375" style="12" customWidth="1"/>
    <col min="29" max="29" width="14.42578125" style="12" customWidth="1"/>
    <col min="30" max="30" width="10.42578125" style="12" customWidth="1"/>
    <col min="31" max="31" width="13.7109375" style="12" customWidth="1"/>
    <col min="32" max="32" width="10.42578125" style="12" customWidth="1"/>
    <col min="33" max="34" width="9.140625" style="12" customWidth="1"/>
    <col min="35" max="35" width="9.42578125" style="12" customWidth="1"/>
    <col min="36" max="38" width="10" style="12" customWidth="1"/>
    <col min="39" max="39" width="9.5703125" style="12" customWidth="1"/>
    <col min="40" max="40" width="9.42578125" style="12" customWidth="1"/>
    <col min="41" max="41" width="30" style="12" customWidth="1"/>
    <col min="42" max="52" width="10.5703125" style="12" customWidth="1"/>
    <col min="53" max="53" width="20" style="12" customWidth="1"/>
    <col min="54" max="54" width="10.5703125" style="12" customWidth="1"/>
    <col min="55" max="55" width="11.42578125" style="12" customWidth="1"/>
    <col min="56" max="56" width="50" style="12" customWidth="1"/>
    <col min="57" max="57" width="20" style="12" customWidth="1"/>
    <col min="58" max="58" width="50" style="12" customWidth="1"/>
    <col min="59" max="59" width="20" style="12" customWidth="1"/>
    <col min="60" max="60" width="50" style="12" customWidth="1"/>
    <col min="61" max="61" width="20" style="12" customWidth="1"/>
    <col min="62" max="62" width="50" style="12" customWidth="1"/>
    <col min="63" max="63" width="20" style="12" customWidth="1"/>
    <col min="64" max="64" width="50" style="12" customWidth="1"/>
    <col min="65" max="65" width="20" style="12" customWidth="1"/>
    <col min="66" max="66" width="50" style="12" customWidth="1"/>
    <col min="67" max="67" width="20" style="12" customWidth="1"/>
    <col min="68" max="68" width="50" style="12" customWidth="1"/>
    <col min="69" max="69" width="20" style="12" customWidth="1"/>
    <col min="70" max="70" width="50" style="12" customWidth="1"/>
    <col min="71" max="71" width="20" style="12" customWidth="1"/>
    <col min="72" max="72" width="50" style="12" customWidth="1"/>
    <col min="73" max="73" width="20" style="12" customWidth="1"/>
    <col min="74" max="74" width="50" style="12" customWidth="1"/>
    <col min="75" max="75" width="20" style="12" customWidth="1"/>
    <col min="76" max="76" width="50" style="12" customWidth="1"/>
    <col min="77" max="77" width="20" style="12" customWidth="1"/>
    <col min="78" max="78" width="50" style="12" customWidth="1"/>
    <col min="79" max="79" width="20" style="12" customWidth="1"/>
    <col min="80" max="80" width="50" style="12" customWidth="1"/>
    <col min="81" max="81" width="20" style="12" customWidth="1"/>
    <col min="82" max="82" width="50" style="12" customWidth="1"/>
    <col min="83" max="83" width="20" style="12" customWidth="1"/>
    <col min="84" max="84" width="50" style="12" customWidth="1"/>
    <col min="85" max="85" width="20" style="12" customWidth="1"/>
    <col min="86" max="86" width="50" style="12" customWidth="1"/>
    <col min="87" max="87" width="20" style="12" customWidth="1"/>
    <col min="88" max="88" width="50" style="12" customWidth="1"/>
    <col min="89" max="16384" width="9.140625" style="12"/>
  </cols>
  <sheetData>
    <row r="1" spans="1:88" ht="17.25" customHeight="1">
      <c r="A1" s="39" t="s">
        <v>0</v>
      </c>
      <c r="B1" s="39" t="s">
        <v>1</v>
      </c>
      <c r="C1" s="39" t="s">
        <v>2</v>
      </c>
      <c r="D1" s="39" t="s">
        <v>3</v>
      </c>
      <c r="E1" s="40"/>
      <c r="F1" s="12" t="s">
        <v>4</v>
      </c>
      <c r="G1" s="2558">
        <f>4*60*1000*SpeedFaktor</f>
        <v>240000</v>
      </c>
      <c r="H1" s="12">
        <v>10</v>
      </c>
      <c r="AH1" s="12" t="s">
        <v>5</v>
      </c>
      <c r="AI1" s="12" t="s">
        <v>657</v>
      </c>
      <c r="AJ1" s="12" t="s">
        <v>676</v>
      </c>
      <c r="AK1" s="12" t="s">
        <v>658</v>
      </c>
      <c r="AL1" s="12" t="s">
        <v>489</v>
      </c>
      <c r="AM1" s="12" t="s">
        <v>13</v>
      </c>
      <c r="AN1" s="187" t="s">
        <v>8</v>
      </c>
      <c r="AO1" s="12" t="s">
        <v>65</v>
      </c>
      <c r="AP1" s="187" t="s">
        <v>8</v>
      </c>
      <c r="AQ1" s="708" t="s">
        <v>15</v>
      </c>
      <c r="AR1" s="709" t="s">
        <v>8</v>
      </c>
      <c r="AS1" s="708" t="s">
        <v>645</v>
      </c>
      <c r="AT1" s="709" t="s">
        <v>8</v>
      </c>
      <c r="AU1" s="708" t="s">
        <v>1285</v>
      </c>
      <c r="AV1" s="709" t="s">
        <v>8</v>
      </c>
      <c r="AW1" s="708" t="s">
        <v>1286</v>
      </c>
      <c r="AX1" s="709" t="s">
        <v>8</v>
      </c>
      <c r="AY1" s="710" t="s">
        <v>1303</v>
      </c>
      <c r="AZ1" s="709" t="s">
        <v>8</v>
      </c>
      <c r="BA1" s="834" t="s">
        <v>1311</v>
      </c>
      <c r="BB1" s="709" t="s">
        <v>8</v>
      </c>
      <c r="BC1" s="960" t="s">
        <v>1318</v>
      </c>
      <c r="BD1" s="961" t="s">
        <v>572</v>
      </c>
      <c r="BE1" s="1107" t="s">
        <v>1324</v>
      </c>
      <c r="BF1" s="1108" t="s">
        <v>572</v>
      </c>
      <c r="BG1" s="1310" t="s">
        <v>1341</v>
      </c>
      <c r="BH1" s="1311" t="s">
        <v>572</v>
      </c>
      <c r="BI1" s="1564" t="s">
        <v>1363</v>
      </c>
      <c r="BJ1" s="1565" t="s">
        <v>572</v>
      </c>
      <c r="BK1" s="1706" t="s">
        <v>1368</v>
      </c>
      <c r="BL1" s="1707" t="s">
        <v>572</v>
      </c>
      <c r="BM1" s="1847" t="s">
        <v>1372</v>
      </c>
      <c r="BN1" s="1848" t="s">
        <v>572</v>
      </c>
      <c r="BO1" s="2123" t="s">
        <v>1397</v>
      </c>
      <c r="BP1" s="2124" t="s">
        <v>572</v>
      </c>
      <c r="BQ1" s="2311" t="s">
        <v>1421</v>
      </c>
      <c r="BR1" s="2312" t="s">
        <v>572</v>
      </c>
      <c r="BS1" s="2472" t="s">
        <v>1434</v>
      </c>
      <c r="BT1" s="2473" t="s">
        <v>572</v>
      </c>
      <c r="BU1" s="2633" t="s">
        <v>1442</v>
      </c>
      <c r="BV1" s="2634" t="s">
        <v>572</v>
      </c>
      <c r="BW1" s="2818" t="s">
        <v>1460</v>
      </c>
      <c r="BX1" s="2819" t="s">
        <v>572</v>
      </c>
      <c r="BY1" s="3000" t="s">
        <v>1472</v>
      </c>
      <c r="BZ1" s="3001" t="s">
        <v>572</v>
      </c>
      <c r="CA1" s="3188" t="s">
        <v>1492</v>
      </c>
      <c r="CB1" s="3189" t="s">
        <v>572</v>
      </c>
      <c r="CC1" s="3364" t="s">
        <v>1503</v>
      </c>
      <c r="CD1" s="3365" t="s">
        <v>572</v>
      </c>
      <c r="CE1" s="3546" t="s">
        <v>1519</v>
      </c>
      <c r="CF1" s="3547" t="s">
        <v>572</v>
      </c>
      <c r="CG1" s="3838" t="s">
        <v>1666</v>
      </c>
      <c r="CH1" s="3839" t="s">
        <v>572</v>
      </c>
      <c r="CI1" s="4059" t="s">
        <v>1717</v>
      </c>
      <c r="CJ1" s="4060" t="s">
        <v>572</v>
      </c>
    </row>
    <row r="2" spans="1:88" s="10" customFormat="1" ht="14.25" customHeight="1">
      <c r="A2" s="121">
        <v>1</v>
      </c>
      <c r="B2" s="121" t="s">
        <v>21</v>
      </c>
      <c r="C2" s="120" t="str">
        <f>'001a'!B59</f>
        <v>{"url":p.aventisURL}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>
        <v>2082</v>
      </c>
      <c r="AJ2" s="12">
        <v>2076</v>
      </c>
      <c r="AK2" s="12">
        <v>1940</v>
      </c>
      <c r="AL2" s="12">
        <v>2917</v>
      </c>
      <c r="AM2" s="12">
        <v>1779</v>
      </c>
      <c r="AN2" s="156">
        <f>AM2/($AK2)</f>
        <v>0.91701030927835048</v>
      </c>
      <c r="AO2" s="12">
        <v>1449</v>
      </c>
      <c r="AP2" s="156">
        <f>AO2/($AK2)</f>
        <v>0.74690721649484537</v>
      </c>
      <c r="AQ2" s="12">
        <v>1304</v>
      </c>
      <c r="AR2" s="156">
        <f>AQ2/($AK2)</f>
        <v>0.6721649484536083</v>
      </c>
      <c r="AS2" s="2">
        <v>1628</v>
      </c>
      <c r="AT2" s="156">
        <f>AS2/($AK2)</f>
        <v>0.83917525773195878</v>
      </c>
      <c r="AU2" s="2">
        <v>1242</v>
      </c>
      <c r="AV2" s="156">
        <f>AU2/($AK2)</f>
        <v>0.64020618556701026</v>
      </c>
      <c r="AW2" s="2">
        <v>568</v>
      </c>
      <c r="AX2" s="156">
        <f>AW2/($AK2)</f>
        <v>0.29278350515463919</v>
      </c>
      <c r="AY2" s="10">
        <v>1254</v>
      </c>
      <c r="AZ2" s="156">
        <f>AY2/($AK2)</f>
        <v>0.64639175257731962</v>
      </c>
      <c r="BA2" s="10">
        <v>1423</v>
      </c>
      <c r="BB2" s="156">
        <f>BA2/($AK2)</f>
        <v>0.73350515463917521</v>
      </c>
      <c r="BC2" s="10">
        <v>1218</v>
      </c>
      <c r="BE2" s="10">
        <v>1158</v>
      </c>
      <c r="BG2" s="10">
        <v>1197</v>
      </c>
      <c r="BI2" s="10">
        <v>1205</v>
      </c>
      <c r="BK2" s="10">
        <v>1153</v>
      </c>
      <c r="BM2" s="10">
        <v>1197</v>
      </c>
      <c r="BO2" s="10">
        <v>2061</v>
      </c>
      <c r="BQ2" s="10">
        <v>1769</v>
      </c>
      <c r="BS2" s="10">
        <v>1644</v>
      </c>
      <c r="BU2" s="10">
        <v>1106</v>
      </c>
      <c r="BW2" s="10">
        <v>1196</v>
      </c>
      <c r="BY2" s="10">
        <v>1669</v>
      </c>
      <c r="CA2" s="10">
        <v>1125</v>
      </c>
      <c r="CC2" s="10">
        <v>1142</v>
      </c>
      <c r="CE2" s="10">
        <v>1545</v>
      </c>
      <c r="CG2" s="10">
        <v>999</v>
      </c>
      <c r="CI2" s="10">
        <v>593</v>
      </c>
      <c r="CJ2" s="10" t="s">
        <v>1718</v>
      </c>
    </row>
    <row r="3" spans="1:88" s="10" customFormat="1" ht="14.25" customHeight="1" thickBot="1">
      <c r="A3" s="121">
        <v>2</v>
      </c>
      <c r="B3" s="121" t="s">
        <v>25</v>
      </c>
      <c r="C3" s="120" t="s">
        <v>633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>
        <v>7795</v>
      </c>
      <c r="AJ3" s="12">
        <v>6516</v>
      </c>
      <c r="AK3" s="12">
        <v>6716</v>
      </c>
      <c r="AL3" s="12">
        <v>8403</v>
      </c>
      <c r="AM3" s="12">
        <v>8827</v>
      </c>
      <c r="AN3" s="156">
        <f t="shared" ref="AN3:BB4" si="0">AM3/($AK3)</f>
        <v>1.3143240023823703</v>
      </c>
      <c r="AO3" s="12">
        <v>10309</v>
      </c>
      <c r="AP3" s="156">
        <f t="shared" si="0"/>
        <v>1.5349910661107802</v>
      </c>
      <c r="AQ3" s="12">
        <v>8584</v>
      </c>
      <c r="AR3" s="156">
        <f t="shared" si="0"/>
        <v>1.278141751042287</v>
      </c>
      <c r="AS3" s="2">
        <v>7994</v>
      </c>
      <c r="AT3" s="156">
        <f t="shared" si="0"/>
        <v>1.1902918403811793</v>
      </c>
      <c r="AU3" s="2">
        <v>7921</v>
      </c>
      <c r="AV3" s="156">
        <f t="shared" si="0"/>
        <v>1.1794222751637879</v>
      </c>
      <c r="AW3" s="2">
        <v>4680</v>
      </c>
      <c r="AX3" s="156">
        <f t="shared" si="0"/>
        <v>0.69684335914234663</v>
      </c>
      <c r="AY3" s="10">
        <v>7042</v>
      </c>
      <c r="AZ3" s="156">
        <f t="shared" si="0"/>
        <v>1.0485407980941037</v>
      </c>
      <c r="BA3" s="10">
        <v>8625</v>
      </c>
      <c r="BB3" s="156">
        <f t="shared" si="0"/>
        <v>1.2842465753424657</v>
      </c>
      <c r="BC3" s="10">
        <v>7369</v>
      </c>
      <c r="BE3" s="10">
        <v>7175</v>
      </c>
      <c r="BG3" s="10">
        <v>7149</v>
      </c>
      <c r="BI3" s="10">
        <v>7129</v>
      </c>
      <c r="BK3" s="10">
        <v>6922</v>
      </c>
      <c r="BM3" s="10">
        <v>6546</v>
      </c>
      <c r="BO3" s="10">
        <v>7536</v>
      </c>
      <c r="BQ3" s="10">
        <v>7368</v>
      </c>
      <c r="BS3" s="10">
        <v>6758</v>
      </c>
      <c r="BU3" s="10">
        <v>6538</v>
      </c>
      <c r="BW3" s="10">
        <v>8997</v>
      </c>
      <c r="BY3" s="10">
        <v>8284</v>
      </c>
      <c r="CA3" s="10">
        <v>7839</v>
      </c>
      <c r="CC3" s="10">
        <v>8773</v>
      </c>
      <c r="CE3" s="10">
        <v>9272</v>
      </c>
      <c r="CG3" s="10">
        <v>7693</v>
      </c>
      <c r="CI3" s="10">
        <v>6867</v>
      </c>
      <c r="CJ3" s="10" t="s">
        <v>1718</v>
      </c>
    </row>
    <row r="4" spans="1:88" s="10" customFormat="1" ht="35.25" customHeight="1" thickBot="1">
      <c r="A4" s="121"/>
      <c r="B4" s="596" t="s">
        <v>759</v>
      </c>
      <c r="C4" s="707" t="str">
        <f ca="1">E4</f>
        <v>{"dossier":p.DossierName1,"level1":"Situationsbedingte Leistungen","level2":"Gesundheit","level3":"Brille","titel":"Grille","leistungserbringer":"Agrisano Krankenkasse AG, 5210 Brugg","betrag":500,"klient":`${p.FamilyName1}, ${p.ManFirstName1}`,"gultigAb":"04.11.2025","verFallDatum":"31.12.2025","begruendung":"Keine"}</v>
      </c>
      <c r="D4" s="187" t="s">
        <v>28</v>
      </c>
      <c r="E4" s="187" t="str">
        <f ca="1">F4&amp;G4&amp;H4&amp;I4&amp;J4&amp;K4&amp;L4&amp;M4&amp;N4&amp;O4&amp;P4&amp;Q4&amp;R4&amp;S4&amp;T4&amp;U4&amp;V4&amp;W4&amp;X4&amp;Y4&amp;Z4&amp;AA4&amp;AB4&amp;AC4&amp;AD4&amp;AE4&amp;AF4&amp;AG4&amp;AH4</f>
        <v>{"dossier":p.DossierName1,"level1":"Situationsbedingte Leistungen","level2":"Gesundheit","level3":"Brille","titel":"Grille","leistungserbringer":"Agrisano Krankenkasse AG, 5210 Brugg","betrag":500,"klient":`${p.FamilyName1}, ${p.ManFirstName1}`,"gultigAb":"04.11.2025","verFallDatum":"31.12.2025","begruendung":"Keine"}</v>
      </c>
      <c r="F4" s="255" t="s">
        <v>159</v>
      </c>
      <c r="G4" s="187" t="s">
        <v>449</v>
      </c>
      <c r="H4" s="255" t="s">
        <v>760</v>
      </c>
      <c r="I4" s="273" t="s">
        <v>761</v>
      </c>
      <c r="J4" s="187" t="s">
        <v>762</v>
      </c>
      <c r="K4" s="264" t="s">
        <v>763</v>
      </c>
      <c r="L4" s="265" t="s">
        <v>764</v>
      </c>
      <c r="M4" s="187" t="s">
        <v>765</v>
      </c>
      <c r="N4" s="187" t="s">
        <v>442</v>
      </c>
      <c r="O4" s="187" t="s">
        <v>773</v>
      </c>
      <c r="P4" s="187" t="s">
        <v>767</v>
      </c>
      <c r="Q4" s="187" t="s">
        <v>768</v>
      </c>
      <c r="R4" s="187" t="s">
        <v>556</v>
      </c>
      <c r="S4" s="25">
        <v>500</v>
      </c>
      <c r="T4" s="187" t="s">
        <v>769</v>
      </c>
      <c r="U4" s="187" t="s">
        <v>492</v>
      </c>
      <c r="V4" s="187" t="s">
        <v>770</v>
      </c>
      <c r="W4" s="151" t="str">
        <f ca="1">TEXT(TEXT(TODAY(),"DD")&amp;"."&amp;TEXT(TODAY(),"MM")&amp;"."&amp;TEXT(TODAY(),"YYYY"),"DD.MM.YYYY")</f>
        <v>04.11.2025</v>
      </c>
      <c r="X4" s="187" t="s">
        <v>771</v>
      </c>
      <c r="Y4" s="336" t="str">
        <f ca="1">"31.12."&amp;YEAR(TODAY())</f>
        <v>31.12.2025</v>
      </c>
      <c r="Z4" s="187" t="s">
        <v>515</v>
      </c>
      <c r="AA4" s="25" t="s">
        <v>772</v>
      </c>
      <c r="AB4" s="187" t="s">
        <v>37</v>
      </c>
      <c r="AC4" s="187"/>
      <c r="AD4" s="187"/>
      <c r="AE4" s="187"/>
      <c r="AF4" s="187"/>
      <c r="AG4" s="187"/>
      <c r="AH4" s="187"/>
      <c r="AI4" s="187">
        <v>20390</v>
      </c>
      <c r="AJ4" s="187">
        <v>19290</v>
      </c>
      <c r="AK4" s="187">
        <v>19307</v>
      </c>
      <c r="AL4" s="187">
        <v>33496</v>
      </c>
      <c r="AM4" s="187">
        <v>17764</v>
      </c>
      <c r="AN4" s="156">
        <f t="shared" si="0"/>
        <v>0.92008079970994971</v>
      </c>
      <c r="AO4" s="187">
        <v>11888</v>
      </c>
      <c r="AP4" s="156">
        <f t="shared" si="0"/>
        <v>0.61573522556585691</v>
      </c>
      <c r="AR4" s="156">
        <f t="shared" si="0"/>
        <v>0</v>
      </c>
      <c r="AT4" s="156">
        <f t="shared" si="0"/>
        <v>0</v>
      </c>
      <c r="AV4" s="156">
        <f t="shared" si="0"/>
        <v>0</v>
      </c>
      <c r="AX4" s="156">
        <f t="shared" si="0"/>
        <v>0</v>
      </c>
      <c r="AZ4" s="156">
        <f t="shared" si="0"/>
        <v>0</v>
      </c>
      <c r="BB4" s="156">
        <f t="shared" si="0"/>
        <v>0</v>
      </c>
    </row>
    <row r="5" spans="1:88" s="10" customFormat="1" ht="69.75" customHeight="1" thickBot="1">
      <c r="A5" s="185">
        <v>6</v>
      </c>
      <c r="B5" s="240" t="s">
        <v>774</v>
      </c>
      <c r="C5" s="255" t="str">
        <f ca="1">E5</f>
        <v>{"dossier":p.DossierName1,"level1":"Situationsbedingte Leistungen","level2":"Gesundheit","level3":"Brille","titel":"Keine Brille","leistungserbringer":"Agrisano Krankenkasse AG","betrag":555,"klient":`${p.FamilyName1}, ${p.ManFirstName1}`,"gultigAb":"04.11.2025","verFallDatum":"31.12.2025","begruendung":"Keine","kostenVorDoc":"c:/temp/Kostenvoranschlag.pdf","bewilligtDoc":"c:/temp/bewilligDoc.docx","diverseDoc":"c:/temp/bewilligDoc.docx"}</v>
      </c>
      <c r="D5" s="187" t="s">
        <v>28</v>
      </c>
      <c r="E5" s="187" t="str">
        <f ca="1">F5&amp;G5&amp;H5&amp;I5&amp;J5&amp;K5&amp;L5&amp;M5&amp;N5&amp;O5&amp;P5&amp;Q5&amp;R5&amp;S5&amp;T5&amp;U5&amp;V5&amp;W5&amp;X5&amp;Y5&amp;Z5&amp;AA5&amp;AB5&amp;AC5&amp;AD5&amp;AE5&amp;AF5&amp;AG5&amp;AH5</f>
        <v>{"dossier":p.DossierName1,"level1":"Situationsbedingte Leistungen","level2":"Gesundheit","level3":"Brille","titel":"Keine Brille","leistungserbringer":"Agrisano Krankenkasse AG","betrag":555,"klient":`${p.FamilyName1}, ${p.ManFirstName1}`,"gultigAb":"04.11.2025","verFallDatum":"31.12.2025","begruendung":"Keine","kostenVorDoc":"c:/temp/Kostenvoranschlag.pdf","bewilligtDoc":"c:/temp/bewilligDoc.docx","diverseDoc":"c:/temp/bewilligDoc.docx"}</v>
      </c>
      <c r="F5" s="255" t="s">
        <v>159</v>
      </c>
      <c r="G5" s="187" t="str">
        <f>G4</f>
        <v>p.DossierName1</v>
      </c>
      <c r="H5" s="255" t="s">
        <v>760</v>
      </c>
      <c r="I5" s="273" t="s">
        <v>761</v>
      </c>
      <c r="J5" s="187" t="s">
        <v>762</v>
      </c>
      <c r="K5" s="264" t="s">
        <v>763</v>
      </c>
      <c r="L5" s="265" t="s">
        <v>764</v>
      </c>
      <c r="M5" s="187" t="s">
        <v>765</v>
      </c>
      <c r="N5" s="187" t="s">
        <v>442</v>
      </c>
      <c r="O5" s="187" t="s">
        <v>766</v>
      </c>
      <c r="P5" s="187" t="s">
        <v>767</v>
      </c>
      <c r="Q5" s="187" t="s">
        <v>775</v>
      </c>
      <c r="R5" s="187" t="s">
        <v>556</v>
      </c>
      <c r="S5" s="25">
        <v>555</v>
      </c>
      <c r="T5" s="187" t="s">
        <v>769</v>
      </c>
      <c r="U5" s="187" t="str">
        <f>U4</f>
        <v>${p.FamilyName1}, ${p.ManFirstName1}</v>
      </c>
      <c r="V5" s="187" t="s">
        <v>770</v>
      </c>
      <c r="W5" s="151" t="str">
        <f ca="1">TEXT(TEXT(TODAY(),"DD")&amp;"."&amp;TEXT(TODAY(),"MM")&amp;"."&amp;TEXT(TODAY(),"YYYY"),"DD.MM.YYYY")</f>
        <v>04.11.2025</v>
      </c>
      <c r="X5" s="187" t="s">
        <v>771</v>
      </c>
      <c r="Y5" s="336" t="str">
        <f ca="1">"31.12."&amp;YEAR(TODAY())</f>
        <v>31.12.2025</v>
      </c>
      <c r="Z5" s="187" t="s">
        <v>515</v>
      </c>
      <c r="AA5" s="25" t="s">
        <v>772</v>
      </c>
      <c r="AB5" s="187" t="s">
        <v>776</v>
      </c>
      <c r="AC5" s="211" t="s">
        <v>777</v>
      </c>
      <c r="AD5" s="187" t="s">
        <v>778</v>
      </c>
      <c r="AE5" s="187" t="s">
        <v>779</v>
      </c>
      <c r="AF5" s="187" t="s">
        <v>780</v>
      </c>
      <c r="AG5" s="187" t="s">
        <v>779</v>
      </c>
      <c r="AH5" s="187" t="s">
        <v>37</v>
      </c>
      <c r="AI5" s="187">
        <v>20390</v>
      </c>
      <c r="AJ5" s="187">
        <v>19290</v>
      </c>
      <c r="AK5" s="187">
        <v>19307</v>
      </c>
      <c r="AL5" s="187">
        <v>33496</v>
      </c>
      <c r="AM5" s="187">
        <v>24773</v>
      </c>
      <c r="AN5" s="156">
        <f>AM5/($AK5)</f>
        <v>1.2831097529393485</v>
      </c>
      <c r="AO5" s="187">
        <v>15921</v>
      </c>
      <c r="AP5" s="156">
        <f>AO5/($AK5)</f>
        <v>0.82462319366033043</v>
      </c>
      <c r="AQ5" s="12">
        <v>16512</v>
      </c>
      <c r="AR5" s="156">
        <f>AQ5/($AK5)</f>
        <v>0.85523385300668153</v>
      </c>
      <c r="AS5" s="2">
        <v>12851</v>
      </c>
      <c r="AT5" s="156">
        <f>AS5/($AK5)</f>
        <v>0.6656135080540736</v>
      </c>
      <c r="AU5" s="2">
        <v>15458</v>
      </c>
      <c r="AV5" s="156">
        <f>AU5/($AK5)</f>
        <v>0.80064225410472889</v>
      </c>
      <c r="AW5" s="2">
        <v>12170</v>
      </c>
      <c r="AX5" s="156">
        <f>AW5/($AK5)</f>
        <v>0.6303413269798519</v>
      </c>
      <c r="AY5" s="10">
        <v>12800</v>
      </c>
      <c r="AZ5" s="156">
        <f>AY5/($AK5)</f>
        <v>0.66297197907494687</v>
      </c>
      <c r="BA5" s="835">
        <v>0</v>
      </c>
      <c r="BB5" s="156">
        <f>BA5/($AK5)</f>
        <v>0</v>
      </c>
      <c r="BC5" s="962">
        <v>0</v>
      </c>
      <c r="BD5" s="1038" t="s">
        <v>1313</v>
      </c>
      <c r="BE5" s="10">
        <v>13381</v>
      </c>
      <c r="BG5" s="10">
        <v>12472</v>
      </c>
      <c r="BI5" s="10">
        <v>10541</v>
      </c>
      <c r="BK5" s="10">
        <v>10667</v>
      </c>
      <c r="BM5" s="10">
        <v>10123</v>
      </c>
      <c r="BO5" s="2125">
        <v>0</v>
      </c>
      <c r="BP5" s="2126" t="s">
        <v>1407</v>
      </c>
      <c r="BQ5" s="10">
        <v>13412</v>
      </c>
      <c r="BS5" s="10">
        <v>17314</v>
      </c>
      <c r="BU5" s="10">
        <v>16008</v>
      </c>
      <c r="BW5" s="10">
        <v>14532</v>
      </c>
      <c r="BY5" s="10">
        <v>12909</v>
      </c>
      <c r="CA5" s="10">
        <v>12248</v>
      </c>
      <c r="CC5" s="10">
        <v>16079</v>
      </c>
      <c r="CE5" s="3548">
        <v>0</v>
      </c>
      <c r="CF5" s="3549" t="s">
        <v>1534</v>
      </c>
      <c r="CG5" s="10">
        <v>17586</v>
      </c>
      <c r="CI5" s="10">
        <v>12485</v>
      </c>
      <c r="CJ5" s="10" t="s">
        <v>1718</v>
      </c>
    </row>
    <row r="6" spans="1:88" s="10" customFormat="1" ht="32.25" customHeight="1" thickBot="1">
      <c r="A6" s="24"/>
      <c r="B6" s="240"/>
      <c r="C6" s="255"/>
      <c r="D6" s="24"/>
      <c r="E6" s="24"/>
      <c r="F6" s="255"/>
      <c r="G6" s="24"/>
      <c r="H6" s="255"/>
      <c r="I6" s="273"/>
      <c r="J6" s="24"/>
      <c r="K6" s="264"/>
      <c r="L6" s="265"/>
      <c r="M6" s="24"/>
      <c r="N6" s="24"/>
      <c r="O6" s="24"/>
      <c r="P6" s="24"/>
      <c r="Q6" s="24"/>
      <c r="R6" s="24"/>
      <c r="S6" s="25"/>
      <c r="T6" s="24"/>
      <c r="U6" s="24"/>
      <c r="V6" s="24"/>
      <c r="W6" s="335"/>
      <c r="X6" s="24"/>
      <c r="Y6" s="336"/>
      <c r="Z6" s="24"/>
      <c r="AA6" s="25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156"/>
      <c r="AO6" s="24"/>
      <c r="AP6" s="156"/>
      <c r="AQ6" s="24"/>
      <c r="AR6" s="156"/>
      <c r="AS6" s="24"/>
      <c r="AT6" s="156"/>
      <c r="AU6" s="24"/>
      <c r="AV6" s="156"/>
      <c r="AW6" s="2"/>
      <c r="AX6" s="156"/>
      <c r="AY6" s="2"/>
      <c r="AZ6" s="156"/>
      <c r="BA6" s="2"/>
      <c r="BB6" s="156"/>
      <c r="BC6" s="2"/>
      <c r="BD6" s="156"/>
      <c r="BF6" s="156"/>
    </row>
    <row r="7" spans="1:88"/>
    <row r="8" spans="1:88" ht="99.75">
      <c r="B8" s="1038" t="s">
        <v>1313</v>
      </c>
    </row>
    <row r="9" spans="1:88"/>
    <row r="10" spans="1:88"/>
    <row r="11" spans="1:88"/>
    <row r="12" spans="1:88"/>
    <row r="13" spans="1:88"/>
    <row r="14" spans="1:88"/>
    <row r="15" spans="1:88"/>
    <row r="16" spans="1:88"/>
    <row r="17" spans="2:2" ht="14.25" customHeight="1">
      <c r="B17" s="12" t="s">
        <v>305</v>
      </c>
    </row>
  </sheetData>
  <conditionalFormatting sqref="AN2:AN5 AP2:AP5 AR2:AR5 AT2:AT5 AT7:AT146 AR7:AR146 AP7:AP146 AN7:AN146">
    <cfRule type="colorScale" priority="1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N6 AP6 AR6 AT6 AV6 AX6 AZ6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V2:AV5 AV7:AV146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X2:AX5 AX7:AX146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2:AZ5 AZ7:AZ146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5 BB7:BB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6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D050"/>
  </sheetPr>
  <dimension ref="A1:CP8"/>
  <sheetViews>
    <sheetView zoomScaleNormal="100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B24" sqref="B24"/>
    </sheetView>
  </sheetViews>
  <sheetFormatPr defaultColWidth="9.140625" defaultRowHeight="14.25" customHeight="1"/>
  <cols>
    <col min="1" max="1" width="4.85546875" style="1" customWidth="1"/>
    <col min="2" max="2" width="44.140625" style="2" customWidth="1"/>
    <col min="3" max="3" width="162.42578125" style="2" customWidth="1"/>
    <col min="4" max="4" width="11.28515625" style="2" customWidth="1"/>
    <col min="5" max="5" width="9.85546875" style="3" customWidth="1"/>
    <col min="6" max="6" width="7.7109375" style="2" customWidth="1"/>
    <col min="7" max="7" width="11.28515625" style="2" customWidth="1"/>
    <col min="8" max="8" width="3.5703125" style="2" customWidth="1"/>
    <col min="9" max="9" width="27.5703125" style="2" customWidth="1"/>
    <col min="10" max="10" width="3.85546875" style="2" customWidth="1"/>
    <col min="11" max="11" width="11.42578125" style="2" customWidth="1"/>
    <col min="12" max="12" width="4.7109375" style="2" customWidth="1"/>
    <col min="13" max="13" width="14.5703125" style="2" customWidth="1"/>
    <col min="14" max="14" width="9.42578125" style="2" customWidth="1"/>
    <col min="15" max="15" width="13.85546875" style="2" customWidth="1"/>
    <col min="16" max="16" width="3" style="2" customWidth="1"/>
    <col min="17" max="17" width="15" style="2" customWidth="1"/>
    <col min="18" max="18" width="10.28515625" style="2" customWidth="1"/>
    <col min="19" max="19" width="10" style="2" customWidth="1"/>
    <col min="20" max="20" width="12.42578125" style="2" customWidth="1"/>
    <col min="21" max="21" width="7.42578125" style="2" customWidth="1"/>
    <col min="22" max="22" width="11.140625" style="2" customWidth="1"/>
    <col min="23" max="23" width="12.7109375" style="2" customWidth="1"/>
    <col min="24" max="24" width="5.140625" style="2" customWidth="1"/>
    <col min="25" max="25" width="11.7109375" style="2" customWidth="1"/>
    <col min="26" max="26" width="21" style="2" customWidth="1"/>
    <col min="27" max="27" width="14.85546875" style="2" customWidth="1"/>
    <col min="28" max="28" width="15.7109375" style="2" customWidth="1"/>
    <col min="29" max="29" width="14.42578125" style="2" customWidth="1"/>
    <col min="30" max="30" width="10.42578125" style="2" customWidth="1"/>
    <col min="31" max="31" width="13.7109375" style="2" customWidth="1"/>
    <col min="32" max="32" width="10.42578125" style="2" customWidth="1"/>
    <col min="33" max="34" width="9.140625" style="2" customWidth="1"/>
    <col min="35" max="38" width="9.85546875" style="2" customWidth="1"/>
    <col min="39" max="39" width="9.140625" style="2" customWidth="1"/>
    <col min="40" max="40" width="9.140625" style="12" customWidth="1"/>
    <col min="41" max="41" width="9.140625" style="2" customWidth="1"/>
    <col min="42" max="42" width="9.140625" style="12" customWidth="1"/>
    <col min="43" max="43" width="9.140625" style="2" customWidth="1"/>
    <col min="44" max="44" width="9.140625" style="12" customWidth="1"/>
    <col min="45" max="45" width="9.140625" style="2" customWidth="1"/>
    <col min="46" max="46" width="9.140625" style="12" customWidth="1"/>
    <col min="47" max="47" width="30" style="2" customWidth="1"/>
    <col min="48" max="48" width="9.140625" style="12" customWidth="1"/>
    <col min="49" max="49" width="11.140625" style="2" customWidth="1"/>
    <col min="50" max="50" width="9.140625" style="12" customWidth="1"/>
    <col min="51" max="51" width="10.85546875" style="2" customWidth="1"/>
    <col min="52" max="52" width="9.140625" style="12" customWidth="1"/>
    <col min="53" max="53" width="11.42578125" style="2" customWidth="1"/>
    <col min="54" max="54" width="9.140625" style="12" customWidth="1"/>
    <col min="55" max="55" width="11.5703125" style="2" customWidth="1"/>
    <col min="56" max="56" width="9.140625" style="12" customWidth="1"/>
    <col min="57" max="57" width="10.85546875" style="2" customWidth="1"/>
    <col min="58" max="58" width="9.140625" style="12" customWidth="1"/>
    <col min="59" max="59" width="20" style="2" customWidth="1"/>
    <col min="60" max="60" width="9.140625" style="12" customWidth="1"/>
    <col min="61" max="61" width="20" style="2" customWidth="1"/>
    <col min="62" max="62" width="9.140625" style="1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4*60*1000*SpeedFaktor</f>
        <v>240000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489</v>
      </c>
      <c r="AM1" s="2" t="s">
        <v>10</v>
      </c>
      <c r="AN1" s="24" t="s">
        <v>8</v>
      </c>
      <c r="AO1" s="2" t="s">
        <v>11</v>
      </c>
      <c r="AP1" s="24" t="s">
        <v>8</v>
      </c>
      <c r="AQ1" s="2" t="s">
        <v>12</v>
      </c>
      <c r="AR1" s="24" t="s">
        <v>8</v>
      </c>
      <c r="AS1" s="2" t="s">
        <v>13</v>
      </c>
      <c r="AT1" s="24" t="s">
        <v>8</v>
      </c>
      <c r="AU1" s="277" t="s">
        <v>65</v>
      </c>
      <c r="AV1" s="712" t="s">
        <v>8</v>
      </c>
      <c r="AW1" s="277" t="s">
        <v>15</v>
      </c>
      <c r="AX1" s="712" t="s">
        <v>8</v>
      </c>
      <c r="AY1" s="277" t="s">
        <v>17</v>
      </c>
      <c r="AZ1" s="712" t="s">
        <v>8</v>
      </c>
      <c r="BA1" s="277" t="s">
        <v>1285</v>
      </c>
      <c r="BB1" s="712" t="s">
        <v>8</v>
      </c>
      <c r="BC1" s="277" t="s">
        <v>1286</v>
      </c>
      <c r="BD1" s="712" t="s">
        <v>8</v>
      </c>
      <c r="BE1" s="711" t="s">
        <v>1303</v>
      </c>
      <c r="BF1" s="712" t="s">
        <v>8</v>
      </c>
      <c r="BG1" s="836" t="s">
        <v>1311</v>
      </c>
      <c r="BH1" s="712" t="s">
        <v>8</v>
      </c>
      <c r="BI1" s="963" t="s">
        <v>1318</v>
      </c>
      <c r="BJ1" s="712" t="s">
        <v>8</v>
      </c>
      <c r="BK1" s="1109" t="s">
        <v>1324</v>
      </c>
      <c r="BL1" s="1110" t="s">
        <v>572</v>
      </c>
      <c r="BM1" s="1312" t="s">
        <v>1341</v>
      </c>
      <c r="BN1" s="1313" t="s">
        <v>572</v>
      </c>
      <c r="BO1" s="1566" t="s">
        <v>1363</v>
      </c>
      <c r="BP1" s="1567" t="s">
        <v>572</v>
      </c>
      <c r="BQ1" s="1708" t="s">
        <v>1368</v>
      </c>
      <c r="BR1" s="1709" t="s">
        <v>572</v>
      </c>
      <c r="BS1" s="1849" t="s">
        <v>1372</v>
      </c>
      <c r="BT1" s="1850" t="s">
        <v>572</v>
      </c>
      <c r="BU1" s="2127" t="s">
        <v>1397</v>
      </c>
      <c r="BV1" s="2128" t="s">
        <v>572</v>
      </c>
      <c r="BW1" s="2313" t="s">
        <v>1421</v>
      </c>
      <c r="BX1" s="2314" t="s">
        <v>572</v>
      </c>
      <c r="BY1" s="2474" t="s">
        <v>1434</v>
      </c>
      <c r="BZ1" s="2475" t="s">
        <v>572</v>
      </c>
      <c r="CA1" s="2635" t="s">
        <v>1442</v>
      </c>
      <c r="CB1" s="2636" t="s">
        <v>572</v>
      </c>
      <c r="CC1" s="2820" t="s">
        <v>1460</v>
      </c>
      <c r="CD1" s="2821" t="s">
        <v>572</v>
      </c>
      <c r="CE1" s="3002" t="s">
        <v>1472</v>
      </c>
      <c r="CF1" s="3003" t="s">
        <v>572</v>
      </c>
      <c r="CG1" s="3190" t="s">
        <v>1492</v>
      </c>
      <c r="CH1" s="3191" t="s">
        <v>572</v>
      </c>
      <c r="CI1" s="3366" t="s">
        <v>1503</v>
      </c>
      <c r="CJ1" s="3367" t="s">
        <v>572</v>
      </c>
      <c r="CK1" s="3550" t="s">
        <v>1519</v>
      </c>
      <c r="CL1" s="3551" t="s">
        <v>572</v>
      </c>
      <c r="CM1" s="3840" t="s">
        <v>1666</v>
      </c>
      <c r="CN1" s="3841" t="s">
        <v>572</v>
      </c>
      <c r="CO1" s="4061" t="s">
        <v>1717</v>
      </c>
      <c r="CP1" s="4062" t="s">
        <v>572</v>
      </c>
    </row>
    <row r="2" spans="1:94" s="10" customFormat="1" ht="14.25" customHeight="1">
      <c r="A2" s="606">
        <v>1</v>
      </c>
      <c r="B2" s="606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>
        <v>2082</v>
      </c>
      <c r="AJ2" s="3">
        <v>2076</v>
      </c>
      <c r="AK2" s="3">
        <v>1940</v>
      </c>
      <c r="AL2" s="3">
        <v>1505</v>
      </c>
      <c r="AM2" s="2">
        <v>1735</v>
      </c>
      <c r="AN2" s="156">
        <f>AM2/($AK2)</f>
        <v>0.89432989690721654</v>
      </c>
      <c r="AO2" s="2">
        <v>2358</v>
      </c>
      <c r="AP2" s="156">
        <f>AO2/($AK2)</f>
        <v>1.2154639175257731</v>
      </c>
      <c r="AQ2" s="2">
        <v>1591</v>
      </c>
      <c r="AR2" s="156">
        <f>AQ2/($AK2)</f>
        <v>0.82010309278350513</v>
      </c>
      <c r="AS2" s="2">
        <v>1531</v>
      </c>
      <c r="AT2" s="156">
        <f>AS2/($AK2)</f>
        <v>0.78917525773195873</v>
      </c>
      <c r="AU2" s="2">
        <v>1511</v>
      </c>
      <c r="AV2" s="156">
        <f>AU2/($AK2)</f>
        <v>0.77886597938144331</v>
      </c>
      <c r="AW2" s="2">
        <v>1380</v>
      </c>
      <c r="AX2" s="156">
        <f>AW2/($AK2)</f>
        <v>0.71134020618556704</v>
      </c>
      <c r="AY2" s="2">
        <v>1101</v>
      </c>
      <c r="AZ2" s="156">
        <f>AY2/($AK2)</f>
        <v>0.56752577319587627</v>
      </c>
      <c r="BA2" s="2">
        <v>2008</v>
      </c>
      <c r="BB2" s="156">
        <f>BA2/($AK2)</f>
        <v>1.0350515463917527</v>
      </c>
      <c r="BC2" s="2">
        <v>540</v>
      </c>
      <c r="BD2" s="156">
        <f>BC2/($AK2)</f>
        <v>0.27835051546391754</v>
      </c>
      <c r="BE2" s="10">
        <v>1189</v>
      </c>
      <c r="BF2" s="156">
        <f>BE2/($AK2)</f>
        <v>0.61288659793814437</v>
      </c>
      <c r="BG2" s="10">
        <v>1491</v>
      </c>
      <c r="BH2" s="156">
        <f>BG2/($AK2)</f>
        <v>0.76855670103092788</v>
      </c>
      <c r="BI2" s="10">
        <v>1279</v>
      </c>
      <c r="BJ2" s="156">
        <f>BI2/($AK2)</f>
        <v>0.65927835051546391</v>
      </c>
      <c r="BK2" s="10">
        <v>1196</v>
      </c>
      <c r="BM2" s="10">
        <v>1324</v>
      </c>
      <c r="BO2" s="10">
        <v>1133</v>
      </c>
      <c r="BQ2" s="10">
        <v>1116</v>
      </c>
      <c r="BS2" s="10">
        <v>1209</v>
      </c>
      <c r="BU2" s="10">
        <v>1651</v>
      </c>
      <c r="BW2" s="10">
        <v>1650</v>
      </c>
      <c r="BY2" s="10">
        <v>1665</v>
      </c>
      <c r="CA2" s="10">
        <v>1102</v>
      </c>
      <c r="CC2" s="10">
        <v>1226</v>
      </c>
      <c r="CE2" s="10">
        <v>1123</v>
      </c>
      <c r="CG2" s="10">
        <v>1094</v>
      </c>
      <c r="CI2" s="10">
        <v>1171</v>
      </c>
      <c r="CK2" s="10">
        <v>1136</v>
      </c>
      <c r="CM2" s="10">
        <v>868</v>
      </c>
      <c r="CO2" s="10">
        <v>577</v>
      </c>
      <c r="CP2" s="10" t="s">
        <v>1718</v>
      </c>
    </row>
    <row r="3" spans="1:94" s="10" customFormat="1" ht="14.25" customHeight="1" thickBot="1">
      <c r="A3" s="606">
        <v>2</v>
      </c>
      <c r="B3" s="606" t="s">
        <v>25</v>
      </c>
      <c r="C3" s="120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>
        <v>7795</v>
      </c>
      <c r="AJ3" s="3">
        <v>6516</v>
      </c>
      <c r="AK3" s="3">
        <v>6716</v>
      </c>
      <c r="AL3" s="3">
        <v>9467</v>
      </c>
      <c r="AM3" s="2">
        <v>10101</v>
      </c>
      <c r="AN3" s="156">
        <f t="shared" ref="AN3:AN4" si="0">AM3/($AK3)</f>
        <v>1.5040202501488982</v>
      </c>
      <c r="AO3" s="2">
        <v>9769</v>
      </c>
      <c r="AP3" s="156">
        <f t="shared" ref="AP3:AP4" si="1">AO3/($AK3)</f>
        <v>1.4545860631328171</v>
      </c>
      <c r="AQ3" s="2">
        <v>8450</v>
      </c>
      <c r="AR3" s="156">
        <f t="shared" ref="AR3:AX4" si="2">AQ3/($AK3)</f>
        <v>1.2581893984514592</v>
      </c>
      <c r="AS3" s="2">
        <v>9334</v>
      </c>
      <c r="AT3" s="156">
        <f t="shared" si="2"/>
        <v>1.3898153662894581</v>
      </c>
      <c r="AU3" s="2">
        <v>9854</v>
      </c>
      <c r="AV3" s="156">
        <f t="shared" si="2"/>
        <v>1.4672424061941631</v>
      </c>
      <c r="AW3" s="2">
        <v>8919</v>
      </c>
      <c r="AX3" s="156">
        <f t="shared" si="2"/>
        <v>1.3280226325193567</v>
      </c>
      <c r="AY3" s="2">
        <v>7102</v>
      </c>
      <c r="AZ3" s="156">
        <f t="shared" ref="AZ3:BJ4" si="3">AY3/($AK3)</f>
        <v>1.0574746873138774</v>
      </c>
      <c r="BA3" s="2">
        <v>10045</v>
      </c>
      <c r="BB3" s="156">
        <f t="shared" si="3"/>
        <v>1.495681953543776</v>
      </c>
      <c r="BC3" s="2">
        <v>4919</v>
      </c>
      <c r="BD3" s="156">
        <f t="shared" si="3"/>
        <v>0.73243001786777839</v>
      </c>
      <c r="BE3" s="10">
        <v>6899</v>
      </c>
      <c r="BF3" s="156">
        <f t="shared" si="3"/>
        <v>1.0272483621203097</v>
      </c>
      <c r="BG3" s="10">
        <v>8236</v>
      </c>
      <c r="BH3" s="156">
        <f t="shared" si="3"/>
        <v>1.2263251935675998</v>
      </c>
      <c r="BI3" s="10">
        <v>7504</v>
      </c>
      <c r="BJ3" s="156">
        <f t="shared" si="3"/>
        <v>1.1173317450863609</v>
      </c>
      <c r="BK3" s="10">
        <v>7463</v>
      </c>
      <c r="BM3" s="10">
        <v>7318</v>
      </c>
      <c r="BO3" s="10">
        <v>7300</v>
      </c>
      <c r="BQ3" s="10">
        <v>6891</v>
      </c>
      <c r="BS3" s="10">
        <v>6881</v>
      </c>
      <c r="BU3" s="10">
        <v>6823</v>
      </c>
      <c r="BW3" s="10">
        <v>7114</v>
      </c>
      <c r="BY3" s="10">
        <v>7774</v>
      </c>
      <c r="CA3" s="10">
        <v>6529</v>
      </c>
      <c r="CC3" s="10">
        <v>10398</v>
      </c>
      <c r="CE3" s="10">
        <v>7695</v>
      </c>
      <c r="CG3" s="10">
        <v>7730</v>
      </c>
      <c r="CI3" s="10">
        <v>9005</v>
      </c>
      <c r="CK3" s="10">
        <v>8377</v>
      </c>
      <c r="CM3" s="10">
        <v>7491</v>
      </c>
      <c r="CO3" s="10">
        <v>6869</v>
      </c>
      <c r="CP3" s="10" t="s">
        <v>1718</v>
      </c>
    </row>
    <row r="4" spans="1:94" s="10" customFormat="1" ht="29.25" customHeight="1" thickBot="1">
      <c r="A4" s="231">
        <v>4</v>
      </c>
      <c r="B4" s="240" t="s">
        <v>781</v>
      </c>
      <c r="C4" s="255" t="str">
        <f>E4</f>
        <v>{"dossier":p.DossierName1,"titel":"Keine Brille","betrag":1500}</v>
      </c>
      <c r="D4" s="187" t="s">
        <v>28</v>
      </c>
      <c r="E4" s="187" t="str">
        <f>F4&amp;G4&amp;H4&amp;I4&amp;J4&amp;K4&amp;L4&amp;M4&amp;N4&amp;O4&amp;P4&amp;Q4&amp;R4&amp;S4&amp;T4&amp;U4&amp;V4&amp;W4&amp;X4&amp;Y4&amp;Z4&amp;AA4&amp;AB4&amp;AC4&amp;AD4&amp;AE4&amp;AF4&amp;AG4&amp;AH4</f>
        <v>{"dossier":p.DossierName1,"titel":"Keine Brille","betrag":1500}</v>
      </c>
      <c r="F4" s="255" t="s">
        <v>159</v>
      </c>
      <c r="G4" s="187" t="s">
        <v>449</v>
      </c>
      <c r="H4" s="337" t="s">
        <v>782</v>
      </c>
      <c r="I4" s="273" t="str">
        <f>'KG01'!O4</f>
        <v>Keine Brille</v>
      </c>
      <c r="J4" s="24" t="s">
        <v>556</v>
      </c>
      <c r="K4" s="264">
        <v>1500</v>
      </c>
      <c r="L4" s="265" t="s">
        <v>109</v>
      </c>
      <c r="M4" s="187"/>
      <c r="N4" s="24"/>
      <c r="O4" s="187"/>
      <c r="P4" s="187"/>
      <c r="Q4" s="187"/>
      <c r="R4" s="187"/>
      <c r="S4" s="25"/>
      <c r="T4" s="187"/>
      <c r="U4" s="24"/>
      <c r="V4" s="187"/>
      <c r="W4" s="187"/>
      <c r="X4" s="187"/>
      <c r="Y4" s="25"/>
      <c r="Z4" s="187"/>
      <c r="AA4" s="25"/>
      <c r="AB4" s="187"/>
      <c r="AC4" s="24"/>
      <c r="AD4" s="24"/>
      <c r="AE4" s="24"/>
      <c r="AF4" s="24"/>
      <c r="AG4" s="24"/>
      <c r="AH4" s="24"/>
      <c r="AI4" s="187">
        <v>20390</v>
      </c>
      <c r="AJ4" s="187">
        <v>19290</v>
      </c>
      <c r="AK4" s="187">
        <v>19307</v>
      </c>
      <c r="AL4" s="231">
        <v>15309</v>
      </c>
      <c r="AM4" s="24">
        <v>0</v>
      </c>
      <c r="AN4" s="156">
        <f t="shared" si="0"/>
        <v>0</v>
      </c>
      <c r="AO4" s="24">
        <v>0</v>
      </c>
      <c r="AP4" s="156">
        <f t="shared" si="1"/>
        <v>0</v>
      </c>
      <c r="AQ4" s="24">
        <v>0</v>
      </c>
      <c r="AR4" s="156">
        <f t="shared" si="2"/>
        <v>0</v>
      </c>
      <c r="AS4" s="24">
        <v>0</v>
      </c>
      <c r="AT4" s="156">
        <f t="shared" si="2"/>
        <v>0</v>
      </c>
      <c r="AU4" s="24">
        <v>0</v>
      </c>
      <c r="AV4" s="156">
        <f t="shared" si="2"/>
        <v>0</v>
      </c>
      <c r="AW4" s="2">
        <v>0</v>
      </c>
      <c r="AX4" s="156">
        <f t="shared" si="2"/>
        <v>0</v>
      </c>
      <c r="AY4" s="2">
        <v>8465</v>
      </c>
      <c r="AZ4" s="156">
        <f t="shared" si="3"/>
        <v>0.43844201584917386</v>
      </c>
      <c r="BA4" s="2">
        <v>10462</v>
      </c>
      <c r="BB4" s="156">
        <f t="shared" si="3"/>
        <v>0.54187600352203869</v>
      </c>
      <c r="BC4" s="2">
        <v>8810</v>
      </c>
      <c r="BD4" s="156">
        <f t="shared" si="3"/>
        <v>0.45631118247267832</v>
      </c>
      <c r="BE4" s="10">
        <v>12435</v>
      </c>
      <c r="BF4" s="156">
        <f t="shared" si="3"/>
        <v>0.64406691873413791</v>
      </c>
      <c r="BG4" s="10">
        <v>9279</v>
      </c>
      <c r="BH4" s="156">
        <f t="shared" si="3"/>
        <v>0.4806028901434713</v>
      </c>
      <c r="BI4" s="10">
        <v>9626</v>
      </c>
      <c r="BJ4" s="156">
        <f t="shared" si="3"/>
        <v>0.49857564613870614</v>
      </c>
      <c r="BK4" s="10">
        <v>9166</v>
      </c>
      <c r="BM4" s="10">
        <v>9115</v>
      </c>
      <c r="BO4" s="10">
        <v>5924</v>
      </c>
      <c r="BQ4" s="10">
        <v>7176</v>
      </c>
      <c r="BS4" s="10">
        <v>6643</v>
      </c>
      <c r="BU4" s="2129">
        <v>0</v>
      </c>
      <c r="BV4" s="2130" t="s">
        <v>1408</v>
      </c>
      <c r="BW4" s="10">
        <v>9208</v>
      </c>
      <c r="BY4" s="10">
        <v>9660</v>
      </c>
      <c r="CA4" s="10">
        <v>10284</v>
      </c>
      <c r="CC4" s="10">
        <v>10963</v>
      </c>
      <c r="CE4" s="10">
        <v>8165</v>
      </c>
      <c r="CG4" s="10">
        <v>8394</v>
      </c>
      <c r="CI4" s="10">
        <v>9913</v>
      </c>
      <c r="CK4" s="3552">
        <v>0</v>
      </c>
      <c r="CL4" s="3553" t="s">
        <v>1535</v>
      </c>
      <c r="CM4" s="10">
        <v>11551</v>
      </c>
      <c r="CO4" s="10">
        <v>7386</v>
      </c>
      <c r="CP4" s="10" t="s">
        <v>1718</v>
      </c>
    </row>
    <row r="5" spans="1:94">
      <c r="AN5" s="156"/>
      <c r="AP5" s="156"/>
      <c r="AR5" s="156"/>
      <c r="AT5" s="156"/>
      <c r="AV5" s="2"/>
      <c r="AX5" s="2"/>
      <c r="AZ5" s="2"/>
      <c r="BB5" s="2"/>
      <c r="BD5" s="2"/>
      <c r="BF5" s="2"/>
      <c r="BH5" s="2"/>
      <c r="BJ5" s="2"/>
    </row>
    <row r="6" spans="1:94">
      <c r="AN6" s="156"/>
      <c r="AP6" s="156"/>
      <c r="AR6" s="156"/>
      <c r="AT6" s="156"/>
      <c r="AV6" s="2"/>
      <c r="AX6" s="2"/>
      <c r="AZ6" s="2"/>
      <c r="BB6" s="2"/>
      <c r="BD6" s="2"/>
      <c r="BF6" s="2"/>
      <c r="BH6" s="2"/>
      <c r="BJ6" s="2"/>
    </row>
    <row r="7" spans="1:94" ht="15.75" customHeight="1">
      <c r="AN7" s="156"/>
      <c r="AP7" s="156"/>
      <c r="AR7" s="156"/>
      <c r="AT7" s="156"/>
      <c r="AV7" s="2"/>
      <c r="AX7" s="2"/>
      <c r="AZ7" s="2"/>
      <c r="BB7" s="2"/>
      <c r="BD7" s="2"/>
      <c r="BF7" s="2"/>
      <c r="BH7" s="2"/>
      <c r="BJ7" s="2"/>
    </row>
    <row r="8" spans="1:94" ht="30.75" customHeight="1">
      <c r="B8" s="308" t="s">
        <v>781</v>
      </c>
      <c r="C8" s="338" t="s">
        <v>1732</v>
      </c>
      <c r="AN8" s="2"/>
      <c r="AP8" s="2"/>
      <c r="AR8" s="2"/>
      <c r="AT8" s="2"/>
      <c r="AV8" s="2"/>
      <c r="AX8" s="2"/>
      <c r="AZ8" s="2"/>
      <c r="BB8" s="2"/>
      <c r="BD8" s="2"/>
      <c r="BF8" s="2"/>
      <c r="BH8" s="2"/>
      <c r="BJ8" s="2"/>
    </row>
  </sheetData>
  <conditionalFormatting sqref="AN2:AN146 AP2:AP146 AR2:AR146 AT2:AT146 AV2:AV4 AZ2:AZ4 AZ8:AZ146 AV8:AV146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X2:AX4 AX8:AX146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4 BB8:BB146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4 BD8:BD146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4 BF8:BF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H2:BH4 BH8:BH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J2:BJ4 BJ8:BJ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D050"/>
  </sheetPr>
  <dimension ref="A1:CP10"/>
  <sheetViews>
    <sheetView zoomScaleNormal="100" workbookViewId="0">
      <pane xSplit="2" topLeftCell="C1" activePane="topRight" state="frozen"/>
      <selection activeCell="H1" sqref="H1"/>
      <selection pane="topRight" activeCell="H1" sqref="H1"/>
    </sheetView>
  </sheetViews>
  <sheetFormatPr defaultColWidth="9.140625" defaultRowHeight="14.25" customHeight="1"/>
  <cols>
    <col min="1" max="1" width="4.85546875" style="1" customWidth="1"/>
    <col min="2" max="2" width="44.140625" style="2" customWidth="1"/>
    <col min="3" max="3" width="162.42578125" style="2" customWidth="1"/>
    <col min="4" max="4" width="9.140625" style="2" customWidth="1"/>
    <col min="5" max="5" width="9.85546875" style="3" customWidth="1"/>
    <col min="6" max="6" width="18.85546875" style="2" customWidth="1"/>
    <col min="7" max="7" width="11.42578125" style="2" customWidth="1"/>
    <col min="8" max="8" width="26.85546875" style="2" customWidth="1"/>
    <col min="9" max="9" width="9.85546875" style="2" customWidth="1"/>
    <col min="10" max="10" width="10.85546875" style="2" customWidth="1"/>
    <col min="11" max="11" width="18.140625" style="2" customWidth="1"/>
    <col min="12" max="12" width="9.140625" style="2" customWidth="1"/>
    <col min="13" max="13" width="10.7109375" style="2" customWidth="1"/>
    <col min="14" max="14" width="9.140625" style="2" customWidth="1"/>
    <col min="15" max="15" width="22.5703125" style="2" customWidth="1"/>
    <col min="16" max="16" width="13.5703125" style="2" customWidth="1"/>
    <col min="17" max="17" width="24.5703125" style="2" customWidth="1"/>
    <col min="18" max="34" width="9.140625" style="2" customWidth="1"/>
    <col min="35" max="38" width="10" style="2" customWidth="1"/>
    <col min="39" max="39" width="9.7109375" style="2" customWidth="1"/>
    <col min="40" max="40" width="9.7109375" style="12" customWidth="1"/>
    <col min="41" max="41" width="9.7109375" style="2" customWidth="1"/>
    <col min="42" max="42" width="9.7109375" style="12" customWidth="1"/>
    <col min="43" max="43" width="9.7109375" style="2" customWidth="1"/>
    <col min="44" max="44" width="9.7109375" style="12" customWidth="1"/>
    <col min="45" max="45" width="9.7109375" style="2" customWidth="1"/>
    <col min="46" max="46" width="9.7109375" style="12" customWidth="1"/>
    <col min="47" max="47" width="11" style="2" customWidth="1"/>
    <col min="48" max="48" width="9.7109375" style="12" customWidth="1"/>
    <col min="49" max="49" width="11" style="2" customWidth="1"/>
    <col min="50" max="50" width="9.7109375" style="12" customWidth="1"/>
    <col min="51" max="51" width="10.5703125" style="2" customWidth="1"/>
    <col min="52" max="52" width="9.7109375" style="12" customWidth="1"/>
    <col min="53" max="53" width="10.5703125" style="2" customWidth="1"/>
    <col min="54" max="54" width="9.7109375" style="12" customWidth="1"/>
    <col min="55" max="55" width="11.85546875" style="2" customWidth="1"/>
    <col min="56" max="56" width="9.7109375" style="12" customWidth="1"/>
    <col min="57" max="57" width="11.140625" style="2" customWidth="1"/>
    <col min="58" max="58" width="9.7109375" style="1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16.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4*60*1000*SpeedFaktor</f>
        <v>240000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489</v>
      </c>
      <c r="AM1" s="2" t="s">
        <v>10</v>
      </c>
      <c r="AN1" s="24" t="s">
        <v>8</v>
      </c>
      <c r="AO1" s="2" t="s">
        <v>11</v>
      </c>
      <c r="AP1" s="24" t="s">
        <v>8</v>
      </c>
      <c r="AQ1" s="2" t="s">
        <v>12</v>
      </c>
      <c r="AR1" s="24" t="s">
        <v>8</v>
      </c>
      <c r="AS1" s="2" t="s">
        <v>13</v>
      </c>
      <c r="AT1" s="24" t="s">
        <v>8</v>
      </c>
      <c r="AU1" s="10" t="s">
        <v>65</v>
      </c>
      <c r="AV1" s="186" t="s">
        <v>8</v>
      </c>
      <c r="AW1" s="10" t="s">
        <v>15</v>
      </c>
      <c r="AX1" s="186" t="s">
        <v>8</v>
      </c>
      <c r="AY1" s="10" t="s">
        <v>17</v>
      </c>
      <c r="AZ1" s="186" t="s">
        <v>8</v>
      </c>
      <c r="BA1" s="10" t="s">
        <v>1285</v>
      </c>
      <c r="BB1" s="186" t="s">
        <v>8</v>
      </c>
      <c r="BC1" s="10" t="s">
        <v>1286</v>
      </c>
      <c r="BD1" s="186" t="s">
        <v>8</v>
      </c>
      <c r="BE1" s="713" t="s">
        <v>1303</v>
      </c>
      <c r="BF1" s="186" t="s">
        <v>8</v>
      </c>
      <c r="BG1" s="837" t="s">
        <v>1311</v>
      </c>
      <c r="BH1" s="838" t="s">
        <v>572</v>
      </c>
      <c r="BI1" s="964" t="s">
        <v>1318</v>
      </c>
      <c r="BJ1" s="965" t="s">
        <v>572</v>
      </c>
      <c r="BK1" s="1111" t="s">
        <v>1324</v>
      </c>
      <c r="BL1" s="1112" t="s">
        <v>572</v>
      </c>
      <c r="BM1" s="1314" t="s">
        <v>1341</v>
      </c>
      <c r="BN1" s="1315" t="s">
        <v>572</v>
      </c>
      <c r="BO1" s="1568" t="s">
        <v>1363</v>
      </c>
      <c r="BP1" s="1569" t="s">
        <v>572</v>
      </c>
      <c r="BQ1" s="1710" t="s">
        <v>1368</v>
      </c>
      <c r="BR1" s="1711" t="s">
        <v>572</v>
      </c>
      <c r="BS1" s="1851" t="s">
        <v>1372</v>
      </c>
      <c r="BT1" s="1852" t="s">
        <v>572</v>
      </c>
      <c r="BU1" s="2131" t="s">
        <v>1397</v>
      </c>
      <c r="BV1" s="2132" t="s">
        <v>572</v>
      </c>
      <c r="BW1" s="2315" t="s">
        <v>1421</v>
      </c>
      <c r="BX1" s="2557" t="s">
        <v>572</v>
      </c>
      <c r="BY1" s="2476" t="s">
        <v>1434</v>
      </c>
      <c r="BZ1" s="2477" t="s">
        <v>572</v>
      </c>
      <c r="CA1" s="2637" t="s">
        <v>1442</v>
      </c>
      <c r="CB1" s="2638" t="s">
        <v>572</v>
      </c>
      <c r="CC1" s="2822" t="s">
        <v>1460</v>
      </c>
      <c r="CD1" s="2823" t="s">
        <v>572</v>
      </c>
      <c r="CE1" s="3004" t="s">
        <v>1472</v>
      </c>
      <c r="CF1" s="3005" t="s">
        <v>572</v>
      </c>
      <c r="CG1" s="3192" t="s">
        <v>1492</v>
      </c>
      <c r="CH1" s="3193" t="s">
        <v>572</v>
      </c>
      <c r="CI1" s="3368" t="s">
        <v>1503</v>
      </c>
      <c r="CJ1" s="3369" t="s">
        <v>572</v>
      </c>
      <c r="CK1" s="3554" t="s">
        <v>1519</v>
      </c>
      <c r="CL1" s="3555" t="s">
        <v>572</v>
      </c>
      <c r="CM1" s="3842" t="s">
        <v>1666</v>
      </c>
      <c r="CN1" s="3843" t="s">
        <v>572</v>
      </c>
      <c r="CO1" s="4063" t="s">
        <v>1717</v>
      </c>
      <c r="CP1" s="4064" t="s">
        <v>572</v>
      </c>
    </row>
    <row r="2" spans="1:94" s="10" customFormat="1" ht="14.25" customHeight="1">
      <c r="A2" s="122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2146</v>
      </c>
      <c r="AJ2" s="2">
        <v>2215</v>
      </c>
      <c r="AK2" s="2">
        <v>1985</v>
      </c>
      <c r="AL2" s="2">
        <v>1592</v>
      </c>
      <c r="AM2" s="2">
        <v>1803</v>
      </c>
      <c r="AN2" s="156">
        <f>AM2/($AK2)</f>
        <v>0.90831234256926952</v>
      </c>
      <c r="AO2" s="2">
        <v>1599</v>
      </c>
      <c r="AP2" s="156">
        <f>AO2/($AK2)</f>
        <v>0.8055415617128463</v>
      </c>
      <c r="AQ2" s="2">
        <v>1835</v>
      </c>
      <c r="AR2" s="156">
        <f>AQ2/($AK2)</f>
        <v>0.92443324937027704</v>
      </c>
      <c r="AS2" s="2">
        <v>1533</v>
      </c>
      <c r="AT2" s="156">
        <f>AS2/($AK2)</f>
        <v>0.77229219143576822</v>
      </c>
      <c r="AU2" s="2">
        <v>2445</v>
      </c>
      <c r="AV2" s="156">
        <f>AU2/($AK2)</f>
        <v>1.2317380352644836</v>
      </c>
      <c r="AW2" s="2">
        <v>1436</v>
      </c>
      <c r="AX2" s="156">
        <f>AW2/($AK2)</f>
        <v>0.72342569269521406</v>
      </c>
      <c r="AY2" s="2">
        <v>1111</v>
      </c>
      <c r="AZ2" s="156">
        <f>AY2/($AK2)</f>
        <v>0.55969773299748116</v>
      </c>
      <c r="BA2" s="2">
        <v>1358</v>
      </c>
      <c r="BB2" s="156">
        <f>BA2/($AK2)</f>
        <v>0.68413098236775816</v>
      </c>
      <c r="BC2" s="2">
        <v>568</v>
      </c>
      <c r="BD2" s="156">
        <f>BC2/($AK2)</f>
        <v>0.28614609571788413</v>
      </c>
      <c r="BE2" s="10">
        <v>1159</v>
      </c>
      <c r="BF2" s="156">
        <f>BE2/($AK2)</f>
        <v>0.58387909319899245</v>
      </c>
      <c r="BG2" s="10">
        <v>1440</v>
      </c>
      <c r="BI2" s="10">
        <v>1758</v>
      </c>
      <c r="BK2" s="10">
        <v>1208</v>
      </c>
      <c r="BM2" s="10">
        <v>1188</v>
      </c>
      <c r="BO2" s="10">
        <v>1215</v>
      </c>
      <c r="BQ2" s="10">
        <v>1243</v>
      </c>
      <c r="BS2" s="10">
        <v>1148</v>
      </c>
      <c r="BU2" s="10">
        <v>1811</v>
      </c>
      <c r="BW2" s="10">
        <v>1761</v>
      </c>
      <c r="BY2" s="10">
        <v>1677</v>
      </c>
      <c r="CA2" s="10">
        <v>1114</v>
      </c>
      <c r="CC2" s="10">
        <v>1434</v>
      </c>
      <c r="CE2" s="10">
        <v>1673</v>
      </c>
      <c r="CG2" s="10">
        <v>1097</v>
      </c>
      <c r="CI2" s="10">
        <v>1195</v>
      </c>
      <c r="CK2" s="10">
        <v>1200</v>
      </c>
      <c r="CM2" s="10">
        <v>949</v>
      </c>
      <c r="CO2" s="10">
        <v>577</v>
      </c>
      <c r="CP2" s="10" t="s">
        <v>1718</v>
      </c>
    </row>
    <row r="3" spans="1:94" s="10" customFormat="1" ht="14.25" customHeight="1" thickBot="1">
      <c r="A3" s="122">
        <v>2</v>
      </c>
      <c r="B3" s="122" t="s">
        <v>25</v>
      </c>
      <c r="C3" s="120" t="s">
        <v>26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8957</v>
      </c>
      <c r="AJ3" s="2">
        <v>6629</v>
      </c>
      <c r="AK3" s="2">
        <v>6580</v>
      </c>
      <c r="AL3" s="2">
        <v>9895</v>
      </c>
      <c r="AM3" s="2">
        <v>9724</v>
      </c>
      <c r="AN3" s="156">
        <f t="shared" ref="AN3" si="0">AM3/($AK3)</f>
        <v>1.4778115501519757</v>
      </c>
      <c r="AO3" s="2">
        <v>9809</v>
      </c>
      <c r="AP3" s="156">
        <f t="shared" ref="AP3" si="1">AO3/($AK3)</f>
        <v>1.4907294832826747</v>
      </c>
      <c r="AQ3" s="2">
        <v>9075</v>
      </c>
      <c r="AR3" s="156">
        <f t="shared" ref="AR3:BF5" si="2">AQ3/($AK3)</f>
        <v>1.3791793313069909</v>
      </c>
      <c r="AS3" s="2">
        <v>8820</v>
      </c>
      <c r="AT3" s="156">
        <f t="shared" si="2"/>
        <v>1.3404255319148937</v>
      </c>
      <c r="AU3" s="2">
        <v>16480</v>
      </c>
      <c r="AV3" s="156">
        <f t="shared" si="2"/>
        <v>2.5045592705167175</v>
      </c>
      <c r="AW3" s="2">
        <v>8496</v>
      </c>
      <c r="AX3" s="156">
        <f t="shared" si="2"/>
        <v>1.2911854103343465</v>
      </c>
      <c r="AY3" s="2">
        <v>7536</v>
      </c>
      <c r="AZ3" s="156">
        <f t="shared" si="2"/>
        <v>1.1452887537993921</v>
      </c>
      <c r="BA3" s="2">
        <v>10478</v>
      </c>
      <c r="BB3" s="156">
        <f t="shared" si="2"/>
        <v>1.5924012158054712</v>
      </c>
      <c r="BC3" s="2">
        <v>4944</v>
      </c>
      <c r="BD3" s="156">
        <f t="shared" si="2"/>
        <v>0.75136778115501524</v>
      </c>
      <c r="BE3" s="10">
        <v>7028</v>
      </c>
      <c r="BF3" s="156">
        <f t="shared" si="2"/>
        <v>1.0680851063829788</v>
      </c>
      <c r="BG3" s="10">
        <v>8003</v>
      </c>
      <c r="BI3" s="10">
        <v>7248</v>
      </c>
      <c r="BK3" s="10">
        <v>8919</v>
      </c>
      <c r="BM3" s="10">
        <v>6986</v>
      </c>
      <c r="BO3" s="10">
        <v>7133</v>
      </c>
      <c r="BQ3" s="10">
        <v>6895</v>
      </c>
      <c r="BS3" s="10">
        <v>6926</v>
      </c>
      <c r="BU3" s="10">
        <v>7119</v>
      </c>
      <c r="BW3" s="10">
        <v>10110</v>
      </c>
      <c r="BY3" s="10">
        <v>8680</v>
      </c>
      <c r="CA3" s="10">
        <v>6956</v>
      </c>
      <c r="CC3" s="10">
        <v>8685</v>
      </c>
      <c r="CE3" s="10">
        <v>7949</v>
      </c>
      <c r="CG3" s="10">
        <v>7207</v>
      </c>
      <c r="CI3" s="10">
        <v>8206</v>
      </c>
      <c r="CK3" s="10">
        <v>8033</v>
      </c>
      <c r="CM3" s="10">
        <v>8329</v>
      </c>
      <c r="CO3" s="10">
        <v>8371</v>
      </c>
      <c r="CP3" s="10" t="s">
        <v>1718</v>
      </c>
    </row>
    <row r="4" spans="1:94" s="53" customFormat="1" ht="15.75" customHeight="1" thickBot="1">
      <c r="A4" s="49">
        <v>3</v>
      </c>
      <c r="B4" s="54" t="s">
        <v>22</v>
      </c>
      <c r="C4" s="55" t="s">
        <v>215</v>
      </c>
      <c r="D4" s="90"/>
      <c r="E4" s="124"/>
      <c r="F4" s="624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U4" s="611"/>
      <c r="V4" s="611"/>
      <c r="W4" s="611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162">
        <v>4779</v>
      </c>
      <c r="AJ4" s="156">
        <f t="shared" ref="AJ4" si="3">AI4/($AI4)</f>
        <v>1</v>
      </c>
      <c r="AK4" s="162">
        <v>4761</v>
      </c>
      <c r="AL4" s="156">
        <f t="shared" ref="AL4" si="4">AK4/($AI4)</f>
        <v>0.99623352165725043</v>
      </c>
      <c r="AM4" s="90"/>
      <c r="AN4" s="156">
        <f t="shared" ref="AN4:AZ4" si="5">AM4/($AI4)</f>
        <v>0</v>
      </c>
      <c r="AO4" s="90"/>
      <c r="AP4" s="156">
        <f t="shared" si="5"/>
        <v>0</v>
      </c>
      <c r="AQ4" s="90"/>
      <c r="AR4" s="156">
        <f t="shared" si="5"/>
        <v>0</v>
      </c>
      <c r="AS4" s="90"/>
      <c r="AT4" s="156">
        <f t="shared" si="5"/>
        <v>0</v>
      </c>
      <c r="AU4" s="90"/>
      <c r="AV4" s="156">
        <f t="shared" si="5"/>
        <v>0</v>
      </c>
      <c r="AW4" s="90"/>
      <c r="AX4" s="156">
        <f t="shared" si="5"/>
        <v>0</v>
      </c>
      <c r="AZ4" s="156">
        <f t="shared" si="5"/>
        <v>0</v>
      </c>
      <c r="BB4" s="156">
        <f t="shared" ref="BB4" si="6">BA4/($AI4)</f>
        <v>0</v>
      </c>
      <c r="CM4" s="53">
        <v>2011</v>
      </c>
      <c r="CO4" s="53">
        <v>2010</v>
      </c>
      <c r="CP4" s="53" t="s">
        <v>1718</v>
      </c>
    </row>
    <row r="5" spans="1:94" s="304" customFormat="1" ht="18.75" customHeight="1" thickBot="1">
      <c r="A5" s="305">
        <v>4</v>
      </c>
      <c r="B5" s="307" t="s">
        <v>783</v>
      </c>
      <c r="C5" s="329" t="str">
        <f ca="1">E5</f>
        <v>{"instName":"Testinstitut_403","namenZusatz":"Inst.","zusatz":"am","strasse":"Strasse","hausNum":"12","telNummer":"123123123","email":"ein@zwei.ch","ort":"4566 Halten","postfach":"4567","website":"https://www.web.ww","typisierung":"Kollektivunterkunft","gueltigVon":"24.05.2024","gueltigBis":"31.12.2030"}</v>
      </c>
      <c r="D5" s="289" t="s">
        <v>28</v>
      </c>
      <c r="E5" s="289" t="str">
        <f ca="1">F5&amp;G5&amp;H5&amp;I5&amp;J5&amp;K5&amp;L5&amp;M5&amp;N5&amp;O5&amp;P5&amp;Q5&amp;R5&amp;S5&amp;T5&amp;U5&amp;V5&amp;W5&amp;X5&amp;Y5&amp;Z5&amp;AA5&amp;AB5&amp;AC5&amp;AD5&amp;AE5&amp;AF5</f>
        <v>{"instName":"Testinstitut_403","namenZusatz":"Inst.","zusatz":"am","strasse":"Strasse","hausNum":"12","telNummer":"123123123","email":"ein@zwei.ch","ort":"4566 Halten","postfach":"4567","website":"https://www.web.ww","typisierung":"Kollektivunterkunft","gueltigVon":"24.05.2024","gueltigBis":"31.12.2030"}</v>
      </c>
      <c r="F5" s="318" t="s">
        <v>784</v>
      </c>
      <c r="G5" s="289" t="str">
        <f ca="1">"Testinstitut_"&amp;RANDBETWEEN(100,1000)</f>
        <v>Testinstitut_403</v>
      </c>
      <c r="H5" s="331" t="s">
        <v>785</v>
      </c>
      <c r="I5" s="339" t="s">
        <v>786</v>
      </c>
      <c r="J5" s="289" t="s">
        <v>456</v>
      </c>
      <c r="K5" s="340" t="s">
        <v>787</v>
      </c>
      <c r="L5" s="341" t="s">
        <v>101</v>
      </c>
      <c r="M5" s="289" t="s">
        <v>788</v>
      </c>
      <c r="N5" s="289" t="s">
        <v>789</v>
      </c>
      <c r="O5" s="289">
        <v>12</v>
      </c>
      <c r="P5" s="289" t="s">
        <v>790</v>
      </c>
      <c r="Q5" s="289">
        <v>123123123</v>
      </c>
      <c r="R5" s="289" t="s">
        <v>97</v>
      </c>
      <c r="S5" s="342" t="s">
        <v>791</v>
      </c>
      <c r="T5" s="289" t="s">
        <v>103</v>
      </c>
      <c r="U5" s="289" t="s">
        <v>460</v>
      </c>
      <c r="V5" s="289" t="s">
        <v>470</v>
      </c>
      <c r="W5" s="289">
        <v>4567</v>
      </c>
      <c r="X5" s="289" t="s">
        <v>792</v>
      </c>
      <c r="Y5" s="342" t="s">
        <v>793</v>
      </c>
      <c r="Z5" s="289" t="s">
        <v>794</v>
      </c>
      <c r="AA5" s="289" t="s">
        <v>795</v>
      </c>
      <c r="AB5" s="289" t="s">
        <v>167</v>
      </c>
      <c r="AC5" s="289" t="s">
        <v>796</v>
      </c>
      <c r="AD5" s="289" t="s">
        <v>168</v>
      </c>
      <c r="AE5" s="289" t="s">
        <v>797</v>
      </c>
      <c r="AF5" s="289" t="s">
        <v>37</v>
      </c>
      <c r="AG5" s="289"/>
      <c r="AH5" s="289"/>
      <c r="AI5" s="289">
        <v>13211</v>
      </c>
      <c r="AJ5" s="289">
        <v>11174</v>
      </c>
      <c r="AK5" s="289">
        <v>11102</v>
      </c>
      <c r="AL5" s="289">
        <v>9517</v>
      </c>
      <c r="AM5" s="289">
        <v>10674</v>
      </c>
      <c r="AN5" s="290">
        <f t="shared" ref="AN5" si="7">AM5/($AK5)</f>
        <v>0.96144838767789587</v>
      </c>
      <c r="AO5" s="289">
        <v>10801</v>
      </c>
      <c r="AP5" s="290">
        <f t="shared" ref="AP5" si="8">AO5/($AK5)</f>
        <v>0.9728877679697352</v>
      </c>
      <c r="AQ5" s="289">
        <v>9713</v>
      </c>
      <c r="AR5" s="290">
        <f t="shared" si="2"/>
        <v>0.87488740767429296</v>
      </c>
      <c r="AS5" s="289">
        <v>10017</v>
      </c>
      <c r="AT5" s="290">
        <f t="shared" si="2"/>
        <v>0.90226986128625475</v>
      </c>
      <c r="AU5" s="289">
        <v>15233</v>
      </c>
      <c r="AV5" s="290">
        <f t="shared" si="2"/>
        <v>1.3720951179967573</v>
      </c>
      <c r="AW5" s="291">
        <v>8280</v>
      </c>
      <c r="AX5" s="290">
        <f t="shared" si="2"/>
        <v>0.74581156548369665</v>
      </c>
      <c r="AY5" s="291">
        <v>7554</v>
      </c>
      <c r="AZ5" s="290">
        <f t="shared" si="2"/>
        <v>0.68041794271302469</v>
      </c>
      <c r="BA5" s="291">
        <v>10660</v>
      </c>
      <c r="BB5" s="290">
        <f t="shared" si="2"/>
        <v>0.96018735362997654</v>
      </c>
      <c r="BC5" s="291">
        <v>6873</v>
      </c>
      <c r="BD5" s="290">
        <f t="shared" si="2"/>
        <v>0.6190776436678076</v>
      </c>
      <c r="BE5" s="304">
        <v>12950</v>
      </c>
      <c r="BF5" s="290">
        <f t="shared" si="2"/>
        <v>1.1664564943253468</v>
      </c>
      <c r="BG5" s="304">
        <v>9248</v>
      </c>
      <c r="BI5" s="304">
        <v>8956</v>
      </c>
      <c r="BK5" s="304">
        <v>10271</v>
      </c>
      <c r="BM5" s="304">
        <v>7656</v>
      </c>
      <c r="BO5" s="304">
        <v>7603</v>
      </c>
      <c r="BQ5" s="304">
        <v>8028</v>
      </c>
      <c r="BS5" s="304">
        <v>7801</v>
      </c>
      <c r="BU5" s="304">
        <v>9626</v>
      </c>
      <c r="BW5" s="304">
        <v>10329</v>
      </c>
      <c r="BY5" s="304">
        <v>9778</v>
      </c>
      <c r="CA5" s="304">
        <v>9413</v>
      </c>
      <c r="CC5" s="304">
        <v>9204</v>
      </c>
      <c r="CE5" s="304">
        <v>8164</v>
      </c>
      <c r="CG5" s="304">
        <v>8515</v>
      </c>
      <c r="CI5" s="304">
        <v>198914</v>
      </c>
      <c r="CK5" s="304">
        <v>10507</v>
      </c>
      <c r="CM5" s="304">
        <v>11132</v>
      </c>
      <c r="CO5" s="304">
        <v>11335</v>
      </c>
      <c r="CP5" s="304" t="s">
        <v>1718</v>
      </c>
    </row>
    <row r="6" spans="1:94" s="53" customFormat="1" ht="15.75" customHeight="1" thickBot="1">
      <c r="A6" s="49">
        <v>3</v>
      </c>
      <c r="B6" s="54" t="s">
        <v>22</v>
      </c>
      <c r="C6" s="55" t="s">
        <v>215</v>
      </c>
      <c r="D6" s="90"/>
      <c r="E6" s="124"/>
      <c r="F6" s="624"/>
      <c r="G6" s="611"/>
      <c r="H6" s="611"/>
      <c r="I6" s="611"/>
      <c r="J6" s="611"/>
      <c r="K6" s="611"/>
      <c r="L6" s="611"/>
      <c r="M6" s="611"/>
      <c r="N6" s="611"/>
      <c r="O6" s="611"/>
      <c r="P6" s="611"/>
      <c r="Q6" s="611"/>
      <c r="R6" s="611"/>
      <c r="S6" s="611"/>
      <c r="T6" s="611"/>
      <c r="U6" s="611"/>
      <c r="V6" s="611"/>
      <c r="W6" s="611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162">
        <v>4779</v>
      </c>
      <c r="AJ6" s="156">
        <f t="shared" ref="AJ6" si="9">AI6/($AI6)</f>
        <v>1</v>
      </c>
      <c r="AK6" s="162">
        <v>4761</v>
      </c>
      <c r="AL6" s="156">
        <f t="shared" ref="AL6" si="10">AK6/($AI6)</f>
        <v>0.99623352165725043</v>
      </c>
      <c r="AM6" s="90"/>
      <c r="AN6" s="156">
        <f t="shared" ref="AN6" si="11">AM6/($AI6)</f>
        <v>0</v>
      </c>
      <c r="AO6" s="90"/>
      <c r="AP6" s="156">
        <f t="shared" ref="AP6" si="12">AO6/($AI6)</f>
        <v>0</v>
      </c>
      <c r="AQ6" s="90"/>
      <c r="AR6" s="156">
        <f t="shared" ref="AR6" si="13">AQ6/($AI6)</f>
        <v>0</v>
      </c>
      <c r="AS6" s="90"/>
      <c r="AT6" s="156">
        <f t="shared" ref="AT6" si="14">AS6/($AI6)</f>
        <v>0</v>
      </c>
      <c r="AU6" s="90"/>
      <c r="AV6" s="156">
        <f t="shared" ref="AV6" si="15">AU6/($AI6)</f>
        <v>0</v>
      </c>
      <c r="AW6" s="90"/>
      <c r="AX6" s="156">
        <f t="shared" ref="AX6" si="16">AW6/($AI6)</f>
        <v>0</v>
      </c>
      <c r="AZ6" s="156">
        <f t="shared" ref="AZ6" si="17">AY6/($AI6)</f>
        <v>0</v>
      </c>
      <c r="BB6" s="156">
        <f t="shared" ref="BB6" si="18">BA6/($AI6)</f>
        <v>0</v>
      </c>
      <c r="CM6" s="53">
        <v>2018</v>
      </c>
      <c r="CO6" s="53">
        <v>2002</v>
      </c>
      <c r="CP6" s="53" t="s">
        <v>1718</v>
      </c>
    </row>
    <row r="7" spans="1:94"/>
    <row r="8" spans="1:94" ht="14.25" customHeight="1">
      <c r="C8" s="2" t="s">
        <v>798</v>
      </c>
      <c r="BY8" s="2">
        <f>SUM(BY2:BY7)/1000</f>
        <v>20.135000000000002</v>
      </c>
    </row>
    <row r="9" spans="1:94"/>
    <row r="10" spans="1:94" ht="14.25" customHeight="1">
      <c r="C10" s="2" t="s">
        <v>1560</v>
      </c>
    </row>
  </sheetData>
  <conditionalFormatting sqref="AJ4 AL4 AN4 AP4 AR4 AT4 AV4 AX4 AZ4 BB4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J6 AL6 AN6 AP6 AR6 AT6 AV6 AX6 AZ6 BB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N2:AN3 AP2:AP3 AR2:AR3 AT2:AT3 AV2:AV3 AX2:AX3 AZ2:AZ3 AZ5 AX5 AV5 AT5 AR5 AP5 AN5 AN7:AN147 AP7:AP147 AR7:AR147 AT7:AT147 AV7:AV147 AX7:AX147 AZ7:AZ147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3 BB5 BB7:BB147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3 BD5 BD7:BD147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3 BF5 BF7:BF147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S5" r:id="rId1" xr:uid="{00000000-0004-0000-2300-000000000000}"/>
    <hyperlink ref="Y5" r:id="rId2" xr:uid="{00000000-0004-0000-2300-000001000000}"/>
  </hyperlinks>
  <pageMargins left="0.7" right="0.7" top="0.75" bottom="0.75" header="0.3" footer="0.3"/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92D050"/>
  </sheetPr>
  <dimension ref="A1:CT9"/>
  <sheetViews>
    <sheetView zoomScaleNormal="100" workbookViewId="0">
      <pane xSplit="2" ySplit="1" topLeftCell="O2" activePane="bottomRight" state="frozen"/>
      <selection activeCell="H1" sqref="H1"/>
      <selection pane="topRight" activeCell="H1" sqref="H1"/>
      <selection pane="bottomLeft" activeCell="H1" sqref="H1"/>
      <selection pane="bottomRight" activeCell="O19" sqref="O19"/>
    </sheetView>
  </sheetViews>
  <sheetFormatPr defaultColWidth="9.140625" defaultRowHeight="14.25" customHeight="1"/>
  <cols>
    <col min="1" max="1" width="4.85546875" style="1" customWidth="1"/>
    <col min="2" max="2" width="44.140625" style="2" customWidth="1"/>
    <col min="3" max="3" width="116.7109375" style="2" customWidth="1"/>
    <col min="4" max="4" width="9.140625" style="2" customWidth="1"/>
    <col min="5" max="5" width="9.85546875" style="3" customWidth="1"/>
    <col min="6" max="6" width="7.7109375" style="2" customWidth="1"/>
    <col min="7" max="7" width="11.28515625" style="2" customWidth="1"/>
    <col min="8" max="8" width="3.5703125" style="2" customWidth="1"/>
    <col min="9" max="9" width="10.5703125" style="2" customWidth="1"/>
    <col min="10" max="10" width="3.85546875" style="2" customWidth="1"/>
    <col min="11" max="11" width="11.42578125" style="2" customWidth="1"/>
    <col min="12" max="12" width="4.7109375" style="2" customWidth="1"/>
    <col min="13" max="13" width="14.5703125" style="2" customWidth="1"/>
    <col min="14" max="14" width="9.42578125" style="2" customWidth="1"/>
    <col min="15" max="15" width="13.85546875" style="2" customWidth="1"/>
    <col min="16" max="16" width="8.7109375" style="2" customWidth="1"/>
    <col min="17" max="17" width="15" style="2" customWidth="1"/>
    <col min="18" max="18" width="10.28515625" style="2" customWidth="1"/>
    <col min="19" max="19" width="10" style="2" customWidth="1"/>
    <col min="20" max="20" width="12.42578125" style="2" customWidth="1"/>
    <col min="21" max="21" width="7.42578125" style="2" customWidth="1"/>
    <col min="22" max="22" width="11.140625" style="2" customWidth="1"/>
    <col min="23" max="23" width="12.7109375" style="2" customWidth="1"/>
    <col min="24" max="24" width="5.140625" style="2" customWidth="1"/>
    <col min="25" max="25" width="11.7109375" style="2" customWidth="1"/>
    <col min="26" max="26" width="21" style="2" customWidth="1"/>
    <col min="27" max="27" width="14.85546875" style="2" customWidth="1"/>
    <col min="28" max="28" width="15.7109375" style="2" customWidth="1"/>
    <col min="29" max="29" width="14.42578125" style="2" customWidth="1"/>
    <col min="30" max="30" width="10.42578125" style="2" customWidth="1"/>
    <col min="31" max="31" width="13.7109375" style="2" customWidth="1"/>
    <col min="32" max="32" width="10.42578125" style="2" customWidth="1"/>
    <col min="33" max="33" width="19.5703125" style="2" customWidth="1"/>
    <col min="34" max="34" width="9.140625" style="2" customWidth="1"/>
    <col min="35" max="35" width="30" style="2" customWidth="1"/>
    <col min="36" max="36" width="50" style="2" customWidth="1"/>
    <col min="37" max="38" width="9.140625" style="2" customWidth="1"/>
    <col min="39" max="42" width="9.5703125" style="2" customWidth="1"/>
    <col min="43" max="43" width="9.7109375" style="12" customWidth="1"/>
    <col min="44" max="44" width="9.5703125" style="2" customWidth="1"/>
    <col min="45" max="45" width="9.7109375" style="12" customWidth="1"/>
    <col min="46" max="46" width="9.5703125" style="2" customWidth="1"/>
    <col min="47" max="47" width="9.7109375" style="12" customWidth="1"/>
    <col min="48" max="48" width="11.85546875" style="2" customWidth="1"/>
    <col min="49" max="49" width="9.7109375" style="12" customWidth="1"/>
    <col min="50" max="50" width="30" style="2" customWidth="1"/>
    <col min="51" max="51" width="9.7109375" style="12" customWidth="1"/>
    <col min="52" max="52" width="11.140625" style="2" customWidth="1"/>
    <col min="53" max="53" width="11.140625" style="12" customWidth="1"/>
    <col min="54" max="54" width="11.140625" style="2" customWidth="1"/>
    <col min="55" max="55" width="11.140625" style="12" customWidth="1"/>
    <col min="56" max="56" width="11.140625" style="2" customWidth="1"/>
    <col min="57" max="57" width="11.140625" style="12" customWidth="1"/>
    <col min="58" max="58" width="11.140625" style="2" customWidth="1"/>
    <col min="59" max="59" width="11.140625" style="12" customWidth="1"/>
    <col min="60" max="60" width="11.140625" style="2" customWidth="1"/>
    <col min="61" max="61" width="11.140625" style="12" customWidth="1"/>
    <col min="62" max="62" width="9.140625" style="2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95" width="20" style="2" customWidth="1"/>
    <col min="96" max="96" width="50" style="2" customWidth="1"/>
    <col min="97" max="97" width="20" style="2" customWidth="1"/>
    <col min="98" max="98" width="50" style="2" customWidth="1"/>
    <col min="99" max="16384" width="9.140625" style="2"/>
  </cols>
  <sheetData>
    <row r="1" spans="1:98" ht="15.75" customHeight="1">
      <c r="A1" s="5" t="s">
        <v>0</v>
      </c>
      <c r="B1" s="5" t="s">
        <v>1</v>
      </c>
      <c r="C1" s="5"/>
      <c r="D1" s="5" t="s">
        <v>3</v>
      </c>
      <c r="E1" s="6"/>
      <c r="F1" s="2" t="s">
        <v>4</v>
      </c>
      <c r="G1" s="2558">
        <f>3*60*1000*SpeedFaktor</f>
        <v>180000</v>
      </c>
      <c r="H1" s="2">
        <v>10</v>
      </c>
      <c r="AL1" s="2" t="s">
        <v>5</v>
      </c>
      <c r="AM1" s="2" t="s">
        <v>676</v>
      </c>
      <c r="AN1" s="2" t="s">
        <v>658</v>
      </c>
      <c r="AO1" s="2" t="s">
        <v>489</v>
      </c>
      <c r="AP1" s="2" t="s">
        <v>10</v>
      </c>
      <c r="AQ1" s="24" t="s">
        <v>8</v>
      </c>
      <c r="AR1" s="2" t="s">
        <v>11</v>
      </c>
      <c r="AS1" s="24" t="s">
        <v>8</v>
      </c>
      <c r="AT1" s="2" t="s">
        <v>12</v>
      </c>
      <c r="AU1" s="24" t="s">
        <v>8</v>
      </c>
      <c r="AV1" s="2" t="s">
        <v>13</v>
      </c>
      <c r="AW1" s="24" t="s">
        <v>8</v>
      </c>
      <c r="AX1" s="2" t="s">
        <v>65</v>
      </c>
      <c r="AY1" s="24" t="s">
        <v>8</v>
      </c>
      <c r="AZ1" s="422" t="s">
        <v>15</v>
      </c>
      <c r="BA1" s="701" t="s">
        <v>8</v>
      </c>
      <c r="BB1" s="422" t="s">
        <v>17</v>
      </c>
      <c r="BC1" s="701" t="s">
        <v>8</v>
      </c>
      <c r="BD1" s="422" t="s">
        <v>1285</v>
      </c>
      <c r="BE1" s="701" t="s">
        <v>8</v>
      </c>
      <c r="BF1" s="422" t="s">
        <v>1286</v>
      </c>
      <c r="BG1" s="701" t="s">
        <v>8</v>
      </c>
      <c r="BH1" s="715" t="s">
        <v>1303</v>
      </c>
      <c r="BI1" s="701" t="s">
        <v>8</v>
      </c>
      <c r="BK1" s="839" t="s">
        <v>1311</v>
      </c>
      <c r="BL1" s="840" t="s">
        <v>572</v>
      </c>
      <c r="BM1" s="966" t="s">
        <v>1318</v>
      </c>
      <c r="BN1" s="967" t="s">
        <v>572</v>
      </c>
      <c r="BO1" s="1113" t="s">
        <v>1324</v>
      </c>
      <c r="BP1" s="1114" t="s">
        <v>572</v>
      </c>
      <c r="BQ1" s="1316" t="s">
        <v>1341</v>
      </c>
      <c r="BR1" s="1317" t="s">
        <v>572</v>
      </c>
      <c r="BS1" s="1570" t="s">
        <v>1363</v>
      </c>
      <c r="BT1" s="1571" t="s">
        <v>572</v>
      </c>
      <c r="BU1" s="1712" t="s">
        <v>1368</v>
      </c>
      <c r="BV1" s="1713" t="s">
        <v>572</v>
      </c>
      <c r="BW1" s="1853" t="s">
        <v>1372</v>
      </c>
      <c r="BX1" s="1854" t="s">
        <v>572</v>
      </c>
      <c r="BY1" s="2133" t="s">
        <v>1397</v>
      </c>
      <c r="BZ1" s="2134" t="s">
        <v>572</v>
      </c>
      <c r="CA1" s="2316" t="s">
        <v>1421</v>
      </c>
      <c r="CB1" s="2317" t="s">
        <v>572</v>
      </c>
      <c r="CC1" s="2478" t="s">
        <v>1434</v>
      </c>
      <c r="CD1" s="2479" t="s">
        <v>572</v>
      </c>
      <c r="CE1" s="2639" t="s">
        <v>1442</v>
      </c>
      <c r="CF1" s="2640" t="s">
        <v>572</v>
      </c>
      <c r="CG1" s="2824" t="s">
        <v>1460</v>
      </c>
      <c r="CH1" s="2825" t="s">
        <v>572</v>
      </c>
      <c r="CI1" s="3006" t="s">
        <v>1472</v>
      </c>
      <c r="CJ1" s="3007" t="s">
        <v>572</v>
      </c>
      <c r="CK1" s="3194" t="s">
        <v>1492</v>
      </c>
      <c r="CL1" s="3195" t="s">
        <v>572</v>
      </c>
      <c r="CM1" s="3370" t="s">
        <v>1503</v>
      </c>
      <c r="CN1" s="3371" t="s">
        <v>572</v>
      </c>
      <c r="CO1" s="3556" t="s">
        <v>1519</v>
      </c>
      <c r="CP1" s="3557" t="s">
        <v>572</v>
      </c>
      <c r="CQ1" s="3844" t="s">
        <v>1666</v>
      </c>
      <c r="CR1" s="3845" t="s">
        <v>572</v>
      </c>
      <c r="CS1" s="4065" t="s">
        <v>1717</v>
      </c>
      <c r="CT1" s="4066" t="s">
        <v>572</v>
      </c>
    </row>
    <row r="2" spans="1:98" s="10" customFormat="1" ht="14.25" customHeight="1">
      <c r="A2" s="606">
        <v>1</v>
      </c>
      <c r="B2" s="606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3"/>
      <c r="AK2" s="2"/>
      <c r="AL2" s="2"/>
      <c r="AM2" s="3">
        <v>1966</v>
      </c>
      <c r="AN2" s="3">
        <v>2084</v>
      </c>
      <c r="AO2" s="3">
        <v>1631</v>
      </c>
      <c r="AP2" s="2">
        <v>1770</v>
      </c>
      <c r="AQ2" s="156">
        <f>AP2/($AM2)</f>
        <v>0.90030518819938965</v>
      </c>
      <c r="AR2" s="2">
        <v>1632</v>
      </c>
      <c r="AS2" s="156">
        <f>AR2/($AM2)</f>
        <v>0.83011190233977616</v>
      </c>
      <c r="AT2" s="2">
        <v>1427</v>
      </c>
      <c r="AU2" s="156">
        <f>AT2/($AM2)</f>
        <v>0.72583926754832151</v>
      </c>
      <c r="AV2" s="2">
        <v>2052</v>
      </c>
      <c r="AW2" s="156">
        <f>AV2/($AM2)</f>
        <v>1.0437436419125128</v>
      </c>
      <c r="AX2" s="2">
        <v>2811</v>
      </c>
      <c r="AY2" s="156">
        <f>AX2/($AM2)</f>
        <v>1.4298067141403865</v>
      </c>
      <c r="AZ2" s="2">
        <v>1370</v>
      </c>
      <c r="BA2" s="156">
        <f>AZ2/($AM2)</f>
        <v>0.69684638860630721</v>
      </c>
      <c r="BB2" s="2">
        <v>1217</v>
      </c>
      <c r="BC2" s="156">
        <f>BB2/($AM2)</f>
        <v>0.61902339776195325</v>
      </c>
      <c r="BD2" s="2">
        <v>1380</v>
      </c>
      <c r="BE2" s="156">
        <f>BD2/($AM2)</f>
        <v>0.7019328585961343</v>
      </c>
      <c r="BF2" s="2">
        <v>553</v>
      </c>
      <c r="BG2" s="156">
        <f>BF2/($AM2)</f>
        <v>0.2812817904374364</v>
      </c>
      <c r="BH2" s="10">
        <v>1169</v>
      </c>
      <c r="BI2" s="156">
        <f>BH2/($AM2)</f>
        <v>0.59460834181078337</v>
      </c>
      <c r="BK2" s="10">
        <v>1463</v>
      </c>
      <c r="BM2" s="10">
        <v>1206</v>
      </c>
      <c r="BO2" s="10">
        <v>1655</v>
      </c>
      <c r="BQ2" s="10">
        <v>1269</v>
      </c>
      <c r="BS2" s="10">
        <v>1300</v>
      </c>
      <c r="BU2" s="10">
        <v>1135</v>
      </c>
      <c r="BW2" s="10">
        <v>1197</v>
      </c>
      <c r="BY2" s="10">
        <v>1766</v>
      </c>
      <c r="CA2" s="10">
        <v>1642</v>
      </c>
      <c r="CC2" s="10">
        <v>1780</v>
      </c>
      <c r="CE2" s="10">
        <v>1099</v>
      </c>
      <c r="CG2" s="10">
        <v>1269</v>
      </c>
      <c r="CI2" s="10">
        <v>1562</v>
      </c>
      <c r="CK2" s="10">
        <v>1267</v>
      </c>
      <c r="CM2" s="10">
        <v>2041</v>
      </c>
      <c r="CO2" s="10">
        <v>1124</v>
      </c>
      <c r="CQ2" s="10">
        <v>932</v>
      </c>
      <c r="CS2" s="10">
        <v>453</v>
      </c>
      <c r="CT2" s="10" t="s">
        <v>1718</v>
      </c>
    </row>
    <row r="3" spans="1:98" s="10" customFormat="1" ht="14.25" customHeight="1" thickBot="1">
      <c r="A3" s="606">
        <v>2</v>
      </c>
      <c r="B3" s="606" t="s">
        <v>25</v>
      </c>
      <c r="C3" s="120" t="s">
        <v>26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3"/>
      <c r="AK3" s="2"/>
      <c r="AL3" s="2"/>
      <c r="AM3" s="3">
        <v>7133</v>
      </c>
      <c r="AN3" s="3">
        <v>6806</v>
      </c>
      <c r="AO3" s="3">
        <v>9457</v>
      </c>
      <c r="AP3" s="2">
        <v>9758</v>
      </c>
      <c r="AQ3" s="156">
        <f t="shared" ref="AQ3:AS4" si="0">AP3/($AM3)</f>
        <v>1.3680078508341511</v>
      </c>
      <c r="AR3" s="2">
        <v>9624</v>
      </c>
      <c r="AS3" s="156">
        <f t="shared" si="0"/>
        <v>1.3492219262582363</v>
      </c>
      <c r="AT3" s="2">
        <v>8409</v>
      </c>
      <c r="AU3" s="156">
        <f t="shared" ref="AU3" si="1">AT3/($AM3)</f>
        <v>1.1788868638721435</v>
      </c>
      <c r="AV3" s="2">
        <v>9154</v>
      </c>
      <c r="AW3" s="156">
        <f t="shared" ref="AW3:BG3" si="2">AV3/($AM3)</f>
        <v>1.2833309967755502</v>
      </c>
      <c r="AX3" s="2">
        <v>16730</v>
      </c>
      <c r="AY3" s="156">
        <f t="shared" si="2"/>
        <v>2.3454367026496565</v>
      </c>
      <c r="AZ3" s="2">
        <v>9276</v>
      </c>
      <c r="BA3" s="156">
        <f t="shared" si="2"/>
        <v>1.3004345997476519</v>
      </c>
      <c r="BB3" s="2">
        <v>8519</v>
      </c>
      <c r="BC3" s="156">
        <f t="shared" si="2"/>
        <v>1.1943081452404318</v>
      </c>
      <c r="BD3" s="2">
        <v>10888</v>
      </c>
      <c r="BE3" s="156">
        <f t="shared" si="2"/>
        <v>1.5264264685265667</v>
      </c>
      <c r="BF3" s="2">
        <v>5289</v>
      </c>
      <c r="BG3" s="156">
        <f t="shared" si="2"/>
        <v>0.74148324688069533</v>
      </c>
      <c r="BH3" s="10">
        <v>6967</v>
      </c>
      <c r="BI3" s="156">
        <f t="shared" ref="BI3:BI4" si="3">BH3/($AM3)</f>
        <v>0.97672788448058323</v>
      </c>
      <c r="BK3" s="10">
        <v>8312</v>
      </c>
      <c r="BM3" s="10">
        <v>6755</v>
      </c>
      <c r="BO3" s="10">
        <v>8416</v>
      </c>
      <c r="BQ3" s="10">
        <v>7158</v>
      </c>
      <c r="BS3" s="10">
        <v>7284</v>
      </c>
      <c r="BU3" s="10">
        <v>6875</v>
      </c>
      <c r="BW3" s="10">
        <v>6545</v>
      </c>
      <c r="BY3" s="10">
        <v>6761</v>
      </c>
      <c r="CA3" s="10">
        <v>7636</v>
      </c>
      <c r="CC3" s="10">
        <v>7424</v>
      </c>
      <c r="CE3" s="10">
        <v>6684</v>
      </c>
      <c r="CG3" s="10">
        <v>9545</v>
      </c>
      <c r="CI3" s="10">
        <v>7705</v>
      </c>
      <c r="CK3" s="10">
        <v>7303</v>
      </c>
      <c r="CM3" s="10">
        <v>10584</v>
      </c>
      <c r="CO3" s="10">
        <v>8024</v>
      </c>
      <c r="CQ3" s="10">
        <v>8596</v>
      </c>
      <c r="CS3" s="10">
        <v>5644</v>
      </c>
      <c r="CT3" s="10" t="s">
        <v>1718</v>
      </c>
    </row>
    <row r="4" spans="1:98" s="304" customFormat="1" ht="16.5" customHeight="1" thickBot="1">
      <c r="A4" s="343">
        <v>4</v>
      </c>
      <c r="B4" s="306" t="s">
        <v>799</v>
      </c>
      <c r="C4" s="329" t="str">
        <f ca="1">E4</f>
        <v>{"vorname":"Peter","fachPersName":"Dockter","namenZusatz":"Dr.","zusatz":"am","strasse":"Weg","geschlecht":"männlich","hausNum":"12","telNummer":"123123123","email":"ein@zwei.ch","ort":"4566 Halten","postfach":"4567","website":"https://www.web.ww","typisierung":"Kinderbetreuung","gueltigVon":"04.11.2025","gueltigBis":"31.12.2025"}</v>
      </c>
      <c r="D4" s="329" t="s">
        <v>28</v>
      </c>
      <c r="E4" s="329" t="str">
        <f ca="1">F4&amp;G4&amp;H4&amp;I4&amp;J4&amp;K4&amp;L4&amp;M4&amp;N4&amp;O4&amp;P4&amp;Q4&amp;R4&amp;S4&amp;T4&amp;U4&amp;V4&amp;W4&amp;X4&amp;Y4&amp;Z4&amp;AA4&amp;AB4&amp;AC4&amp;AD4&amp;AE4&amp;AF4&amp;AG4&amp;AH4&amp;AI4&amp;AJ4</f>
        <v>{"vorname":"Peter","fachPersName":"Dockter","namenZusatz":"Dr.","zusatz":"am","strasse":"Weg","geschlecht":"männlich","hausNum":"12","telNummer":"123123123","email":"ein@zwei.ch","ort":"4566 Halten","postfach":"4567","website":"https://www.web.ww","typisierung":"Kinderbetreuung","gueltigVon":"04.11.2025","gueltigBis":"31.12.2025"}</v>
      </c>
      <c r="F4" s="329" t="s">
        <v>800</v>
      </c>
      <c r="G4" s="329" t="s">
        <v>801</v>
      </c>
      <c r="H4" s="331" t="s">
        <v>802</v>
      </c>
      <c r="I4" s="329" t="s">
        <v>803</v>
      </c>
      <c r="J4" s="331" t="s">
        <v>785</v>
      </c>
      <c r="K4" s="339" t="s">
        <v>804</v>
      </c>
      <c r="L4" s="289" t="s">
        <v>456</v>
      </c>
      <c r="M4" s="340" t="s">
        <v>787</v>
      </c>
      <c r="N4" s="341" t="s">
        <v>101</v>
      </c>
      <c r="O4" s="329" t="s">
        <v>468</v>
      </c>
      <c r="P4" s="3956" t="s">
        <v>805</v>
      </c>
      <c r="Q4" s="3957" t="s">
        <v>92</v>
      </c>
      <c r="R4" s="329" t="s">
        <v>789</v>
      </c>
      <c r="S4" s="329">
        <v>12</v>
      </c>
      <c r="T4" s="329" t="s">
        <v>790</v>
      </c>
      <c r="U4" s="342">
        <v>123123123</v>
      </c>
      <c r="V4" s="329" t="s">
        <v>97</v>
      </c>
      <c r="W4" s="342" t="s">
        <v>791</v>
      </c>
      <c r="X4" s="329" t="s">
        <v>103</v>
      </c>
      <c r="Y4" s="329" t="s">
        <v>460</v>
      </c>
      <c r="Z4" s="329" t="s">
        <v>470</v>
      </c>
      <c r="AA4" s="342">
        <v>4567</v>
      </c>
      <c r="AB4" s="329" t="s">
        <v>792</v>
      </c>
      <c r="AC4" s="342" t="s">
        <v>793</v>
      </c>
      <c r="AD4" s="329" t="s">
        <v>794</v>
      </c>
      <c r="AE4" s="329" t="s">
        <v>806</v>
      </c>
      <c r="AF4" s="329" t="s">
        <v>167</v>
      </c>
      <c r="AG4" s="344" t="str">
        <f ca="1">TEXT(TEXT(TODAY(),"DD")&amp;"."&amp;TEXT(TODAY(),"MM")&amp;"."&amp;TEXT(TODAY(),"YYYY"),"DD.MM.YYYY")</f>
        <v>04.11.2025</v>
      </c>
      <c r="AH4" s="329" t="s">
        <v>168</v>
      </c>
      <c r="AI4" s="344" t="str">
        <f ca="1">"31.12."&amp;YEAR(TODAY())</f>
        <v>31.12.2025</v>
      </c>
      <c r="AJ4" s="329" t="s">
        <v>37</v>
      </c>
      <c r="AK4" s="289"/>
      <c r="AL4" s="289"/>
      <c r="AM4" s="313">
        <v>11866</v>
      </c>
      <c r="AN4" s="313">
        <v>18105</v>
      </c>
      <c r="AO4" s="313">
        <v>9559</v>
      </c>
      <c r="AP4" s="289">
        <v>13148</v>
      </c>
      <c r="AQ4" s="290">
        <f t="shared" si="0"/>
        <v>1.1080397775155908</v>
      </c>
      <c r="AR4" s="289">
        <v>11342</v>
      </c>
      <c r="AS4" s="290">
        <f t="shared" si="0"/>
        <v>0.95584021574245748</v>
      </c>
      <c r="AT4" s="289">
        <v>10147</v>
      </c>
      <c r="AU4" s="290">
        <f t="shared" ref="AU4" si="4">AT4/($AM4)</f>
        <v>0.85513231080397778</v>
      </c>
      <c r="AV4" s="289">
        <v>10771</v>
      </c>
      <c r="AW4" s="290">
        <f t="shared" ref="AW4:BG4" si="5">AV4/($AM4)</f>
        <v>0.90771953480532619</v>
      </c>
      <c r="AX4" s="289">
        <v>15073</v>
      </c>
      <c r="AY4" s="290">
        <f t="shared" si="5"/>
        <v>1.2702679925838529</v>
      </c>
      <c r="AZ4" s="291">
        <v>8875</v>
      </c>
      <c r="BA4" s="290">
        <f t="shared" si="5"/>
        <v>0.74793527726276754</v>
      </c>
      <c r="BB4" s="291">
        <v>9069</v>
      </c>
      <c r="BC4" s="290">
        <f t="shared" si="5"/>
        <v>0.76428451036575085</v>
      </c>
      <c r="BD4" s="291">
        <v>10668</v>
      </c>
      <c r="BE4" s="290">
        <f t="shared" si="5"/>
        <v>0.89903927186920618</v>
      </c>
      <c r="BF4" s="291">
        <v>7010</v>
      </c>
      <c r="BG4" s="290">
        <f t="shared" si="5"/>
        <v>0.59076352604078886</v>
      </c>
      <c r="BH4" s="526">
        <v>0</v>
      </c>
      <c r="BI4" s="290">
        <f t="shared" si="3"/>
        <v>0</v>
      </c>
      <c r="BK4" s="304">
        <v>10081</v>
      </c>
      <c r="BM4" s="304">
        <v>8434</v>
      </c>
      <c r="BO4" s="304">
        <v>9611</v>
      </c>
      <c r="BQ4" s="304">
        <v>7969</v>
      </c>
      <c r="BS4" s="304">
        <v>7658</v>
      </c>
      <c r="BU4" s="304">
        <v>8814</v>
      </c>
      <c r="BW4" s="304">
        <v>7900</v>
      </c>
      <c r="BY4" s="304">
        <v>9114</v>
      </c>
      <c r="CA4" s="304">
        <v>8086</v>
      </c>
      <c r="CC4" s="304">
        <v>10764</v>
      </c>
      <c r="CE4" s="304">
        <v>8398</v>
      </c>
      <c r="CG4" s="304">
        <v>8759</v>
      </c>
      <c r="CI4" s="304">
        <v>6931</v>
      </c>
      <c r="CK4" s="3196">
        <v>0</v>
      </c>
      <c r="CL4" s="3197" t="s">
        <v>1497</v>
      </c>
      <c r="CM4" s="304">
        <v>18756</v>
      </c>
      <c r="CO4" s="3558">
        <v>0</v>
      </c>
      <c r="CP4" s="3559" t="s">
        <v>1536</v>
      </c>
      <c r="CQ4" s="304">
        <v>7928</v>
      </c>
      <c r="CS4" s="304">
        <v>7558</v>
      </c>
      <c r="CT4" s="304" t="s">
        <v>1718</v>
      </c>
    </row>
    <row r="5" spans="1:98">
      <c r="AQ5" s="156"/>
      <c r="AS5" s="156"/>
      <c r="AU5" s="156"/>
      <c r="AW5" s="156"/>
      <c r="AY5" s="156"/>
      <c r="BA5" s="156"/>
      <c r="BC5" s="156"/>
      <c r="BE5" s="156"/>
      <c r="BG5" s="156"/>
      <c r="BI5" s="156"/>
    </row>
    <row r="6" spans="1:98" ht="57">
      <c r="P6" s="51" t="s">
        <v>1703</v>
      </c>
      <c r="AQ6" s="156"/>
      <c r="AS6" s="156"/>
      <c r="AU6" s="156"/>
      <c r="AW6" s="156"/>
      <c r="AY6" s="156"/>
      <c r="BA6" s="156"/>
      <c r="BC6" s="156"/>
      <c r="BE6" s="156"/>
      <c r="BG6" s="156"/>
      <c r="BI6" s="156"/>
    </row>
    <row r="7" spans="1:98">
      <c r="C7" s="50" t="s">
        <v>807</v>
      </c>
      <c r="AQ7" s="156"/>
      <c r="AS7" s="156"/>
      <c r="AU7" s="156"/>
      <c r="AW7" s="156"/>
      <c r="AY7" s="156"/>
      <c r="BA7" s="156"/>
      <c r="BC7" s="156"/>
      <c r="BE7" s="156"/>
      <c r="BG7" s="156"/>
      <c r="BI7" s="156"/>
    </row>
    <row r="8" spans="1:98"/>
    <row r="9" spans="1:98" ht="14.25" customHeight="1">
      <c r="B9" s="347" t="s">
        <v>1552</v>
      </c>
      <c r="C9" s="2" t="s">
        <v>1568</v>
      </c>
    </row>
  </sheetData>
  <conditionalFormatting sqref="AQ2:AQ146 AS2:AS146 AU2:AU146 AW2:AW146 AY2:AY146 BA2:BA146 BC2:BC146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2:BG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2:BI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W4" r:id="rId1" xr:uid="{00000000-0004-0000-2400-000000000000}"/>
    <hyperlink ref="AC4" r:id="rId2" xr:uid="{00000000-0004-0000-2400-000001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9D74-89B0-444F-8C31-AB7D078A42E6}">
  <sheetPr>
    <tabColor rgb="FF92D050"/>
  </sheetPr>
  <dimension ref="A1:CT5"/>
  <sheetViews>
    <sheetView zoomScaleNormal="100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A4" sqref="A4"/>
    </sheetView>
  </sheetViews>
  <sheetFormatPr defaultColWidth="9.140625" defaultRowHeight="14.25" customHeight="1"/>
  <cols>
    <col min="1" max="1" width="4.85546875" style="1" customWidth="1"/>
    <col min="2" max="2" width="44.140625" style="2" customWidth="1"/>
    <col min="3" max="3" width="116.7109375" style="2" customWidth="1"/>
    <col min="4" max="4" width="9.140625" style="2" customWidth="1"/>
    <col min="5" max="5" width="9.85546875" style="3" customWidth="1"/>
    <col min="6" max="6" width="7.7109375" style="2" customWidth="1"/>
    <col min="7" max="7" width="11.28515625" style="2" customWidth="1"/>
    <col min="8" max="8" width="3.5703125" style="2" customWidth="1"/>
    <col min="9" max="9" width="10.5703125" style="2" customWidth="1"/>
    <col min="10" max="10" width="3.85546875" style="2" customWidth="1"/>
    <col min="11" max="11" width="11.42578125" style="2" customWidth="1"/>
    <col min="12" max="12" width="4.7109375" style="2" customWidth="1"/>
    <col min="13" max="13" width="14.5703125" style="2" customWidth="1"/>
    <col min="14" max="14" width="9.42578125" style="2" customWidth="1"/>
    <col min="15" max="15" width="13.85546875" style="2" customWidth="1"/>
    <col min="16" max="16" width="3" style="2" customWidth="1"/>
    <col min="17" max="17" width="15" style="2" customWidth="1"/>
    <col min="18" max="18" width="10.28515625" style="2" customWidth="1"/>
    <col min="19" max="19" width="10" style="2" customWidth="1"/>
    <col min="20" max="20" width="12.42578125" style="2" customWidth="1"/>
    <col min="21" max="21" width="7.42578125" style="2" customWidth="1"/>
    <col min="22" max="22" width="11.140625" style="2" customWidth="1"/>
    <col min="23" max="23" width="12.7109375" style="2" customWidth="1"/>
    <col min="24" max="24" width="5.140625" style="2" customWidth="1"/>
    <col min="25" max="25" width="11.7109375" style="2" customWidth="1"/>
    <col min="26" max="26" width="21" style="2" customWidth="1"/>
    <col min="27" max="27" width="14.85546875" style="2" customWidth="1"/>
    <col min="28" max="28" width="15.7109375" style="2" customWidth="1"/>
    <col min="29" max="29" width="14.42578125" style="2" customWidth="1"/>
    <col min="30" max="30" width="10.42578125" style="2" customWidth="1"/>
    <col min="31" max="31" width="13.7109375" style="2" customWidth="1"/>
    <col min="32" max="32" width="10.42578125" style="2" customWidth="1"/>
    <col min="33" max="33" width="19.5703125" style="2" customWidth="1"/>
    <col min="34" max="34" width="9.140625" style="2" customWidth="1"/>
    <col min="35" max="35" width="30" style="2" customWidth="1"/>
    <col min="36" max="36" width="50" style="2" customWidth="1"/>
    <col min="37" max="38" width="9.140625" style="2" customWidth="1"/>
    <col min="39" max="42" width="9.5703125" style="2" customWidth="1"/>
    <col min="43" max="43" width="9.7109375" style="12" customWidth="1"/>
    <col min="44" max="44" width="9.5703125" style="2" customWidth="1"/>
    <col min="45" max="45" width="9.7109375" style="12" customWidth="1"/>
    <col min="46" max="46" width="9.5703125" style="2" customWidth="1"/>
    <col min="47" max="47" width="9.7109375" style="12" customWidth="1"/>
    <col min="48" max="48" width="11.85546875" style="2" customWidth="1"/>
    <col min="49" max="49" width="9.7109375" style="12" customWidth="1"/>
    <col min="50" max="50" width="30" style="2" customWidth="1"/>
    <col min="51" max="51" width="9.7109375" style="12" customWidth="1"/>
    <col min="52" max="52" width="11.140625" style="2" customWidth="1"/>
    <col min="53" max="53" width="11.140625" style="12" customWidth="1"/>
    <col min="54" max="54" width="11.140625" style="2" customWidth="1"/>
    <col min="55" max="55" width="11.140625" style="12" customWidth="1"/>
    <col min="56" max="56" width="11.140625" style="2" customWidth="1"/>
    <col min="57" max="57" width="11.140625" style="12" customWidth="1"/>
    <col min="58" max="58" width="11.140625" style="2" customWidth="1"/>
    <col min="59" max="59" width="11.140625" style="12" customWidth="1"/>
    <col min="60" max="60" width="11.140625" style="2" customWidth="1"/>
    <col min="61" max="61" width="11.140625" style="12" customWidth="1"/>
    <col min="62" max="62" width="9.140625" style="2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95" width="20" style="2" customWidth="1"/>
    <col min="96" max="96" width="50" style="2" customWidth="1"/>
    <col min="97" max="97" width="20" style="2" customWidth="1"/>
    <col min="98" max="98" width="50" style="2" customWidth="1"/>
    <col min="99" max="16384" width="9.140625" style="2"/>
  </cols>
  <sheetData>
    <row r="1" spans="1:98" ht="15.75" customHeight="1">
      <c r="A1" s="5" t="s">
        <v>0</v>
      </c>
      <c r="B1" s="5" t="s">
        <v>1</v>
      </c>
      <c r="C1" s="5"/>
      <c r="D1" s="5" t="s">
        <v>3</v>
      </c>
      <c r="E1" s="6"/>
      <c r="F1" s="2" t="s">
        <v>4</v>
      </c>
      <c r="G1" s="2558">
        <f>3*60*1000*SpeedFaktor</f>
        <v>180000</v>
      </c>
      <c r="H1" s="2">
        <v>10</v>
      </c>
      <c r="AL1" s="2" t="s">
        <v>5</v>
      </c>
      <c r="AM1" s="2" t="s">
        <v>676</v>
      </c>
      <c r="AN1" s="2" t="s">
        <v>658</v>
      </c>
      <c r="AO1" s="2" t="s">
        <v>489</v>
      </c>
      <c r="AP1" s="2" t="s">
        <v>10</v>
      </c>
      <c r="AQ1" s="24" t="s">
        <v>8</v>
      </c>
      <c r="AR1" s="2" t="s">
        <v>11</v>
      </c>
      <c r="AS1" s="24" t="s">
        <v>8</v>
      </c>
      <c r="AT1" s="2" t="s">
        <v>12</v>
      </c>
      <c r="AU1" s="24" t="s">
        <v>8</v>
      </c>
      <c r="AV1" s="2" t="s">
        <v>13</v>
      </c>
      <c r="AW1" s="24" t="s">
        <v>8</v>
      </c>
      <c r="AX1" s="2" t="s">
        <v>65</v>
      </c>
      <c r="AY1" s="24" t="s">
        <v>8</v>
      </c>
      <c r="AZ1" s="422" t="s">
        <v>15</v>
      </c>
      <c r="BA1" s="701" t="s">
        <v>8</v>
      </c>
      <c r="BB1" s="422" t="s">
        <v>17</v>
      </c>
      <c r="BC1" s="701" t="s">
        <v>8</v>
      </c>
      <c r="BD1" s="422" t="s">
        <v>1285</v>
      </c>
      <c r="BE1" s="701" t="s">
        <v>8</v>
      </c>
      <c r="BF1" s="422" t="s">
        <v>1286</v>
      </c>
      <c r="BG1" s="701" t="s">
        <v>8</v>
      </c>
      <c r="BH1" s="715" t="s">
        <v>1303</v>
      </c>
      <c r="BI1" s="701" t="s">
        <v>8</v>
      </c>
      <c r="BK1" s="839" t="s">
        <v>1311</v>
      </c>
      <c r="BL1" s="840" t="s">
        <v>572</v>
      </c>
      <c r="BM1" s="966" t="s">
        <v>1318</v>
      </c>
      <c r="BN1" s="967" t="s">
        <v>572</v>
      </c>
      <c r="BO1" s="1113" t="s">
        <v>1324</v>
      </c>
      <c r="BP1" s="1114" t="s">
        <v>572</v>
      </c>
      <c r="BQ1" s="1316" t="s">
        <v>1341</v>
      </c>
      <c r="BR1" s="1317" t="s">
        <v>572</v>
      </c>
      <c r="BS1" s="1570" t="s">
        <v>1363</v>
      </c>
      <c r="BT1" s="1571" t="s">
        <v>572</v>
      </c>
      <c r="BU1" s="1712" t="s">
        <v>1368</v>
      </c>
      <c r="BV1" s="1713" t="s">
        <v>572</v>
      </c>
      <c r="BW1" s="1853" t="s">
        <v>1372</v>
      </c>
      <c r="BX1" s="1854" t="s">
        <v>572</v>
      </c>
      <c r="BY1" s="2133" t="s">
        <v>1397</v>
      </c>
      <c r="BZ1" s="2134" t="s">
        <v>572</v>
      </c>
      <c r="CA1" s="2316" t="s">
        <v>1421</v>
      </c>
      <c r="CB1" s="2317" t="s">
        <v>572</v>
      </c>
      <c r="CC1" s="2478" t="s">
        <v>1434</v>
      </c>
      <c r="CD1" s="2479" t="s">
        <v>572</v>
      </c>
      <c r="CE1" s="2639" t="s">
        <v>1442</v>
      </c>
      <c r="CF1" s="2640" t="s">
        <v>572</v>
      </c>
      <c r="CG1" s="2824" t="s">
        <v>1460</v>
      </c>
      <c r="CH1" s="2825" t="s">
        <v>572</v>
      </c>
      <c r="CI1" s="3006" t="s">
        <v>1472</v>
      </c>
      <c r="CJ1" s="3007" t="s">
        <v>572</v>
      </c>
      <c r="CK1" s="3194" t="s">
        <v>1492</v>
      </c>
      <c r="CL1" s="3195" t="s">
        <v>572</v>
      </c>
      <c r="CM1" s="3370" t="s">
        <v>1503</v>
      </c>
      <c r="CN1" s="3371" t="s">
        <v>572</v>
      </c>
      <c r="CO1" s="3556" t="s">
        <v>1519</v>
      </c>
      <c r="CP1" s="3557" t="s">
        <v>572</v>
      </c>
      <c r="CQ1" s="3846" t="s">
        <v>1666</v>
      </c>
      <c r="CR1" s="3847" t="s">
        <v>572</v>
      </c>
      <c r="CS1" s="4067" t="s">
        <v>1717</v>
      </c>
      <c r="CT1" s="4068" t="s">
        <v>572</v>
      </c>
    </row>
    <row r="2" spans="1:98" s="10" customFormat="1" ht="14.25" customHeight="1">
      <c r="A2" s="606">
        <v>1</v>
      </c>
      <c r="B2" s="606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3"/>
      <c r="AK2" s="2"/>
      <c r="AL2" s="2"/>
      <c r="AM2" s="3">
        <v>1966</v>
      </c>
      <c r="AN2" s="3">
        <v>2084</v>
      </c>
      <c r="AO2" s="3">
        <v>1631</v>
      </c>
      <c r="AP2" s="2">
        <v>1770</v>
      </c>
      <c r="AQ2" s="156">
        <f>AP2/($AM2)</f>
        <v>0.90030518819938965</v>
      </c>
      <c r="AR2" s="2">
        <v>1632</v>
      </c>
      <c r="AS2" s="156">
        <f>AR2/($AM2)</f>
        <v>0.83011190233977616</v>
      </c>
      <c r="AT2" s="2">
        <v>1427</v>
      </c>
      <c r="AU2" s="156">
        <f>AT2/($AM2)</f>
        <v>0.72583926754832151</v>
      </c>
      <c r="AV2" s="2">
        <v>2052</v>
      </c>
      <c r="AW2" s="156">
        <f>AV2/($AM2)</f>
        <v>1.0437436419125128</v>
      </c>
      <c r="AX2" s="2">
        <v>2811</v>
      </c>
      <c r="AY2" s="156">
        <f>AX2/($AM2)</f>
        <v>1.4298067141403865</v>
      </c>
      <c r="AZ2" s="2">
        <v>1370</v>
      </c>
      <c r="BA2" s="156">
        <f>AZ2/($AM2)</f>
        <v>0.69684638860630721</v>
      </c>
      <c r="BB2" s="2">
        <v>1217</v>
      </c>
      <c r="BC2" s="156">
        <f>BB2/($AM2)</f>
        <v>0.61902339776195325</v>
      </c>
      <c r="BD2" s="2">
        <v>1380</v>
      </c>
      <c r="BE2" s="156">
        <f>BD2/($AM2)</f>
        <v>0.7019328585961343</v>
      </c>
      <c r="BF2" s="2">
        <v>553</v>
      </c>
      <c r="BG2" s="156">
        <f>BF2/($AM2)</f>
        <v>0.2812817904374364</v>
      </c>
      <c r="BH2" s="10">
        <v>1169</v>
      </c>
      <c r="BI2" s="156">
        <f>BH2/($AM2)</f>
        <v>0.59460834181078337</v>
      </c>
      <c r="BK2" s="10">
        <v>1463</v>
      </c>
      <c r="BM2" s="10">
        <v>1206</v>
      </c>
      <c r="BO2" s="10">
        <v>1655</v>
      </c>
      <c r="BQ2" s="10">
        <v>1269</v>
      </c>
      <c r="BS2" s="10">
        <v>1300</v>
      </c>
      <c r="BU2" s="10">
        <v>1135</v>
      </c>
      <c r="BW2" s="10">
        <v>1197</v>
      </c>
      <c r="BY2" s="10">
        <v>1766</v>
      </c>
      <c r="CA2" s="10">
        <v>1642</v>
      </c>
      <c r="CC2" s="10">
        <v>1780</v>
      </c>
      <c r="CE2" s="10">
        <v>1099</v>
      </c>
      <c r="CG2" s="10">
        <v>1269</v>
      </c>
      <c r="CI2" s="10">
        <v>1562</v>
      </c>
      <c r="CK2" s="10">
        <v>1267</v>
      </c>
      <c r="CM2" s="10">
        <v>2041</v>
      </c>
      <c r="CO2" s="10">
        <v>1124</v>
      </c>
      <c r="CQ2" s="10">
        <v>902</v>
      </c>
      <c r="CS2" s="10">
        <v>383</v>
      </c>
      <c r="CT2" s="10" t="s">
        <v>1718</v>
      </c>
    </row>
    <row r="3" spans="1:98" s="10" customFormat="1" ht="14.25" customHeight="1" thickBot="1">
      <c r="A3" s="606">
        <v>2</v>
      </c>
      <c r="B3" s="606" t="s">
        <v>25</v>
      </c>
      <c r="C3" s="120" t="s">
        <v>26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3"/>
      <c r="AK3" s="2"/>
      <c r="AL3" s="2"/>
      <c r="AM3" s="3">
        <v>7133</v>
      </c>
      <c r="AN3" s="3">
        <v>6806</v>
      </c>
      <c r="AO3" s="3">
        <v>9457</v>
      </c>
      <c r="AP3" s="2">
        <v>9758</v>
      </c>
      <c r="AQ3" s="156">
        <f t="shared" ref="AQ3:AS4" si="0">AP3/($AM3)</f>
        <v>1.3680078508341511</v>
      </c>
      <c r="AR3" s="2">
        <v>9624</v>
      </c>
      <c r="AS3" s="156">
        <f t="shared" si="0"/>
        <v>1.3492219262582363</v>
      </c>
      <c r="AT3" s="2">
        <v>8409</v>
      </c>
      <c r="AU3" s="156">
        <f t="shared" ref="AU3:AU4" si="1">AT3/($AM3)</f>
        <v>1.1788868638721435</v>
      </c>
      <c r="AV3" s="2">
        <v>9154</v>
      </c>
      <c r="AW3" s="156">
        <f t="shared" ref="AW3:BG4" si="2">AV3/($AM3)</f>
        <v>1.2833309967755502</v>
      </c>
      <c r="AX3" s="2">
        <v>16730</v>
      </c>
      <c r="AY3" s="156">
        <f t="shared" si="2"/>
        <v>2.3454367026496565</v>
      </c>
      <c r="AZ3" s="2">
        <v>9276</v>
      </c>
      <c r="BA3" s="156">
        <f t="shared" si="2"/>
        <v>1.3004345997476519</v>
      </c>
      <c r="BB3" s="2">
        <v>8519</v>
      </c>
      <c r="BC3" s="156">
        <f t="shared" si="2"/>
        <v>1.1943081452404318</v>
      </c>
      <c r="BD3" s="2">
        <v>10888</v>
      </c>
      <c r="BE3" s="156">
        <f t="shared" si="2"/>
        <v>1.5264264685265667</v>
      </c>
      <c r="BF3" s="2">
        <v>5289</v>
      </c>
      <c r="BG3" s="156">
        <f t="shared" si="2"/>
        <v>0.74148324688069533</v>
      </c>
      <c r="BH3" s="10">
        <v>6967</v>
      </c>
      <c r="BI3" s="156">
        <f t="shared" ref="BI3:BI4" si="3">BH3/($AM3)</f>
        <v>0.97672788448058323</v>
      </c>
      <c r="BK3" s="10">
        <v>8312</v>
      </c>
      <c r="BM3" s="10">
        <v>6755</v>
      </c>
      <c r="BO3" s="10">
        <v>8416</v>
      </c>
      <c r="BQ3" s="10">
        <v>7158</v>
      </c>
      <c r="BS3" s="10">
        <v>7284</v>
      </c>
      <c r="BU3" s="10">
        <v>6875</v>
      </c>
      <c r="BW3" s="10">
        <v>6545</v>
      </c>
      <c r="BY3" s="10">
        <v>6761</v>
      </c>
      <c r="CA3" s="10">
        <v>7636</v>
      </c>
      <c r="CC3" s="10">
        <v>7424</v>
      </c>
      <c r="CE3" s="10">
        <v>6684</v>
      </c>
      <c r="CG3" s="10">
        <v>9545</v>
      </c>
      <c r="CI3" s="10">
        <v>7705</v>
      </c>
      <c r="CK3" s="10">
        <v>7303</v>
      </c>
      <c r="CM3" s="10">
        <v>10584</v>
      </c>
      <c r="CO3" s="10">
        <v>8024</v>
      </c>
      <c r="CQ3" s="10">
        <v>7363</v>
      </c>
      <c r="CS3" s="10">
        <v>5760</v>
      </c>
      <c r="CT3" s="10" t="s">
        <v>1718</v>
      </c>
    </row>
    <row r="4" spans="1:98" s="304" customFormat="1" ht="16.5" customHeight="1" thickBot="1">
      <c r="A4" s="343">
        <v>4</v>
      </c>
      <c r="B4" s="306" t="s">
        <v>1584</v>
      </c>
      <c r="C4" s="329" t="str">
        <f ca="1">E4</f>
        <v>{"suche":"Peter,Dockter","gueltigVon":"04.11.2025","gueltigBis":"31.12.2025"}</v>
      </c>
      <c r="D4" s="329" t="s">
        <v>28</v>
      </c>
      <c r="E4" s="329" t="str">
        <f ca="1">F4&amp;G4&amp;H4&amp;I4&amp;J4&amp;K4&amp;L4&amp;M4&amp;N4&amp;O4&amp;P4&amp;Q4&amp;R4&amp;S4&amp;T4&amp;U4&amp;V4&amp;W4&amp;X4&amp;Y4&amp;Z4&amp;AA4&amp;AB4&amp;AC4&amp;AD4&amp;AE4&amp;AF4&amp;AG4&amp;AH4&amp;AI4&amp;AJ4</f>
        <v>{"suche":"Peter,Dockter","gueltigVon":"04.11.2025","gueltigBis":"31.12.2025"}</v>
      </c>
      <c r="F4" s="329" t="s">
        <v>1585</v>
      </c>
      <c r="G4" s="329" t="s">
        <v>1586</v>
      </c>
      <c r="H4" s="331"/>
      <c r="I4" s="329"/>
      <c r="J4" s="331"/>
      <c r="K4" s="339"/>
      <c r="L4" s="289"/>
      <c r="M4" s="340"/>
      <c r="N4" s="341"/>
      <c r="O4" s="329"/>
      <c r="P4" s="289"/>
      <c r="Q4" s="329"/>
      <c r="R4" s="329"/>
      <c r="S4" s="329"/>
      <c r="T4" s="329"/>
      <c r="U4" s="342"/>
      <c r="V4" s="329"/>
      <c r="W4" s="342"/>
      <c r="X4" s="329"/>
      <c r="Y4" s="329"/>
      <c r="Z4" s="329"/>
      <c r="AA4" s="342"/>
      <c r="AB4" s="329"/>
      <c r="AC4" s="342"/>
      <c r="AD4" s="329"/>
      <c r="AE4" s="329"/>
      <c r="AF4" s="329" t="s">
        <v>167</v>
      </c>
      <c r="AG4" s="344" t="str">
        <f ca="1">TEXT(TEXT(TODAY(),"DD")&amp;"."&amp;TEXT(TODAY(),"MM")&amp;"."&amp;TEXT(TODAY(),"YYYY"),"DD.MM.YYYY")</f>
        <v>04.11.2025</v>
      </c>
      <c r="AH4" s="329" t="s">
        <v>168</v>
      </c>
      <c r="AI4" s="344" t="str">
        <f ca="1">"31.12."&amp;YEAR(TODAY())</f>
        <v>31.12.2025</v>
      </c>
      <c r="AJ4" s="329" t="s">
        <v>37</v>
      </c>
      <c r="AK4" s="289"/>
      <c r="AL4" s="289"/>
      <c r="AM4" s="313">
        <v>11866</v>
      </c>
      <c r="AN4" s="313">
        <v>18105</v>
      </c>
      <c r="AO4" s="313">
        <v>9559</v>
      </c>
      <c r="AP4" s="289">
        <v>13148</v>
      </c>
      <c r="AQ4" s="290">
        <f t="shared" si="0"/>
        <v>1.1080397775155908</v>
      </c>
      <c r="AR4" s="289">
        <v>11342</v>
      </c>
      <c r="AS4" s="290">
        <f t="shared" si="0"/>
        <v>0.95584021574245748</v>
      </c>
      <c r="AT4" s="289">
        <v>10147</v>
      </c>
      <c r="AU4" s="290">
        <f t="shared" si="1"/>
        <v>0.85513231080397778</v>
      </c>
      <c r="AV4" s="289">
        <v>10771</v>
      </c>
      <c r="AW4" s="290">
        <f t="shared" si="2"/>
        <v>0.90771953480532619</v>
      </c>
      <c r="AX4" s="289">
        <v>15073</v>
      </c>
      <c r="AY4" s="290">
        <f t="shared" si="2"/>
        <v>1.2702679925838529</v>
      </c>
      <c r="AZ4" s="291">
        <v>8875</v>
      </c>
      <c r="BA4" s="290">
        <f t="shared" si="2"/>
        <v>0.74793527726276754</v>
      </c>
      <c r="BB4" s="291">
        <v>9069</v>
      </c>
      <c r="BC4" s="290">
        <f t="shared" si="2"/>
        <v>0.76428451036575085</v>
      </c>
      <c r="BD4" s="291">
        <v>10668</v>
      </c>
      <c r="BE4" s="290">
        <f t="shared" si="2"/>
        <v>0.89903927186920618</v>
      </c>
      <c r="BF4" s="291">
        <v>7010</v>
      </c>
      <c r="BG4" s="290">
        <f t="shared" si="2"/>
        <v>0.59076352604078886</v>
      </c>
      <c r="BH4" s="526">
        <v>0</v>
      </c>
      <c r="BI4" s="290">
        <f t="shared" si="3"/>
        <v>0</v>
      </c>
      <c r="BK4" s="304">
        <v>10081</v>
      </c>
      <c r="BM4" s="304">
        <v>8434</v>
      </c>
      <c r="BO4" s="304">
        <v>9611</v>
      </c>
      <c r="BQ4" s="304">
        <v>7969</v>
      </c>
      <c r="BS4" s="304">
        <v>7658</v>
      </c>
      <c r="BU4" s="304">
        <v>8814</v>
      </c>
      <c r="BW4" s="304">
        <v>7900</v>
      </c>
      <c r="BY4" s="304">
        <v>9114</v>
      </c>
      <c r="CA4" s="304">
        <v>8086</v>
      </c>
      <c r="CC4" s="304">
        <v>10764</v>
      </c>
      <c r="CE4" s="304">
        <v>8398</v>
      </c>
      <c r="CG4" s="304">
        <v>8759</v>
      </c>
      <c r="CI4" s="304">
        <v>6931</v>
      </c>
      <c r="CK4" s="3196">
        <v>0</v>
      </c>
      <c r="CL4" s="3197" t="s">
        <v>1497</v>
      </c>
      <c r="CM4" s="304">
        <v>18756</v>
      </c>
      <c r="CO4" s="3558">
        <v>0</v>
      </c>
      <c r="CP4" s="3559" t="s">
        <v>1536</v>
      </c>
      <c r="CQ4" s="3848">
        <v>0</v>
      </c>
      <c r="CR4" s="3849" t="s">
        <v>1681</v>
      </c>
      <c r="CS4" s="304">
        <v>2353</v>
      </c>
      <c r="CT4" s="304" t="s">
        <v>1718</v>
      </c>
    </row>
    <row r="5" spans="1:98">
      <c r="AQ5" s="156"/>
      <c r="AS5" s="156"/>
      <c r="AU5" s="156"/>
      <c r="AW5" s="156"/>
      <c r="AY5" s="156"/>
      <c r="BA5" s="156"/>
      <c r="BC5" s="156"/>
      <c r="BE5" s="156"/>
      <c r="BG5" s="156"/>
      <c r="BI5" s="156"/>
    </row>
  </sheetData>
  <conditionalFormatting sqref="AQ2:AQ140 AS2:AS140 AU2:AU140 AW2:AW140 AY2:AY140 BA2:BA140 BC2:BC140 BE2:BE140 BG2:BG140 BI2:BI140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92D050"/>
  </sheetPr>
  <dimension ref="A1:CH27"/>
  <sheetViews>
    <sheetView zoomScale="95" zoomScaleNormal="95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ColWidth="9.140625" defaultRowHeight="14.25" customHeight="1"/>
  <cols>
    <col min="1" max="1" width="4.85546875" style="1" customWidth="1"/>
    <col min="2" max="2" width="44.140625" style="2" customWidth="1"/>
    <col min="3" max="3" width="162.42578125" style="2" customWidth="1"/>
    <col min="4" max="4" width="9.140625" style="2" customWidth="1"/>
    <col min="5" max="5" width="9.85546875" style="3" customWidth="1"/>
    <col min="6" max="6" width="7.7109375" style="2" customWidth="1"/>
    <col min="7" max="7" width="11.28515625" style="2" customWidth="1"/>
    <col min="8" max="8" width="3.5703125" style="2" customWidth="1"/>
    <col min="9" max="9" width="10.5703125" style="2" customWidth="1"/>
    <col min="10" max="10" width="3.85546875" style="2" customWidth="1"/>
    <col min="11" max="11" width="11.42578125" style="2" customWidth="1"/>
    <col min="12" max="12" width="4.7109375" style="2" customWidth="1"/>
    <col min="13" max="13" width="14.5703125" style="2" customWidth="1"/>
    <col min="14" max="14" width="9.42578125" style="2" customWidth="1"/>
    <col min="15" max="15" width="13.85546875" style="2" customWidth="1"/>
    <col min="16" max="16" width="3" style="2" customWidth="1"/>
    <col min="17" max="17" width="15" style="2" customWidth="1"/>
    <col min="18" max="18" width="10.28515625" style="2" customWidth="1"/>
    <col min="19" max="19" width="10" style="2" customWidth="1"/>
    <col min="20" max="20" width="12.42578125" style="2" customWidth="1"/>
    <col min="21" max="21" width="7.42578125" style="2" customWidth="1"/>
    <col min="22" max="22" width="11.140625" style="2" customWidth="1"/>
    <col min="23" max="23" width="12.7109375" style="2" customWidth="1"/>
    <col min="24" max="24" width="5.140625" style="2" customWidth="1"/>
    <col min="25" max="25" width="11.7109375" style="2" customWidth="1"/>
    <col min="26" max="26" width="21" style="2" customWidth="1"/>
    <col min="27" max="27" width="14.85546875" style="2" customWidth="1"/>
    <col min="28" max="28" width="15.7109375" style="2" customWidth="1"/>
    <col min="29" max="29" width="14.42578125" style="2" customWidth="1"/>
    <col min="30" max="30" width="10.42578125" style="2" customWidth="1"/>
    <col min="31" max="31" width="13.7109375" style="2" customWidth="1"/>
    <col min="32" max="32" width="10.42578125" style="2" customWidth="1"/>
    <col min="33" max="34" width="9.140625" style="2" customWidth="1"/>
    <col min="35" max="38" width="10.42578125" style="2" customWidth="1"/>
    <col min="39" max="39" width="29.5703125" style="2" customWidth="1"/>
    <col min="40" max="40" width="10.42578125" style="2" customWidth="1"/>
    <col min="41" max="41" width="10.42578125" style="12" customWidth="1"/>
    <col min="42" max="42" width="20.42578125" style="2" customWidth="1"/>
    <col min="43" max="43" width="10.42578125" style="12" customWidth="1"/>
    <col min="44" max="44" width="30" style="2" customWidth="1"/>
    <col min="45" max="45" width="10.42578125" style="12" customWidth="1"/>
    <col min="46" max="46" width="30" style="2" customWidth="1"/>
    <col min="47" max="47" width="10.42578125" style="12" customWidth="1"/>
    <col min="48" max="48" width="9.140625" style="2" customWidth="1"/>
    <col min="49" max="49" width="20" style="2" customWidth="1"/>
    <col min="50" max="50" width="10.42578125" style="12" customWidth="1"/>
    <col min="51" max="51" width="20" style="2" customWidth="1"/>
    <col min="52" max="52" width="50" style="2" customWidth="1"/>
    <col min="53" max="53" width="20" style="2" customWidth="1"/>
    <col min="54" max="54" width="50" style="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16384" width="9.140625" style="2"/>
  </cols>
  <sheetData>
    <row r="1" spans="1:86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4*60*1000*SpeedFaktor</f>
        <v>240000</v>
      </c>
      <c r="H1" s="2">
        <v>100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13</v>
      </c>
      <c r="AM1" s="2" t="s">
        <v>808</v>
      </c>
      <c r="AN1" s="2" t="s">
        <v>809</v>
      </c>
      <c r="AO1" s="24" t="s">
        <v>8</v>
      </c>
      <c r="AP1" s="2" t="s">
        <v>17</v>
      </c>
      <c r="AQ1" s="24" t="s">
        <v>8</v>
      </c>
      <c r="AR1" s="2" t="s">
        <v>1285</v>
      </c>
      <c r="AS1" s="24" t="s">
        <v>8</v>
      </c>
      <c r="AT1" s="2" t="s">
        <v>1286</v>
      </c>
      <c r="AU1" s="24" t="s">
        <v>8</v>
      </c>
      <c r="AW1" s="527" t="s">
        <v>1303</v>
      </c>
      <c r="AX1" s="24" t="s">
        <v>8</v>
      </c>
      <c r="AY1" s="841" t="s">
        <v>1311</v>
      </c>
      <c r="AZ1" s="842" t="s">
        <v>572</v>
      </c>
      <c r="BA1" s="968" t="s">
        <v>1318</v>
      </c>
      <c r="BB1" s="969" t="s">
        <v>572</v>
      </c>
      <c r="BC1" s="1115" t="s">
        <v>1324</v>
      </c>
      <c r="BD1" s="1116" t="s">
        <v>572</v>
      </c>
      <c r="BE1" s="1318" t="s">
        <v>1341</v>
      </c>
      <c r="BF1" s="1319" t="s">
        <v>572</v>
      </c>
      <c r="BG1" s="1572" t="s">
        <v>1363</v>
      </c>
      <c r="BH1" s="1573" t="s">
        <v>572</v>
      </c>
      <c r="BI1" s="1714" t="s">
        <v>1368</v>
      </c>
      <c r="BJ1" s="1715" t="s">
        <v>572</v>
      </c>
      <c r="BK1" s="1855" t="s">
        <v>1372</v>
      </c>
      <c r="BL1" s="1856" t="s">
        <v>572</v>
      </c>
      <c r="BM1" s="2135" t="s">
        <v>1397</v>
      </c>
      <c r="BN1" s="2136" t="s">
        <v>572</v>
      </c>
      <c r="BO1" s="2318" t="s">
        <v>1421</v>
      </c>
      <c r="BP1" s="2319" t="s">
        <v>572</v>
      </c>
      <c r="BQ1" s="2480" t="s">
        <v>1434</v>
      </c>
      <c r="BR1" s="2481" t="s">
        <v>572</v>
      </c>
      <c r="BS1" s="2641" t="s">
        <v>1442</v>
      </c>
      <c r="BT1" s="2642" t="s">
        <v>572</v>
      </c>
      <c r="BU1" s="2826" t="s">
        <v>1460</v>
      </c>
      <c r="BV1" s="2827" t="s">
        <v>572</v>
      </c>
      <c r="BW1" s="3008" t="s">
        <v>1472</v>
      </c>
      <c r="BX1" s="3009" t="s">
        <v>572</v>
      </c>
      <c r="BY1" s="3198" t="s">
        <v>1492</v>
      </c>
      <c r="BZ1" s="3199" t="s">
        <v>572</v>
      </c>
      <c r="CA1" s="3372" t="s">
        <v>1503</v>
      </c>
      <c r="CB1" s="3373" t="s">
        <v>572</v>
      </c>
      <c r="CC1" s="3560" t="s">
        <v>1519</v>
      </c>
      <c r="CD1" s="3561" t="s">
        <v>572</v>
      </c>
      <c r="CE1" s="3850" t="s">
        <v>1666</v>
      </c>
      <c r="CF1" s="3851" t="s">
        <v>572</v>
      </c>
      <c r="CG1" s="4069" t="s">
        <v>1717</v>
      </c>
      <c r="CH1" s="4070" t="s">
        <v>572</v>
      </c>
    </row>
    <row r="2" spans="1:86" s="10" customFormat="1" ht="14.25" customHeight="1">
      <c r="A2" s="718">
        <v>1</v>
      </c>
      <c r="B2" s="2" t="s">
        <v>21</v>
      </c>
      <c r="C2" s="11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2269</v>
      </c>
      <c r="AJ2" s="2">
        <v>2012</v>
      </c>
      <c r="AK2" s="2">
        <v>1996</v>
      </c>
      <c r="AL2" s="2">
        <v>1739</v>
      </c>
      <c r="AM2" s="2"/>
      <c r="AN2" s="2">
        <v>1229</v>
      </c>
      <c r="AO2" s="156">
        <f>AN2/($AI2)</f>
        <v>0.54164830321727631</v>
      </c>
      <c r="AP2" s="2">
        <v>1285</v>
      </c>
      <c r="AQ2" s="156">
        <f>AP2/($AI2)</f>
        <v>0.56632877919788449</v>
      </c>
      <c r="AR2" s="2">
        <v>1378</v>
      </c>
      <c r="AS2" s="156">
        <f>AR2/($AI2)</f>
        <v>0.60731599823710891</v>
      </c>
      <c r="AT2" s="2">
        <v>555</v>
      </c>
      <c r="AU2" s="156">
        <f>AT2/($AI2)</f>
        <v>0.24460114587924195</v>
      </c>
      <c r="AW2" s="10">
        <v>1273</v>
      </c>
      <c r="AX2" s="156">
        <f>AW2/($AI2)</f>
        <v>0.56104010577346852</v>
      </c>
      <c r="AY2" s="10">
        <v>1440</v>
      </c>
      <c r="BA2" s="10">
        <v>1292</v>
      </c>
      <c r="BC2" s="10">
        <v>1424</v>
      </c>
      <c r="BE2" s="10">
        <v>1196</v>
      </c>
      <c r="BG2" s="10">
        <v>1248</v>
      </c>
      <c r="BI2" s="10">
        <v>1135</v>
      </c>
      <c r="BK2" s="10">
        <v>1214</v>
      </c>
      <c r="BM2" s="10">
        <v>1625</v>
      </c>
      <c r="BO2" s="10">
        <v>1889</v>
      </c>
      <c r="BQ2" s="10">
        <v>1715</v>
      </c>
      <c r="BS2" s="10">
        <v>1304</v>
      </c>
      <c r="BU2" s="10">
        <v>1231</v>
      </c>
      <c r="BW2" s="10">
        <v>1493</v>
      </c>
      <c r="BY2" s="10">
        <v>1181</v>
      </c>
      <c r="CA2" s="10">
        <v>1258</v>
      </c>
      <c r="CC2" s="10">
        <v>1211</v>
      </c>
      <c r="CE2" s="10">
        <v>899</v>
      </c>
      <c r="CG2" s="10">
        <v>366</v>
      </c>
      <c r="CH2" s="10" t="s">
        <v>1718</v>
      </c>
    </row>
    <row r="3" spans="1:86" s="10" customFormat="1" ht="14.25" customHeight="1">
      <c r="A3" s="718">
        <v>2</v>
      </c>
      <c r="B3" s="2" t="s">
        <v>25</v>
      </c>
      <c r="C3" s="19" t="s">
        <v>26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8470</v>
      </c>
      <c r="AJ3" s="2">
        <v>6195</v>
      </c>
      <c r="AK3" s="2">
        <v>6834</v>
      </c>
      <c r="AL3" s="2">
        <v>8840</v>
      </c>
      <c r="AM3" s="2"/>
      <c r="AN3" s="2">
        <v>6747</v>
      </c>
      <c r="AO3" s="156">
        <f t="shared" ref="AO3:AU5" si="0">AN3/($AI3)</f>
        <v>0.79657615112160562</v>
      </c>
      <c r="AP3" s="2">
        <v>7951</v>
      </c>
      <c r="AQ3" s="156">
        <f t="shared" si="0"/>
        <v>0.93872491145218417</v>
      </c>
      <c r="AR3" s="2">
        <v>9852</v>
      </c>
      <c r="AS3" s="156">
        <f t="shared" si="0"/>
        <v>1.1631641086186542</v>
      </c>
      <c r="AT3" s="2">
        <v>4940</v>
      </c>
      <c r="AU3" s="156">
        <f t="shared" si="0"/>
        <v>0.5832349468713105</v>
      </c>
      <c r="AW3" s="10">
        <v>7183</v>
      </c>
      <c r="AX3" s="156">
        <f t="shared" ref="AX3:AX5" si="1">AW3/($AI3)</f>
        <v>0.84805194805194806</v>
      </c>
      <c r="AY3" s="10">
        <v>8923</v>
      </c>
      <c r="BA3" s="10">
        <v>7012</v>
      </c>
      <c r="BC3" s="10">
        <v>8091</v>
      </c>
      <c r="BE3" s="10">
        <v>7374</v>
      </c>
      <c r="BG3" s="10">
        <v>7397</v>
      </c>
      <c r="BI3" s="10">
        <v>7066</v>
      </c>
      <c r="BK3" s="10">
        <v>6889</v>
      </c>
      <c r="BM3" s="10">
        <v>6749</v>
      </c>
      <c r="BO3" s="10">
        <v>7099</v>
      </c>
      <c r="BQ3" s="10">
        <v>7211</v>
      </c>
      <c r="BS3" s="10">
        <v>7133</v>
      </c>
      <c r="BU3" s="10">
        <v>9615</v>
      </c>
      <c r="BW3" s="10">
        <v>8001</v>
      </c>
      <c r="BY3" s="10">
        <v>7865</v>
      </c>
      <c r="CA3" s="10">
        <v>9273</v>
      </c>
      <c r="CC3" s="10">
        <v>8034</v>
      </c>
      <c r="CE3" s="10">
        <v>8961</v>
      </c>
      <c r="CG3" s="10">
        <v>5800</v>
      </c>
      <c r="CH3" s="10" t="s">
        <v>1718</v>
      </c>
    </row>
    <row r="4" spans="1:86" s="10" customFormat="1" ht="46.5" customHeight="1">
      <c r="A4" s="719">
        <v>4</v>
      </c>
      <c r="B4" s="240" t="s">
        <v>810</v>
      </c>
      <c r="C4" s="187" t="str">
        <f ca="1">E4</f>
        <v>{"datei":"C:/temp/test.docx","vorlageBez":"Vorlage_156","verwKontext":"Trennblatt","vorlageSprache":"Deutsch","gueltigVon":"01.11.2025","gueltigBis":"31.12.2025","erlaueterung":"Ganz sinnvoll ist das","dossierRegion":"Münchenbuchsee,Wohlen,Frauenfeld"}</v>
      </c>
      <c r="D4" s="187" t="s">
        <v>28</v>
      </c>
      <c r="E4" s="187" t="str">
        <f ca="1">F4&amp;G4&amp;H4&amp;I4&amp;J4&amp;K4&amp;L4&amp;M4&amp;N4&amp;O4&amp;P4&amp;Q4&amp;R4&amp;S4&amp;T4&amp;U4&amp;V4&amp;W4&amp;X4&amp;Y4&amp;Z4&amp;AA4&amp;AB4&amp;AC4&amp;AD4&amp;AE4&amp;AF4</f>
        <v>{"datei":"C:/temp/test.docx","vorlageBez":"Vorlage_156","verwKontext":"Trennblatt","vorlageSprache":"Deutsch","gueltigVon":"01.11.2025","gueltigBis":"31.12.2025","erlaueterung":"Ganz sinnvoll ist das","dossierRegion":"Münchenbuchsee,Wohlen,Frauenfeld"}</v>
      </c>
      <c r="F4" s="255" t="s">
        <v>811</v>
      </c>
      <c r="G4" s="187" t="s">
        <v>472</v>
      </c>
      <c r="H4" s="255" t="s">
        <v>812</v>
      </c>
      <c r="I4" s="273" t="str">
        <f ca="1">"Vorlage_"&amp;RANDBETWEEN(100,1000)</f>
        <v>Vorlage_156</v>
      </c>
      <c r="J4" s="187" t="s">
        <v>813</v>
      </c>
      <c r="K4" s="12" t="s">
        <v>814</v>
      </c>
      <c r="L4" s="265" t="s">
        <v>815</v>
      </c>
      <c r="M4" s="187" t="s">
        <v>85</v>
      </c>
      <c r="N4" s="187" t="s">
        <v>167</v>
      </c>
      <c r="O4" s="151" t="str">
        <f ca="1">"01."&amp;TEXT(TODAY(),"MM")&amp;"."&amp;TEXT(TODAY(),"YYYY")</f>
        <v>01.11.2025</v>
      </c>
      <c r="P4" s="187" t="s">
        <v>168</v>
      </c>
      <c r="Q4" s="151" t="str">
        <f ca="1">"31.12."&amp;YEAR(TODAY())</f>
        <v>31.12.2025</v>
      </c>
      <c r="R4" s="187" t="s">
        <v>816</v>
      </c>
      <c r="S4" s="25" t="s">
        <v>817</v>
      </c>
      <c r="T4" s="187" t="s">
        <v>818</v>
      </c>
      <c r="U4" s="187" t="s">
        <v>819</v>
      </c>
      <c r="V4" s="187" t="s">
        <v>37</v>
      </c>
      <c r="W4" s="187"/>
      <c r="X4" s="187"/>
      <c r="Y4" s="187"/>
      <c r="Z4" s="187"/>
      <c r="AA4" s="25"/>
      <c r="AB4" s="187"/>
      <c r="AC4" s="25"/>
      <c r="AD4" s="187"/>
      <c r="AE4" s="187"/>
      <c r="AF4" s="187"/>
      <c r="AG4" s="187"/>
      <c r="AH4" s="187"/>
      <c r="AI4" s="187">
        <v>11791</v>
      </c>
      <c r="AJ4" s="187">
        <v>10396</v>
      </c>
      <c r="AK4" s="187">
        <v>10361</v>
      </c>
      <c r="AL4" s="187">
        <v>0</v>
      </c>
      <c r="AM4" s="187" t="s">
        <v>820</v>
      </c>
      <c r="AN4" s="187">
        <v>7184</v>
      </c>
      <c r="AO4" s="156">
        <f t="shared" si="0"/>
        <v>0.60927826308201172</v>
      </c>
      <c r="AP4" s="12">
        <v>471404</v>
      </c>
      <c r="AQ4" s="156">
        <f>AP4/($AI4)</f>
        <v>39.979984734119242</v>
      </c>
      <c r="AR4" s="12">
        <v>101698</v>
      </c>
      <c r="AS4" s="156">
        <f>AR4/($AI4)</f>
        <v>8.6250530065304041</v>
      </c>
      <c r="AT4" s="12">
        <v>0</v>
      </c>
      <c r="AU4" s="156">
        <f>AT4/($AI4)</f>
        <v>0</v>
      </c>
      <c r="AW4" s="528">
        <v>0</v>
      </c>
      <c r="AX4" s="156">
        <f>AW4/($AI4)</f>
        <v>0</v>
      </c>
      <c r="AY4" s="843">
        <v>0</v>
      </c>
      <c r="AZ4" s="844" t="s">
        <v>1314</v>
      </c>
      <c r="BA4" s="970">
        <v>0</v>
      </c>
      <c r="BB4" s="971" t="s">
        <v>1320</v>
      </c>
      <c r="BC4" s="1117">
        <v>0</v>
      </c>
      <c r="BD4" s="1118" t="s">
        <v>1326</v>
      </c>
      <c r="BE4" s="1320">
        <v>0</v>
      </c>
      <c r="BF4" s="1321" t="s">
        <v>1344</v>
      </c>
      <c r="BG4" s="10">
        <v>5401</v>
      </c>
      <c r="BI4" s="10">
        <v>6068</v>
      </c>
      <c r="BK4" s="10">
        <v>5614</v>
      </c>
      <c r="BM4" s="10">
        <v>5789</v>
      </c>
      <c r="BO4" s="10">
        <v>10262</v>
      </c>
      <c r="BQ4" s="10">
        <v>6122</v>
      </c>
      <c r="BS4" s="10">
        <v>7296</v>
      </c>
      <c r="BU4" s="10">
        <v>6621</v>
      </c>
      <c r="BW4" s="10">
        <v>4217</v>
      </c>
      <c r="BY4" s="10">
        <v>4914</v>
      </c>
      <c r="CA4" s="10">
        <v>6700</v>
      </c>
      <c r="CC4" s="10">
        <v>5247</v>
      </c>
      <c r="CE4" s="3852">
        <v>0</v>
      </c>
      <c r="CF4" s="3853" t="s">
        <v>1682</v>
      </c>
      <c r="CG4" s="4071">
        <v>0</v>
      </c>
      <c r="CH4" s="4072" t="s">
        <v>1733</v>
      </c>
    </row>
    <row r="5" spans="1:86" s="15" customFormat="1" ht="15.75" customHeight="1">
      <c r="A5" s="2">
        <v>5</v>
      </c>
      <c r="B5" s="16" t="s">
        <v>22</v>
      </c>
      <c r="C5" s="17" t="s">
        <v>23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>
        <v>4012</v>
      </c>
      <c r="AJ5" s="2">
        <v>4013</v>
      </c>
      <c r="AK5" s="2">
        <v>4017</v>
      </c>
      <c r="AL5" s="2">
        <v>278</v>
      </c>
      <c r="AM5" s="2"/>
      <c r="AN5" s="2">
        <v>4010</v>
      </c>
      <c r="AO5" s="156">
        <f t="shared" si="0"/>
        <v>0.99950149551345957</v>
      </c>
      <c r="AP5" s="2">
        <v>4015</v>
      </c>
      <c r="AQ5" s="156">
        <f t="shared" si="0"/>
        <v>1.0007477567298106</v>
      </c>
      <c r="AR5" s="2">
        <v>4010</v>
      </c>
      <c r="AS5" s="156">
        <f t="shared" si="0"/>
        <v>0.99950149551345957</v>
      </c>
      <c r="AT5" s="2">
        <v>4008</v>
      </c>
      <c r="AU5" s="156">
        <f t="shared" si="0"/>
        <v>0.99900299102691925</v>
      </c>
      <c r="AW5" s="15">
        <v>244</v>
      </c>
      <c r="AX5" s="156">
        <f t="shared" si="1"/>
        <v>6.0817547357926223E-2</v>
      </c>
      <c r="AY5" s="15">
        <v>4008</v>
      </c>
      <c r="BA5" s="15">
        <v>421</v>
      </c>
      <c r="BC5" s="15">
        <v>398</v>
      </c>
      <c r="BE5" s="15">
        <v>276</v>
      </c>
      <c r="BG5" s="15">
        <v>4006</v>
      </c>
      <c r="BI5" s="15">
        <v>4014</v>
      </c>
      <c r="BK5" s="15">
        <v>4009</v>
      </c>
      <c r="BM5" s="15">
        <v>4020</v>
      </c>
      <c r="BO5" s="15">
        <v>4017</v>
      </c>
      <c r="BQ5" s="15">
        <v>4015</v>
      </c>
      <c r="BS5" s="15">
        <v>4017</v>
      </c>
      <c r="BU5" s="15">
        <v>4008</v>
      </c>
      <c r="BW5" s="15">
        <v>4008</v>
      </c>
      <c r="BY5" s="15">
        <v>4016</v>
      </c>
      <c r="CA5" s="15">
        <v>4006</v>
      </c>
      <c r="CC5" s="15">
        <v>4010</v>
      </c>
      <c r="CE5" s="15">
        <v>4013</v>
      </c>
      <c r="CG5" s="15">
        <v>187</v>
      </c>
      <c r="CH5" s="15" t="s">
        <v>1718</v>
      </c>
    </row>
    <row r="6" spans="1:86">
      <c r="C6" s="50"/>
      <c r="AO6" s="2"/>
      <c r="AQ6" s="2"/>
      <c r="AS6" s="2"/>
      <c r="AU6" s="2"/>
      <c r="AX6" s="2"/>
    </row>
    <row r="7" spans="1:86">
      <c r="AO7" s="2"/>
      <c r="AQ7" s="2"/>
      <c r="AS7" s="2"/>
      <c r="AU7" s="2"/>
      <c r="AX7" s="2"/>
    </row>
    <row r="8" spans="1:86">
      <c r="C8" s="346" t="s">
        <v>821</v>
      </c>
      <c r="AO8" s="2"/>
      <c r="AQ8" s="2"/>
      <c r="AS8" s="2"/>
      <c r="AU8" s="2"/>
      <c r="AX8" s="2"/>
    </row>
    <row r="9" spans="1:86">
      <c r="C9" s="24" t="s">
        <v>822</v>
      </c>
      <c r="AO9" s="2"/>
      <c r="AQ9" s="2"/>
      <c r="AS9" s="2"/>
      <c r="AU9" s="2"/>
      <c r="AX9" s="2"/>
    </row>
    <row r="10" spans="1:86">
      <c r="B10" s="2" t="s">
        <v>823</v>
      </c>
      <c r="C10" s="2" t="s">
        <v>824</v>
      </c>
      <c r="M10" s="2" t="s">
        <v>814</v>
      </c>
      <c r="AO10" s="2"/>
      <c r="AQ10" s="2"/>
      <c r="AS10" s="2"/>
      <c r="AU10" s="2"/>
      <c r="AX10" s="2"/>
    </row>
    <row r="11" spans="1:86">
      <c r="M11" s="15" t="s">
        <v>825</v>
      </c>
    </row>
    <row r="12" spans="1:86">
      <c r="B12" s="347"/>
      <c r="M12" s="15" t="s">
        <v>826</v>
      </c>
    </row>
    <row r="13" spans="1:86">
      <c r="B13" s="348" t="s">
        <v>827</v>
      </c>
      <c r="M13" s="15" t="s">
        <v>828</v>
      </c>
    </row>
    <row r="14" spans="1:86">
      <c r="B14" s="348"/>
      <c r="M14" s="15" t="s">
        <v>829</v>
      </c>
    </row>
    <row r="15" spans="1:86">
      <c r="B15" s="348"/>
      <c r="M15" s="15" t="s">
        <v>830</v>
      </c>
    </row>
    <row r="16" spans="1:86">
      <c r="M16" s="15" t="s">
        <v>831</v>
      </c>
    </row>
    <row r="17" spans="13:13">
      <c r="M17" s="15" t="s">
        <v>832</v>
      </c>
    </row>
    <row r="18" spans="13:13">
      <c r="M18" s="15" t="s">
        <v>833</v>
      </c>
    </row>
    <row r="19" spans="13:13">
      <c r="M19" s="15" t="s">
        <v>834</v>
      </c>
    </row>
    <row r="20" spans="13:13">
      <c r="M20" s="15" t="s">
        <v>835</v>
      </c>
    </row>
    <row r="21" spans="13:13">
      <c r="M21" s="15" t="s">
        <v>836</v>
      </c>
    </row>
    <row r="22" spans="13:13">
      <c r="M22" s="15" t="s">
        <v>837</v>
      </c>
    </row>
    <row r="23" spans="13:13">
      <c r="M23" s="15" t="s">
        <v>838</v>
      </c>
    </row>
    <row r="24" spans="13:13">
      <c r="M24" s="15" t="s">
        <v>839</v>
      </c>
    </row>
    <row r="25" spans="13:13">
      <c r="M25" s="15" t="s">
        <v>840</v>
      </c>
    </row>
    <row r="26" spans="13:13">
      <c r="M26" s="15" t="s">
        <v>841</v>
      </c>
    </row>
    <row r="27" spans="13:13">
      <c r="M27" s="15" t="s">
        <v>842</v>
      </c>
    </row>
  </sheetData>
  <conditionalFormatting sqref="AO2:AO146 AQ2:AQ146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S2:AS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U2:AU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X2:AX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7441-DC2E-488F-8819-592560EA1DA4}">
  <sheetPr>
    <tabColor rgb="FF92D050"/>
  </sheetPr>
  <dimension ref="A1:CH12"/>
  <sheetViews>
    <sheetView zoomScale="95" zoomScaleNormal="95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ColWidth="9.140625" defaultRowHeight="14.25" customHeight="1"/>
  <cols>
    <col min="1" max="1" width="4.85546875" style="1" customWidth="1"/>
    <col min="2" max="2" width="44.140625" style="2" customWidth="1"/>
    <col min="3" max="3" width="162.42578125" style="2" customWidth="1"/>
    <col min="4" max="4" width="9.140625" style="2" customWidth="1"/>
    <col min="5" max="5" width="9.85546875" style="3" customWidth="1"/>
    <col min="6" max="6" width="7.7109375" style="2" customWidth="1"/>
    <col min="7" max="7" width="11.28515625" style="2" customWidth="1"/>
    <col min="8" max="8" width="5.5703125" style="2" customWidth="1"/>
    <col min="9" max="9" width="10.5703125" style="2" customWidth="1"/>
    <col min="10" max="10" width="3.85546875" style="2" customWidth="1"/>
    <col min="11" max="11" width="11.42578125" style="2" customWidth="1"/>
    <col min="12" max="12" width="4.7109375" style="2" customWidth="1"/>
    <col min="13" max="13" width="14.5703125" style="2" customWidth="1"/>
    <col min="14" max="14" width="9.42578125" style="2" customWidth="1"/>
    <col min="15" max="15" width="13.85546875" style="2" customWidth="1"/>
    <col min="16" max="16" width="3" style="2" customWidth="1"/>
    <col min="17" max="17" width="15" style="2" customWidth="1"/>
    <col min="18" max="18" width="10.28515625" style="2" customWidth="1"/>
    <col min="19" max="19" width="10" style="2" customWidth="1"/>
    <col min="20" max="20" width="12.42578125" style="2" customWidth="1"/>
    <col min="21" max="21" width="7.42578125" style="2" customWidth="1"/>
    <col min="22" max="22" width="11.140625" style="2" customWidth="1"/>
    <col min="23" max="23" width="12.7109375" style="2" customWidth="1"/>
    <col min="24" max="24" width="5.140625" style="2" customWidth="1"/>
    <col min="25" max="25" width="11.7109375" style="2" customWidth="1"/>
    <col min="26" max="26" width="21" style="2" customWidth="1"/>
    <col min="27" max="27" width="14.85546875" style="2" customWidth="1"/>
    <col min="28" max="28" width="15.7109375" style="2" customWidth="1"/>
    <col min="29" max="29" width="14.42578125" style="2" customWidth="1"/>
    <col min="30" max="30" width="10.42578125" style="2" customWidth="1"/>
    <col min="31" max="31" width="13.7109375" style="2" customWidth="1"/>
    <col min="32" max="32" width="10.42578125" style="2" customWidth="1"/>
    <col min="33" max="34" width="9.140625" style="2" customWidth="1"/>
    <col min="35" max="38" width="10.42578125" style="2" customWidth="1"/>
    <col min="39" max="39" width="29.5703125" style="2" customWidth="1"/>
    <col min="40" max="40" width="10.42578125" style="2" customWidth="1"/>
    <col min="41" max="41" width="10.42578125" style="12" customWidth="1"/>
    <col min="42" max="42" width="20.42578125" style="2" customWidth="1"/>
    <col min="43" max="43" width="10.42578125" style="12" customWidth="1"/>
    <col min="44" max="44" width="30" style="2" customWidth="1"/>
    <col min="45" max="45" width="10.42578125" style="12" customWidth="1"/>
    <col min="46" max="46" width="30" style="2" customWidth="1"/>
    <col min="47" max="47" width="10.42578125" style="12" customWidth="1"/>
    <col min="48" max="48" width="9.140625" style="2" customWidth="1"/>
    <col min="49" max="49" width="20" style="2" customWidth="1"/>
    <col min="50" max="50" width="10.42578125" style="12" customWidth="1"/>
    <col min="51" max="51" width="20" style="2" customWidth="1"/>
    <col min="52" max="52" width="50" style="2" customWidth="1"/>
    <col min="53" max="53" width="20" style="2" customWidth="1"/>
    <col min="54" max="54" width="50" style="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16384" width="9.140625" style="2"/>
  </cols>
  <sheetData>
    <row r="1" spans="1:86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14*60*1000*SpeedFaktor</f>
        <v>840000</v>
      </c>
      <c r="H1" s="2">
        <v>100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13</v>
      </c>
      <c r="AM1" s="2" t="s">
        <v>808</v>
      </c>
      <c r="AN1" s="2" t="s">
        <v>809</v>
      </c>
      <c r="AO1" s="24" t="s">
        <v>8</v>
      </c>
      <c r="AP1" s="2" t="s">
        <v>17</v>
      </c>
      <c r="AQ1" s="24" t="s">
        <v>8</v>
      </c>
      <c r="AR1" s="2" t="s">
        <v>1285</v>
      </c>
      <c r="AS1" s="24" t="s">
        <v>8</v>
      </c>
      <c r="AT1" s="2" t="s">
        <v>1286</v>
      </c>
      <c r="AU1" s="24" t="s">
        <v>8</v>
      </c>
      <c r="AW1" s="527" t="s">
        <v>1303</v>
      </c>
      <c r="AX1" s="24" t="s">
        <v>8</v>
      </c>
      <c r="AY1" s="841" t="s">
        <v>1311</v>
      </c>
      <c r="AZ1" s="842" t="s">
        <v>572</v>
      </c>
      <c r="BA1" s="968" t="s">
        <v>1318</v>
      </c>
      <c r="BB1" s="969" t="s">
        <v>572</v>
      </c>
      <c r="BC1" s="1115" t="s">
        <v>1324</v>
      </c>
      <c r="BD1" s="1116" t="s">
        <v>572</v>
      </c>
      <c r="BE1" s="1318" t="s">
        <v>1341</v>
      </c>
      <c r="BF1" s="1319" t="s">
        <v>572</v>
      </c>
      <c r="BG1" s="1572" t="s">
        <v>1363</v>
      </c>
      <c r="BH1" s="1573" t="s">
        <v>572</v>
      </c>
      <c r="BI1" s="1714" t="s">
        <v>1368</v>
      </c>
      <c r="BJ1" s="1715" t="s">
        <v>572</v>
      </c>
      <c r="BK1" s="1855" t="s">
        <v>1372</v>
      </c>
      <c r="BL1" s="1856" t="s">
        <v>572</v>
      </c>
      <c r="BM1" s="2135" t="s">
        <v>1397</v>
      </c>
      <c r="BN1" s="2136" t="s">
        <v>572</v>
      </c>
      <c r="BO1" s="2318" t="s">
        <v>1421</v>
      </c>
      <c r="BP1" s="2319" t="s">
        <v>572</v>
      </c>
      <c r="BQ1" s="2480" t="s">
        <v>1434</v>
      </c>
      <c r="BR1" s="2481" t="s">
        <v>572</v>
      </c>
      <c r="BS1" s="2641" t="s">
        <v>1442</v>
      </c>
      <c r="BT1" s="2642" t="s">
        <v>572</v>
      </c>
      <c r="BU1" s="2826" t="s">
        <v>1460</v>
      </c>
      <c r="BV1" s="2827" t="s">
        <v>572</v>
      </c>
      <c r="BW1" s="3008" t="s">
        <v>1472</v>
      </c>
      <c r="BX1" s="3009" t="s">
        <v>572</v>
      </c>
      <c r="BY1" s="3198" t="s">
        <v>1492</v>
      </c>
      <c r="BZ1" s="3199" t="s">
        <v>572</v>
      </c>
      <c r="CA1" s="3372" t="s">
        <v>1503</v>
      </c>
      <c r="CB1" s="3373" t="s">
        <v>572</v>
      </c>
      <c r="CC1" s="3560" t="s">
        <v>1519</v>
      </c>
      <c r="CD1" s="3561" t="s">
        <v>572</v>
      </c>
      <c r="CE1" s="3854" t="s">
        <v>1666</v>
      </c>
      <c r="CF1" s="3855" t="s">
        <v>572</v>
      </c>
      <c r="CG1" s="4073" t="s">
        <v>1717</v>
      </c>
      <c r="CH1" s="4074" t="s">
        <v>572</v>
      </c>
    </row>
    <row r="2" spans="1:86" s="10" customFormat="1" ht="14.25" customHeight="1">
      <c r="A2" s="718">
        <v>1</v>
      </c>
      <c r="B2" s="2" t="s">
        <v>21</v>
      </c>
      <c r="C2" s="11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2269</v>
      </c>
      <c r="AJ2" s="2">
        <v>2012</v>
      </c>
      <c r="AK2" s="2">
        <v>1996</v>
      </c>
      <c r="AL2" s="2">
        <v>1739</v>
      </c>
      <c r="AM2" s="2"/>
      <c r="AN2" s="2">
        <v>1229</v>
      </c>
      <c r="AO2" s="156">
        <f>AN2/($AI2)</f>
        <v>0.54164830321727631</v>
      </c>
      <c r="AP2" s="2">
        <v>1285</v>
      </c>
      <c r="AQ2" s="156">
        <f>AP2/($AI2)</f>
        <v>0.56632877919788449</v>
      </c>
      <c r="AR2" s="2">
        <v>1378</v>
      </c>
      <c r="AS2" s="156">
        <f>AR2/($AI2)</f>
        <v>0.60731599823710891</v>
      </c>
      <c r="AT2" s="2">
        <v>555</v>
      </c>
      <c r="AU2" s="156">
        <f>AT2/($AI2)</f>
        <v>0.24460114587924195</v>
      </c>
      <c r="AW2" s="10">
        <v>1273</v>
      </c>
      <c r="AX2" s="156">
        <f>AW2/($AI2)</f>
        <v>0.56104010577346852</v>
      </c>
      <c r="AY2" s="10">
        <v>1440</v>
      </c>
      <c r="BA2" s="10">
        <v>1292</v>
      </c>
      <c r="BC2" s="10">
        <v>1424</v>
      </c>
      <c r="BE2" s="10">
        <v>1196</v>
      </c>
      <c r="BG2" s="10">
        <v>1248</v>
      </c>
      <c r="BI2" s="10">
        <v>1135</v>
      </c>
      <c r="BK2" s="10">
        <v>1214</v>
      </c>
      <c r="BM2" s="10">
        <v>1625</v>
      </c>
      <c r="BO2" s="10">
        <v>1889</v>
      </c>
      <c r="BQ2" s="10">
        <v>1715</v>
      </c>
      <c r="BS2" s="10">
        <v>1304</v>
      </c>
      <c r="BU2" s="10">
        <v>1231</v>
      </c>
      <c r="BW2" s="10">
        <v>1493</v>
      </c>
      <c r="BY2" s="10">
        <v>1181</v>
      </c>
      <c r="CA2" s="10">
        <v>1258</v>
      </c>
      <c r="CC2" s="10">
        <v>1211</v>
      </c>
      <c r="CE2" s="10">
        <v>904</v>
      </c>
      <c r="CG2" s="10">
        <v>384</v>
      </c>
      <c r="CH2" s="10" t="s">
        <v>1718</v>
      </c>
    </row>
    <row r="3" spans="1:86" s="10" customFormat="1" ht="14.25" customHeight="1" thickBot="1">
      <c r="A3" s="718">
        <v>2</v>
      </c>
      <c r="B3" s="2" t="s">
        <v>25</v>
      </c>
      <c r="C3" s="19" t="s">
        <v>26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8470</v>
      </c>
      <c r="AJ3" s="2">
        <v>6195</v>
      </c>
      <c r="AK3" s="2">
        <v>6834</v>
      </c>
      <c r="AL3" s="2">
        <v>8840</v>
      </c>
      <c r="AM3" s="2"/>
      <c r="AN3" s="2">
        <v>6747</v>
      </c>
      <c r="AO3" s="156">
        <f t="shared" ref="AO3:AU4" si="0">AN3/($AI3)</f>
        <v>0.79657615112160562</v>
      </c>
      <c r="AP3" s="2">
        <v>7951</v>
      </c>
      <c r="AQ3" s="156">
        <f t="shared" si="0"/>
        <v>0.93872491145218417</v>
      </c>
      <c r="AR3" s="2">
        <v>9852</v>
      </c>
      <c r="AS3" s="156">
        <f t="shared" si="0"/>
        <v>1.1631641086186542</v>
      </c>
      <c r="AT3" s="2">
        <v>4940</v>
      </c>
      <c r="AU3" s="156">
        <f t="shared" si="0"/>
        <v>0.5832349468713105</v>
      </c>
      <c r="AW3" s="10">
        <v>7183</v>
      </c>
      <c r="AX3" s="156">
        <f t="shared" ref="AX3" si="1">AW3/($AI3)</f>
        <v>0.84805194805194806</v>
      </c>
      <c r="AY3" s="10">
        <v>8923</v>
      </c>
      <c r="BA3" s="10">
        <v>7012</v>
      </c>
      <c r="BC3" s="10">
        <v>8091</v>
      </c>
      <c r="BE3" s="10">
        <v>7374</v>
      </c>
      <c r="BG3" s="10">
        <v>7397</v>
      </c>
      <c r="BI3" s="10">
        <v>7066</v>
      </c>
      <c r="BK3" s="10">
        <v>6889</v>
      </c>
      <c r="BM3" s="10">
        <v>6749</v>
      </c>
      <c r="BO3" s="10">
        <v>7099</v>
      </c>
      <c r="BQ3" s="10">
        <v>7211</v>
      </c>
      <c r="BS3" s="10">
        <v>7133</v>
      </c>
      <c r="BU3" s="10">
        <v>9615</v>
      </c>
      <c r="BW3" s="10">
        <v>8001</v>
      </c>
      <c r="BY3" s="10">
        <v>7865</v>
      </c>
      <c r="CA3" s="10">
        <v>9273</v>
      </c>
      <c r="CC3" s="10">
        <v>8034</v>
      </c>
      <c r="CE3" s="10">
        <v>8486</v>
      </c>
      <c r="CG3" s="10">
        <v>6219</v>
      </c>
      <c r="CH3" s="10" t="s">
        <v>1718</v>
      </c>
    </row>
    <row r="4" spans="1:86" s="10" customFormat="1" ht="46.5" customHeight="1" thickBot="1">
      <c r="A4" s="719">
        <v>4</v>
      </c>
      <c r="B4" s="240" t="s">
        <v>1557</v>
      </c>
      <c r="C4" s="187" t="str">
        <f ca="1">E4</f>
        <v>{"vorlageBez":"Vorlage_156","verwKontext":"Trennblatt","vorlageSprache":"Deutsch"}</v>
      </c>
      <c r="D4" s="187" t="s">
        <v>28</v>
      </c>
      <c r="E4" s="187" t="str">
        <f ca="1">F4&amp;G4&amp;H4&amp;I4&amp;J4&amp;K4&amp;L4&amp;M4&amp;N4&amp;O4&amp;P4&amp;Q4&amp;R4&amp;S4&amp;T4&amp;U4&amp;V4&amp;W4&amp;X4&amp;Y4&amp;Z4&amp;AA4&amp;AB4&amp;AC4&amp;AD4&amp;AE4&amp;AF4</f>
        <v>{"vorlageBez":"Vorlage_156","verwKontext":"Trennblatt","vorlageSprache":"Deutsch"}</v>
      </c>
      <c r="F4" s="255" t="s">
        <v>162</v>
      </c>
      <c r="G4" s="187"/>
      <c r="H4" s="255" t="s">
        <v>1555</v>
      </c>
      <c r="I4" s="273" t="str">
        <f ca="1">'KO03'!I4</f>
        <v>Vorlage_156</v>
      </c>
      <c r="J4" s="187" t="s">
        <v>813</v>
      </c>
      <c r="K4" s="12" t="s">
        <v>814</v>
      </c>
      <c r="L4" s="265" t="s">
        <v>815</v>
      </c>
      <c r="M4" s="187" t="s">
        <v>85</v>
      </c>
      <c r="N4" s="187"/>
      <c r="O4" s="151"/>
      <c r="P4" s="187"/>
      <c r="Q4" s="151"/>
      <c r="R4" s="187"/>
      <c r="S4" s="25"/>
      <c r="T4" s="187"/>
      <c r="U4" s="187"/>
      <c r="V4" s="187" t="s">
        <v>37</v>
      </c>
      <c r="W4" s="187"/>
      <c r="X4" s="187"/>
      <c r="Y4" s="187"/>
      <c r="Z4" s="187"/>
      <c r="AA4" s="25"/>
      <c r="AB4" s="187"/>
      <c r="AC4" s="25"/>
      <c r="AD4" s="187"/>
      <c r="AE4" s="187"/>
      <c r="AF4" s="187"/>
      <c r="AG4" s="187"/>
      <c r="AH4" s="187"/>
      <c r="AI4" s="187">
        <v>11791</v>
      </c>
      <c r="AJ4" s="187">
        <v>10396</v>
      </c>
      <c r="AK4" s="187">
        <v>10361</v>
      </c>
      <c r="AL4" s="187">
        <v>0</v>
      </c>
      <c r="AM4" s="187" t="s">
        <v>820</v>
      </c>
      <c r="AN4" s="187">
        <v>7184</v>
      </c>
      <c r="AO4" s="156">
        <f t="shared" si="0"/>
        <v>0.60927826308201172</v>
      </c>
      <c r="AP4" s="12">
        <v>471404</v>
      </c>
      <c r="AQ4" s="156">
        <f>AP4/($AI4)</f>
        <v>39.979984734119242</v>
      </c>
      <c r="AR4" s="12">
        <v>101698</v>
      </c>
      <c r="AS4" s="156">
        <f>AR4/($AI4)</f>
        <v>8.6250530065304041</v>
      </c>
      <c r="AT4" s="12">
        <v>0</v>
      </c>
      <c r="AU4" s="156">
        <f>AT4/($AI4)</f>
        <v>0</v>
      </c>
      <c r="AW4" s="528">
        <v>0</v>
      </c>
      <c r="AX4" s="156">
        <f>AW4/($AI4)</f>
        <v>0</v>
      </c>
      <c r="AY4" s="843">
        <v>0</v>
      </c>
      <c r="AZ4" s="844" t="s">
        <v>1314</v>
      </c>
      <c r="BA4" s="970">
        <v>0</v>
      </c>
      <c r="BB4" s="971" t="s">
        <v>1320</v>
      </c>
      <c r="BC4" s="1117">
        <v>0</v>
      </c>
      <c r="BD4" s="1118" t="s">
        <v>1326</v>
      </c>
      <c r="BE4" s="1320">
        <v>0</v>
      </c>
      <c r="BF4" s="1321" t="s">
        <v>1344</v>
      </c>
      <c r="BG4" s="10">
        <v>5401</v>
      </c>
      <c r="BI4" s="10">
        <v>6068</v>
      </c>
      <c r="BK4" s="10">
        <v>5614</v>
      </c>
      <c r="BM4" s="10">
        <v>5789</v>
      </c>
      <c r="BO4" s="10">
        <v>10262</v>
      </c>
      <c r="BQ4" s="10">
        <v>6122</v>
      </c>
      <c r="BS4" s="10">
        <v>7296</v>
      </c>
      <c r="BU4" s="10">
        <v>6621</v>
      </c>
      <c r="BW4" s="10">
        <v>4217</v>
      </c>
      <c r="BY4" s="10">
        <v>4914</v>
      </c>
      <c r="CA4" s="10">
        <v>6700</v>
      </c>
      <c r="CC4" s="10">
        <v>5247</v>
      </c>
      <c r="CE4" s="3856">
        <v>0</v>
      </c>
      <c r="CF4" s="3857" t="s">
        <v>1683</v>
      </c>
      <c r="CG4" s="4075">
        <v>0</v>
      </c>
      <c r="CH4" s="4076" t="s">
        <v>1734</v>
      </c>
    </row>
    <row r="5" spans="1:86">
      <c r="M5" s="15" t="s">
        <v>835</v>
      </c>
    </row>
    <row r="6" spans="1:86">
      <c r="M6" s="15" t="s">
        <v>836</v>
      </c>
    </row>
    <row r="7" spans="1:86">
      <c r="M7" s="15" t="s">
        <v>837</v>
      </c>
    </row>
    <row r="8" spans="1:86">
      <c r="M8" s="15" t="s">
        <v>838</v>
      </c>
    </row>
    <row r="9" spans="1:86">
      <c r="M9" s="15" t="s">
        <v>839</v>
      </c>
    </row>
    <row r="10" spans="1:86">
      <c r="M10" s="15" t="s">
        <v>840</v>
      </c>
    </row>
    <row r="11" spans="1:86">
      <c r="M11" s="15" t="s">
        <v>841</v>
      </c>
    </row>
    <row r="12" spans="1:86">
      <c r="M12" s="15" t="s">
        <v>842</v>
      </c>
    </row>
  </sheetData>
  <conditionalFormatting sqref="AO2:AO131 AQ2:AQ131 AS2:AS131 AU2:AU131 AX2:AX131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92D050"/>
  </sheetPr>
  <dimension ref="A1:T12"/>
  <sheetViews>
    <sheetView zoomScaleNormal="100" workbookViewId="0">
      <selection activeCell="G4" sqref="G4"/>
    </sheetView>
  </sheetViews>
  <sheetFormatPr defaultColWidth="9.140625" defaultRowHeight="14.25" customHeight="1"/>
  <cols>
    <col min="1" max="1" width="4.85546875" style="1" customWidth="1"/>
    <col min="2" max="2" width="44.140625" style="2" customWidth="1"/>
    <col min="3" max="3" width="162.42578125" style="2" customWidth="1"/>
    <col min="4" max="4" width="9.140625" style="2" customWidth="1"/>
    <col min="5" max="5" width="9.85546875" style="3" customWidth="1"/>
    <col min="6" max="6" width="7.7109375" style="2" customWidth="1"/>
    <col min="7" max="7" width="11.28515625" style="2" customWidth="1"/>
    <col min="8" max="8" width="4" style="2" customWidth="1"/>
    <col min="9" max="9" width="10.5703125" style="2" customWidth="1"/>
    <col min="10" max="10" width="5" style="2" customWidth="1"/>
    <col min="11" max="11" width="15.28515625" style="2" customWidth="1"/>
    <col min="12" max="12" width="4.7109375" style="2" customWidth="1"/>
    <col min="13" max="13" width="14.5703125" style="2" customWidth="1"/>
    <col min="14" max="14" width="9.42578125" style="2" customWidth="1"/>
    <col min="15" max="15" width="13.85546875" style="2" customWidth="1"/>
    <col min="16" max="16" width="3" style="2" customWidth="1"/>
    <col min="17" max="17" width="9.140625" style="2" customWidth="1"/>
    <col min="18" max="20" width="9.5703125" style="2" customWidth="1"/>
    <col min="21" max="21" width="9.140625" style="2" customWidth="1"/>
    <col min="22" max="16384" width="9.140625" style="2"/>
  </cols>
  <sheetData>
    <row r="1" spans="1:20" ht="27" customHeight="1">
      <c r="A1" s="5" t="s">
        <v>0</v>
      </c>
      <c r="B1" s="5" t="s">
        <v>1</v>
      </c>
      <c r="C1" s="5" t="s">
        <v>2</v>
      </c>
      <c r="D1" s="5" t="s">
        <v>3</v>
      </c>
      <c r="E1" s="6" t="s">
        <v>735</v>
      </c>
      <c r="F1" s="2" t="s">
        <v>4</v>
      </c>
      <c r="G1" s="2558">
        <f>14*60*1000*SpeedFaktor</f>
        <v>840000</v>
      </c>
      <c r="H1" s="2">
        <v>10</v>
      </c>
      <c r="Q1" s="2" t="s">
        <v>5</v>
      </c>
      <c r="R1" s="2" t="s">
        <v>676</v>
      </c>
      <c r="S1" s="2" t="s">
        <v>658</v>
      </c>
      <c r="T1" s="2" t="s">
        <v>489</v>
      </c>
    </row>
    <row r="2" spans="1:20" s="10" customFormat="1" ht="14.25" customHeight="1">
      <c r="A2" s="1">
        <v>1</v>
      </c>
      <c r="B2" s="2" t="s">
        <v>21</v>
      </c>
      <c r="C2" s="11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>
        <v>2253</v>
      </c>
      <c r="S2" s="2">
        <v>2332</v>
      </c>
      <c r="T2" s="2">
        <v>1472</v>
      </c>
    </row>
    <row r="3" spans="1:20" s="10" customFormat="1" ht="14.25" customHeight="1" thickBot="1">
      <c r="A3" s="1">
        <v>2</v>
      </c>
      <c r="B3" s="2" t="s">
        <v>25</v>
      </c>
      <c r="C3" s="19" t="s">
        <v>26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>
        <v>5933</v>
      </c>
      <c r="S3" s="2">
        <v>6975</v>
      </c>
      <c r="T3" s="2">
        <v>9172</v>
      </c>
    </row>
    <row r="4" spans="1:20" s="10" customFormat="1" ht="16.5" customHeight="1" thickBot="1">
      <c r="A4" s="21">
        <v>4</v>
      </c>
      <c r="B4" s="22" t="s">
        <v>27</v>
      </c>
      <c r="C4" s="23" t="e">
        <f>E4</f>
        <v>#REF!</v>
      </c>
      <c r="D4" s="24" t="s">
        <v>28</v>
      </c>
      <c r="E4" s="24" t="e">
        <f>F4&amp;G4&amp;H4&amp;I4&amp;J4&amp;K4&amp;L4&amp;M4&amp;N4&amp;O4&amp;P4&amp;#REF!&amp;#REF!&amp;#REF!&amp;#REF!&amp;#REF!&amp;#REF!&amp;#REF!&amp;#REF!&amp;#REF!&amp;#REF!&amp;#REF!&amp;#REF!&amp;#REF!</f>
        <v>#REF!</v>
      </c>
      <c r="F4" s="23" t="s">
        <v>29</v>
      </c>
      <c r="G4" s="25" t="s">
        <v>30</v>
      </c>
      <c r="H4" s="24" t="s">
        <v>31</v>
      </c>
      <c r="I4" s="25" t="s">
        <v>32</v>
      </c>
      <c r="J4" s="24" t="s">
        <v>33</v>
      </c>
      <c r="K4" s="25" t="s">
        <v>34</v>
      </c>
      <c r="L4" s="24" t="s">
        <v>35</v>
      </c>
      <c r="M4" s="18" t="s">
        <v>48</v>
      </c>
      <c r="N4" s="24" t="s">
        <v>37</v>
      </c>
      <c r="O4" s="24"/>
      <c r="P4" s="24"/>
      <c r="Q4" s="24"/>
      <c r="R4" s="24">
        <v>0</v>
      </c>
      <c r="S4" s="24">
        <v>511</v>
      </c>
      <c r="T4" s="24">
        <v>416</v>
      </c>
    </row>
    <row r="6" spans="1:20">
      <c r="C6" s="2" t="s">
        <v>40</v>
      </c>
      <c r="R6" s="2">
        <v>305</v>
      </c>
    </row>
    <row r="8" spans="1:20">
      <c r="C8" s="30" t="s">
        <v>43</v>
      </c>
    </row>
    <row r="9" spans="1:20">
      <c r="C9" s="18" t="s">
        <v>45</v>
      </c>
    </row>
    <row r="10" spans="1:20">
      <c r="C10" s="18" t="s">
        <v>46</v>
      </c>
    </row>
    <row r="11" spans="1:20">
      <c r="C11" s="18" t="s">
        <v>47</v>
      </c>
    </row>
    <row r="12" spans="1:20">
      <c r="C12" s="18" t="s">
        <v>54</v>
      </c>
    </row>
  </sheetData>
  <hyperlinks>
    <hyperlink ref="G4" r:id="rId1" xr:uid="{00000000-0004-0000-2600-000000000000}"/>
    <hyperlink ref="I4" r:id="rId2" xr:uid="{00000000-0004-0000-2600-000001000000}"/>
    <hyperlink ref="K4" r:id="rId3" xr:uid="{00000000-0004-0000-2600-000002000000}"/>
  </hyperlinks>
  <pageMargins left="0.7" right="0.7" top="0.75" bottom="0.75" header="0.3" footer="0.3"/>
  <pageSetup paperSize="9" orientation="portrait" useFirstPageNumber="1" horizontalDpi="4294967295" verticalDpi="429496729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1C58-72CB-4527-B2AA-0ABDBB51FA3E}">
  <sheetPr>
    <tabColor theme="0" tint="-0.499984740745262"/>
  </sheetPr>
  <dimension ref="A1:T20"/>
  <sheetViews>
    <sheetView zoomScaleNormal="100" workbookViewId="0">
      <selection activeCell="C29" sqref="C29"/>
    </sheetView>
  </sheetViews>
  <sheetFormatPr defaultColWidth="9.140625" defaultRowHeight="14.25" customHeight="1"/>
  <cols>
    <col min="1" max="1" width="4.85546875" style="1" customWidth="1"/>
    <col min="2" max="2" width="44.140625" style="2" customWidth="1"/>
    <col min="3" max="3" width="162.42578125" style="2" customWidth="1"/>
    <col min="4" max="4" width="9.140625" style="2" customWidth="1"/>
    <col min="5" max="5" width="9.85546875" style="3" customWidth="1"/>
    <col min="6" max="6" width="7.7109375" style="2" customWidth="1"/>
    <col min="7" max="7" width="11.28515625" style="2" customWidth="1"/>
    <col min="8" max="8" width="4" style="2" customWidth="1"/>
    <col min="9" max="9" width="10.5703125" style="2" customWidth="1"/>
    <col min="10" max="10" width="5" style="2" customWidth="1"/>
    <col min="11" max="11" width="15.28515625" style="2" customWidth="1"/>
    <col min="12" max="12" width="4.7109375" style="2" customWidth="1"/>
    <col min="13" max="13" width="14.5703125" style="2" customWidth="1"/>
    <col min="14" max="14" width="9.42578125" style="2" customWidth="1"/>
    <col min="15" max="15" width="13.85546875" style="2" customWidth="1"/>
    <col min="16" max="16" width="3" style="2" customWidth="1"/>
    <col min="17" max="17" width="9.140625" style="2" customWidth="1"/>
    <col min="18" max="20" width="9.5703125" style="2" customWidth="1"/>
    <col min="21" max="21" width="9.140625" style="2" customWidth="1"/>
    <col min="22" max="16384" width="9.140625" style="2"/>
  </cols>
  <sheetData>
    <row r="1" spans="1:20" ht="27" customHeight="1">
      <c r="A1" s="5" t="s">
        <v>0</v>
      </c>
      <c r="B1" s="5" t="s">
        <v>1</v>
      </c>
      <c r="C1" s="5" t="s">
        <v>2</v>
      </c>
      <c r="D1" s="5" t="s">
        <v>3</v>
      </c>
      <c r="E1" s="6" t="s">
        <v>735</v>
      </c>
      <c r="F1" s="2" t="s">
        <v>4</v>
      </c>
      <c r="G1" s="2558">
        <f>14*60*1000*SpeedFaktor</f>
        <v>840000</v>
      </c>
      <c r="H1" s="2">
        <v>10</v>
      </c>
      <c r="Q1" s="2" t="s">
        <v>5</v>
      </c>
      <c r="R1" s="2" t="s">
        <v>676</v>
      </c>
      <c r="S1" s="2" t="s">
        <v>658</v>
      </c>
      <c r="T1" s="2" t="s">
        <v>489</v>
      </c>
    </row>
    <row r="2" spans="1:20" s="10" customFormat="1" ht="14.25" customHeight="1">
      <c r="A2" s="1">
        <v>1</v>
      </c>
      <c r="B2" s="2" t="s">
        <v>21</v>
      </c>
      <c r="C2" s="11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>
        <v>2253</v>
      </c>
      <c r="S2" s="2">
        <v>2332</v>
      </c>
      <c r="T2" s="2">
        <v>1472</v>
      </c>
    </row>
    <row r="3" spans="1:20" s="10" customFormat="1" ht="14.25" customHeight="1" thickBot="1">
      <c r="A3" s="1">
        <v>2</v>
      </c>
      <c r="B3" s="2" t="s">
        <v>25</v>
      </c>
      <c r="C3" s="19" t="s">
        <v>26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>
        <v>5933</v>
      </c>
      <c r="S3" s="2">
        <v>6975</v>
      </c>
      <c r="T3" s="2">
        <v>9172</v>
      </c>
    </row>
    <row r="4" spans="1:20" s="10" customFormat="1" ht="16.5" customHeight="1" thickBot="1">
      <c r="A4" s="21">
        <v>4</v>
      </c>
      <c r="B4" s="3679" t="s">
        <v>1644</v>
      </c>
      <c r="C4" s="3729" t="s">
        <v>1645</v>
      </c>
      <c r="D4" s="24"/>
      <c r="E4" s="24"/>
      <c r="F4" s="23"/>
      <c r="G4" s="25"/>
      <c r="H4" s="24"/>
      <c r="I4" s="25"/>
      <c r="J4" s="24"/>
      <c r="K4" s="25"/>
      <c r="L4" s="24"/>
      <c r="M4" s="18"/>
      <c r="N4" s="24"/>
      <c r="O4" s="24"/>
      <c r="P4" s="24"/>
      <c r="Q4" s="24"/>
      <c r="R4" s="24">
        <v>0</v>
      </c>
      <c r="S4" s="24">
        <v>511</v>
      </c>
      <c r="T4" s="24">
        <v>416</v>
      </c>
    </row>
    <row r="5" spans="1:20" s="10" customFormat="1" ht="16.5" customHeight="1" thickBot="1">
      <c r="A5" s="21">
        <v>5</v>
      </c>
      <c r="B5" s="3679" t="s">
        <v>1644</v>
      </c>
      <c r="C5" s="3729" t="s">
        <v>1646</v>
      </c>
      <c r="D5" s="24"/>
      <c r="E5" s="24"/>
      <c r="F5" s="23"/>
      <c r="G5" s="25"/>
      <c r="H5" s="24"/>
      <c r="I5" s="25"/>
      <c r="J5" s="24"/>
      <c r="K5" s="25"/>
      <c r="L5" s="24"/>
      <c r="M5" s="18"/>
      <c r="N5" s="24"/>
      <c r="O5" s="24"/>
      <c r="P5" s="24"/>
      <c r="Q5" s="24"/>
      <c r="R5" s="24">
        <v>0</v>
      </c>
      <c r="S5" s="24">
        <v>511</v>
      </c>
      <c r="T5" s="24">
        <v>416</v>
      </c>
    </row>
    <row r="6" spans="1:20" s="10" customFormat="1" ht="16.5" customHeight="1" thickBot="1">
      <c r="A6" s="21">
        <v>6</v>
      </c>
      <c r="B6" s="3679" t="s">
        <v>1644</v>
      </c>
      <c r="C6" s="3729" t="s">
        <v>1647</v>
      </c>
      <c r="D6" s="24"/>
      <c r="E6" s="24"/>
      <c r="F6" s="23"/>
      <c r="G6" s="25"/>
      <c r="H6" s="24"/>
      <c r="I6" s="25"/>
      <c r="J6" s="24"/>
      <c r="K6" s="25"/>
      <c r="L6" s="24"/>
      <c r="M6" s="18"/>
      <c r="N6" s="24"/>
      <c r="O6" s="24"/>
      <c r="P6" s="24"/>
      <c r="Q6" s="24"/>
      <c r="R6" s="24">
        <v>0</v>
      </c>
      <c r="S6" s="24">
        <v>511</v>
      </c>
      <c r="T6" s="24">
        <v>416</v>
      </c>
    </row>
    <row r="7" spans="1:20" s="10" customFormat="1" ht="16.5" customHeight="1" thickBot="1">
      <c r="A7" s="21">
        <v>6</v>
      </c>
      <c r="B7" s="3679" t="s">
        <v>1644</v>
      </c>
      <c r="C7" s="3729" t="s">
        <v>1649</v>
      </c>
      <c r="D7" s="24"/>
      <c r="E7" s="24"/>
      <c r="F7" s="23"/>
      <c r="G7" s="25"/>
      <c r="H7" s="24"/>
      <c r="I7" s="25"/>
      <c r="J7" s="24"/>
      <c r="K7" s="25"/>
      <c r="L7" s="24"/>
      <c r="M7" s="18"/>
      <c r="N7" s="24"/>
      <c r="O7" s="24"/>
      <c r="P7" s="24"/>
      <c r="Q7" s="24"/>
      <c r="R7" s="24">
        <v>0</v>
      </c>
      <c r="S7" s="24">
        <v>511</v>
      </c>
      <c r="T7" s="24">
        <v>416</v>
      </c>
    </row>
    <row r="9" spans="1:20">
      <c r="C9" s="30" t="s">
        <v>43</v>
      </c>
    </row>
    <row r="10" spans="1:20">
      <c r="C10" s="18" t="s">
        <v>45</v>
      </c>
    </row>
    <row r="11" spans="1:20">
      <c r="C11" s="18" t="s">
        <v>46</v>
      </c>
    </row>
    <row r="12" spans="1:20">
      <c r="C12" s="18" t="s">
        <v>47</v>
      </c>
    </row>
    <row r="13" spans="1:20">
      <c r="C13" s="18" t="s">
        <v>54</v>
      </c>
    </row>
    <row r="15" spans="1:20" ht="14.25" customHeight="1">
      <c r="C15" t="s">
        <v>1648</v>
      </c>
    </row>
    <row r="19" spans="2:3" ht="14.25" customHeight="1" thickBot="1"/>
    <row r="20" spans="2:3" ht="14.25" customHeight="1" thickBot="1">
      <c r="B20" s="3679" t="s">
        <v>1644</v>
      </c>
      <c r="C20" s="3729" t="s">
        <v>1645</v>
      </c>
    </row>
  </sheetData>
  <hyperlinks>
    <hyperlink ref="C20" r:id="rId1" display="https://diartis.atlassian.net/wiki/spaces/aventisde/overview" xr:uid="{B38FA010-8408-46AA-80CE-3B8F18938C0A}"/>
    <hyperlink ref="C4" r:id="rId2" display="https://diartis.atlassian.net/wiki/spaces/aventisde/overview" xr:uid="{AA515CE8-3FB6-405C-9AE6-2E7AE99EF178}"/>
    <hyperlink ref="C5" r:id="rId3" display="https://diartis.atlassian.net/wiki/spaces/aventisde/overview" xr:uid="{7B8A7F22-D4EB-414E-8197-A19FCA1E0F39}"/>
    <hyperlink ref="C6" r:id="rId4" display="https://diartis.atlassian.net/wiki/spaces/aventisde/overview" xr:uid="{E7C90CF5-EAEC-42D6-829E-CBBF048D5CB2}"/>
    <hyperlink ref="C7" r:id="rId5" display="https://diartis.atlassian.net/wiki/spaces/aventisde/overview" xr:uid="{6E0DBE13-452E-431C-AD63-CC532E4BEC55}"/>
  </hyperlinks>
  <pageMargins left="0.7" right="0.7" top="0.75" bottom="0.75" header="0.3" footer="0.3"/>
  <pageSetup paperSize="9" orientation="portrait" useFirstPageNumber="1" horizontalDpi="4294967295" verticalDpi="429496729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EEBB-ACBD-4B8A-9579-2B22F02078C9}">
  <sheetPr>
    <tabColor theme="0" tint="-0.499984740745262"/>
  </sheetPr>
  <dimension ref="A1:DI13"/>
  <sheetViews>
    <sheetView topLeftCell="C1" zoomScaleNormal="100" workbookViewId="0">
      <selection activeCell="C6" sqref="C6"/>
    </sheetView>
  </sheetViews>
  <sheetFormatPr defaultColWidth="9.140625" defaultRowHeight="14.25" customHeight="1"/>
  <cols>
    <col min="1" max="1" width="4.85546875" style="1" customWidth="1"/>
    <col min="2" max="2" width="44.140625" style="2" customWidth="1"/>
    <col min="3" max="3" width="255.5703125" style="2" customWidth="1"/>
    <col min="4" max="4" width="9.140625" style="2" customWidth="1"/>
    <col min="5" max="5" width="9.85546875" style="3" customWidth="1"/>
    <col min="6" max="6" width="7.7109375" style="2" customWidth="1"/>
    <col min="7" max="7" width="11.28515625" style="2" customWidth="1"/>
    <col min="8" max="8" width="4" style="2" customWidth="1"/>
    <col min="9" max="9" width="10.5703125" style="2" customWidth="1"/>
    <col min="10" max="10" width="5" style="2" customWidth="1"/>
    <col min="11" max="11" width="15.28515625" style="2" customWidth="1"/>
    <col min="12" max="12" width="4.7109375" style="2" customWidth="1"/>
    <col min="13" max="13" width="14.5703125" style="2" customWidth="1"/>
    <col min="14" max="14" width="9.42578125" style="2" customWidth="1"/>
    <col min="15" max="15" width="13.85546875" style="2" customWidth="1"/>
    <col min="16" max="16" width="3" style="2" customWidth="1"/>
    <col min="17" max="17" width="9.140625" style="2" customWidth="1"/>
    <col min="18" max="20" width="9.5703125" style="2" customWidth="1"/>
    <col min="21" max="21" width="9.140625" style="2" customWidth="1"/>
    <col min="22" max="16384" width="9.140625" style="2"/>
  </cols>
  <sheetData>
    <row r="1" spans="1:113" ht="27" customHeight="1">
      <c r="A1" s="5" t="s">
        <v>0</v>
      </c>
      <c r="B1" s="5" t="s">
        <v>1</v>
      </c>
      <c r="C1" s="5" t="s">
        <v>2</v>
      </c>
      <c r="D1" s="5" t="s">
        <v>3</v>
      </c>
      <c r="E1" s="6" t="s">
        <v>735</v>
      </c>
      <c r="F1" s="2" t="s">
        <v>4</v>
      </c>
      <c r="G1" s="2558">
        <f>14*60*1000*SpeedFaktor</f>
        <v>840000</v>
      </c>
      <c r="H1" s="2">
        <v>10</v>
      </c>
      <c r="Q1" s="2" t="s">
        <v>5</v>
      </c>
      <c r="R1" s="2" t="s">
        <v>676</v>
      </c>
      <c r="S1" s="2" t="s">
        <v>658</v>
      </c>
      <c r="T1" s="2" t="s">
        <v>489</v>
      </c>
    </row>
    <row r="2" spans="1:113" s="10" customFormat="1" ht="14.25" customHeight="1">
      <c r="A2" s="1">
        <v>1</v>
      </c>
      <c r="B2" s="2" t="s">
        <v>21</v>
      </c>
      <c r="C2" s="11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>
        <v>2253</v>
      </c>
      <c r="S2" s="2">
        <v>2332</v>
      </c>
      <c r="T2" s="2">
        <v>1472</v>
      </c>
    </row>
    <row r="3" spans="1:113" s="10" customFormat="1" ht="14.25" customHeight="1" thickBot="1">
      <c r="A3" s="1">
        <v>2</v>
      </c>
      <c r="B3" s="2" t="s">
        <v>25</v>
      </c>
      <c r="C3" s="19" t="s">
        <v>26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>
        <v>5933</v>
      </c>
      <c r="S3" s="2">
        <v>6975</v>
      </c>
      <c r="T3" s="2">
        <v>9172</v>
      </c>
    </row>
    <row r="4" spans="1:113" s="10" customFormat="1" ht="16.5" customHeight="1" thickBot="1">
      <c r="A4" s="49">
        <v>3</v>
      </c>
      <c r="B4" s="54" t="s">
        <v>139</v>
      </c>
      <c r="C4" s="89" t="str">
        <f t="shared" ref="C4" si="0">E4</f>
        <v>{"searchDossierOrKlient":p.DossierName1,"resultType":"Dossiers"}</v>
      </c>
      <c r="D4" s="90"/>
      <c r="E4" s="91" t="str">
        <f t="shared" ref="E4" si="1">F4&amp;G4&amp;H4&amp;I4&amp;J4&amp;K4&amp;L4&amp;M4&amp;N4&amp;O4&amp;P4&amp;Q4&amp;R4&amp;S4&amp;T4&amp;U4&amp;V4&amp;W4&amp;X4</f>
        <v>{"searchDossierOrKlient":p.DossierName1,"resultType":"Dossiers"}</v>
      </c>
      <c r="F4" s="609" t="s">
        <v>140</v>
      </c>
      <c r="G4" s="611" t="str">
        <f>'001a'!$G$12</f>
        <v>p.DossierName1</v>
      </c>
      <c r="H4" s="609" t="s">
        <v>141</v>
      </c>
      <c r="I4" s="611" t="s">
        <v>142</v>
      </c>
      <c r="J4" s="609" t="s">
        <v>37</v>
      </c>
      <c r="K4" s="611"/>
      <c r="L4" s="609"/>
      <c r="M4" s="611"/>
      <c r="N4" s="609"/>
      <c r="O4" s="611"/>
      <c r="P4" s="609"/>
      <c r="Q4" s="611"/>
      <c r="R4" s="609"/>
      <c r="S4" s="611"/>
      <c r="T4" s="609"/>
      <c r="U4" s="611"/>
      <c r="V4" s="609"/>
      <c r="W4" s="611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48">
        <v>5018</v>
      </c>
      <c r="AJ4" s="2"/>
      <c r="AK4" s="4"/>
      <c r="AL4" s="90">
        <v>5017</v>
      </c>
      <c r="AM4" s="14">
        <f t="shared" ref="AM4:AO4" si="2">AL4/($AI4)</f>
        <v>0.9998007174172977</v>
      </c>
      <c r="AN4" s="90">
        <v>5008</v>
      </c>
      <c r="AO4" s="14">
        <f t="shared" si="2"/>
        <v>0.99800717417297724</v>
      </c>
      <c r="AP4" s="90">
        <v>5007</v>
      </c>
      <c r="AQ4" s="14">
        <f t="shared" ref="AQ4:AY4" si="3">AP4/($AI4)</f>
        <v>0.99780789159027505</v>
      </c>
      <c r="AR4" s="90">
        <v>5010</v>
      </c>
      <c r="AS4" s="14">
        <f t="shared" si="3"/>
        <v>0.99840573933838184</v>
      </c>
      <c r="AT4" s="90">
        <v>5024</v>
      </c>
      <c r="AU4" s="14">
        <f t="shared" si="3"/>
        <v>1.0011956954962136</v>
      </c>
      <c r="AV4" s="90">
        <v>5005</v>
      </c>
      <c r="AW4" s="14">
        <f t="shared" si="3"/>
        <v>0.99740932642487046</v>
      </c>
      <c r="AX4" s="90">
        <v>5011</v>
      </c>
      <c r="AY4" s="14">
        <f t="shared" si="3"/>
        <v>0.99860502192108413</v>
      </c>
      <c r="AZ4" s="90">
        <v>5005</v>
      </c>
      <c r="BA4" s="90"/>
      <c r="BB4" s="2">
        <v>5022</v>
      </c>
      <c r="BC4" s="14">
        <f t="shared" ref="BC4:BI4" si="4">BB4/($AI4)</f>
        <v>1.0007971303308092</v>
      </c>
      <c r="BD4" s="2">
        <v>8677</v>
      </c>
      <c r="BE4" s="14">
        <f t="shared" si="4"/>
        <v>1.7291749701076127</v>
      </c>
      <c r="BF4" s="2">
        <v>10125</v>
      </c>
      <c r="BG4" s="14">
        <f t="shared" si="4"/>
        <v>2.017736149860502</v>
      </c>
      <c r="BH4" s="2">
        <v>9485</v>
      </c>
      <c r="BI4" s="14">
        <f t="shared" si="4"/>
        <v>1.8901952969310483</v>
      </c>
      <c r="BK4" s="10">
        <v>9709</v>
      </c>
      <c r="BL4" s="14">
        <f t="shared" ref="BL4" si="5">BK4/($AI4)</f>
        <v>1.9348345954563571</v>
      </c>
      <c r="BM4" s="10">
        <v>9970</v>
      </c>
      <c r="BN4" s="14">
        <f t="shared" ref="BN4:CH4" si="6">BM4/($AI4)</f>
        <v>1.9868473495416501</v>
      </c>
      <c r="BO4" s="10">
        <v>9975</v>
      </c>
      <c r="BP4" s="14">
        <f t="shared" si="6"/>
        <v>1.9878437624551615</v>
      </c>
      <c r="BQ4" s="10">
        <v>10619</v>
      </c>
      <c r="BR4" s="14">
        <f t="shared" si="6"/>
        <v>2.1161817457154246</v>
      </c>
      <c r="BS4" s="10">
        <v>9783</v>
      </c>
      <c r="BT4" s="14">
        <f t="shared" si="6"/>
        <v>1.9495815065763251</v>
      </c>
      <c r="BU4" s="10">
        <v>10225</v>
      </c>
      <c r="BV4" s="14">
        <f t="shared" si="6"/>
        <v>2.0376644081307296</v>
      </c>
      <c r="BW4" s="10">
        <v>10001</v>
      </c>
      <c r="BX4" s="14">
        <f t="shared" si="6"/>
        <v>1.9930251096054206</v>
      </c>
      <c r="BY4" s="10">
        <v>9332</v>
      </c>
      <c r="BZ4" s="14">
        <f t="shared" si="6"/>
        <v>1.8597050617776005</v>
      </c>
      <c r="CA4" s="10">
        <v>8820</v>
      </c>
      <c r="CB4" s="14">
        <f t="shared" si="6"/>
        <v>1.7576723794340374</v>
      </c>
      <c r="CC4" s="10">
        <v>10004</v>
      </c>
      <c r="CD4" s="14">
        <f t="shared" si="6"/>
        <v>1.9936229573535273</v>
      </c>
      <c r="CE4" s="10">
        <v>9135</v>
      </c>
      <c r="CF4" s="14">
        <f t="shared" si="6"/>
        <v>1.820446392985253</v>
      </c>
      <c r="CG4" s="10">
        <v>8970</v>
      </c>
      <c r="CH4" s="14">
        <f t="shared" si="6"/>
        <v>1.7875647668393781</v>
      </c>
      <c r="CI4" s="10">
        <v>9488</v>
      </c>
      <c r="CJ4" s="14">
        <f t="shared" ref="CJ4" si="7">CI4/($AI4)</f>
        <v>1.890793144679155</v>
      </c>
      <c r="CK4" s="10">
        <v>8800</v>
      </c>
      <c r="CL4" s="14">
        <f t="shared" ref="CL4" si="8">CK4/($AI4)</f>
        <v>1.7536867277799921</v>
      </c>
      <c r="CM4" s="10">
        <v>10321</v>
      </c>
      <c r="CN4" s="14">
        <f t="shared" ref="CN4" si="9">CM4/($AI4)</f>
        <v>2.0567955360701475</v>
      </c>
      <c r="CO4" s="10">
        <v>9974</v>
      </c>
      <c r="CP4" s="14">
        <f t="shared" ref="CP4:CV4" si="10">CO4/($AI4)</f>
        <v>1.9876444798724591</v>
      </c>
      <c r="CQ4" s="10">
        <v>9194</v>
      </c>
      <c r="CR4" s="14">
        <f t="shared" si="10"/>
        <v>1.8322040653646872</v>
      </c>
      <c r="CS4" s="10">
        <v>9458</v>
      </c>
      <c r="CT4" s="14">
        <f t="shared" si="10"/>
        <v>1.884814667198087</v>
      </c>
      <c r="CU4" s="10">
        <v>9693</v>
      </c>
      <c r="CV4" s="14">
        <f t="shared" si="10"/>
        <v>1.9316460741331207</v>
      </c>
      <c r="CW4" s="10">
        <v>10242</v>
      </c>
      <c r="CX4" s="14">
        <f t="shared" ref="CX4" si="11">CW4/($AI4)</f>
        <v>2.0410522120366679</v>
      </c>
      <c r="CY4" s="10">
        <v>21509</v>
      </c>
      <c r="DA4" s="10">
        <v>11750</v>
      </c>
      <c r="DC4" s="10">
        <v>11493</v>
      </c>
      <c r="DE4" s="10">
        <v>13832</v>
      </c>
      <c r="DG4" s="10">
        <v>11881</v>
      </c>
      <c r="DI4" s="10">
        <v>8505</v>
      </c>
    </row>
    <row r="5" spans="1:113" ht="14.25" customHeight="1" thickBot="1">
      <c r="A5" s="1">
        <v>4</v>
      </c>
      <c r="B5" s="3679" t="s">
        <v>1659</v>
      </c>
      <c r="C5" s="3680" t="s">
        <v>1750</v>
      </c>
    </row>
    <row r="6" spans="1:113" ht="14.25" customHeight="1" thickBot="1">
      <c r="A6" s="1">
        <v>5</v>
      </c>
      <c r="B6" s="3679" t="s">
        <v>1659</v>
      </c>
      <c r="C6" s="3680" t="s">
        <v>1751</v>
      </c>
    </row>
    <row r="7" spans="1:113" ht="14.25" customHeight="1" thickBot="1">
      <c r="A7" s="1">
        <v>6</v>
      </c>
      <c r="B7" s="3679" t="s">
        <v>1659</v>
      </c>
      <c r="C7" s="3680" t="s">
        <v>1752</v>
      </c>
    </row>
    <row r="11" spans="1:113" ht="14.25" customHeight="1">
      <c r="C11" s="2" t="str">
        <f>'001a'!I15</f>
        <v>${p.FamilyName1}, ${p.ManFirstName1}</v>
      </c>
    </row>
    <row r="13" spans="1:113" ht="14.25" customHeight="1">
      <c r="C13" s="2" t="s">
        <v>492</v>
      </c>
    </row>
  </sheetData>
  <conditionalFormatting sqref="AM4 AO4 AQ4 AS4 AU4 AW4 AY4 BC4 BE4">
    <cfRule type="colorScale" priority="2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4">
    <cfRule type="colorScale" priority="2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4">
    <cfRule type="colorScale" priority="2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4">
    <cfRule type="colorScale" priority="2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4">
    <cfRule type="colorScale" priority="1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4">
    <cfRule type="colorScale" priority="1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4">
    <cfRule type="colorScale" priority="1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4">
    <cfRule type="colorScale" priority="1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4">
    <cfRule type="colorScale" priority="1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4">
    <cfRule type="colorScale" priority="1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4">
    <cfRule type="colorScale" priority="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4">
    <cfRule type="colorScale" priority="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4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4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4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4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4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4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4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4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T4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V4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X4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92D050"/>
  </sheetPr>
  <dimension ref="A1:CL7"/>
  <sheetViews>
    <sheetView zoomScaleNormal="100" workbookViewId="0">
      <pane xSplit="2" ySplit="1" topLeftCell="AV2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ColWidth="9.140625" defaultRowHeight="14.25" customHeight="1"/>
  <cols>
    <col min="1" max="1" width="9.140625" style="1" customWidth="1"/>
    <col min="2" max="2" width="28.28515625" style="2" customWidth="1"/>
    <col min="3" max="3" width="172.4257812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22.5703125" style="2" customWidth="1"/>
    <col min="17" max="17" width="13.5703125" style="2" customWidth="1"/>
    <col min="18" max="18" width="24.5703125" style="2" customWidth="1"/>
    <col min="19" max="34" width="9.140625" style="2" customWidth="1"/>
    <col min="35" max="37" width="10" style="2" customWidth="1"/>
    <col min="38" max="38" width="9.42578125" style="2" customWidth="1"/>
    <col min="39" max="39" width="6.42578125" style="12" customWidth="1"/>
    <col min="40" max="40" width="9.85546875" style="2" customWidth="1"/>
    <col min="41" max="41" width="5.7109375" style="12" customWidth="1"/>
    <col min="42" max="42" width="12.140625" style="2" customWidth="1"/>
    <col min="43" max="43" width="12.140625" style="12" customWidth="1"/>
    <col min="44" max="44" width="12.140625" style="2" customWidth="1"/>
    <col min="45" max="45" width="12.140625" style="12" customWidth="1"/>
    <col min="46" max="46" width="12.140625" style="2" customWidth="1"/>
    <col min="47" max="47" width="12.140625" style="12" customWidth="1"/>
    <col min="48" max="48" width="12.140625" style="2" customWidth="1"/>
    <col min="49" max="49" width="12.140625" style="12" customWidth="1"/>
    <col min="50" max="50" width="11.140625" style="2" customWidth="1"/>
    <col min="51" max="51" width="12.140625" style="12" customWidth="1"/>
    <col min="52" max="52" width="8.42578125" style="2" customWidth="1"/>
    <col min="53" max="53" width="11.5703125" style="2" customWidth="1"/>
    <col min="54" max="54" width="12.140625" style="12" customWidth="1"/>
    <col min="55" max="55" width="20" style="2" customWidth="1"/>
    <col min="56" max="56" width="50" style="2" customWidth="1"/>
    <col min="57" max="57" width="20" style="2" customWidth="1"/>
    <col min="58" max="58" width="12.140625" style="1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16384" width="9.140625" style="2"/>
  </cols>
  <sheetData>
    <row r="1" spans="1:90" ht="15.7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14*60*1000*SpeedFaktor</f>
        <v>840000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12</v>
      </c>
      <c r="AM1" s="24" t="s">
        <v>8</v>
      </c>
      <c r="AN1" s="2" t="s">
        <v>13</v>
      </c>
      <c r="AO1" s="24" t="s">
        <v>8</v>
      </c>
      <c r="AP1" s="720" t="s">
        <v>65</v>
      </c>
      <c r="AQ1" s="721" t="s">
        <v>8</v>
      </c>
      <c r="AR1" s="720" t="s">
        <v>15</v>
      </c>
      <c r="AS1" s="721" t="s">
        <v>8</v>
      </c>
      <c r="AT1" s="720" t="s">
        <v>17</v>
      </c>
      <c r="AU1" s="721" t="s">
        <v>8</v>
      </c>
      <c r="AV1" s="720" t="s">
        <v>1285</v>
      </c>
      <c r="AW1" s="721" t="s">
        <v>8</v>
      </c>
      <c r="AX1" s="720" t="s">
        <v>1286</v>
      </c>
      <c r="AY1" s="721" t="s">
        <v>8</v>
      </c>
      <c r="AZ1" s="720"/>
      <c r="BA1" s="722" t="s">
        <v>1303</v>
      </c>
      <c r="BB1" s="721" t="s">
        <v>8</v>
      </c>
      <c r="BC1" s="845" t="s">
        <v>1311</v>
      </c>
      <c r="BD1" s="846" t="s">
        <v>572</v>
      </c>
      <c r="BE1" s="972" t="s">
        <v>1318</v>
      </c>
      <c r="BF1" s="721" t="s">
        <v>8</v>
      </c>
      <c r="BG1" s="1119" t="s">
        <v>1324</v>
      </c>
      <c r="BH1" s="1120" t="s">
        <v>572</v>
      </c>
      <c r="BI1" s="1322" t="s">
        <v>1341</v>
      </c>
      <c r="BJ1" s="1323" t="s">
        <v>572</v>
      </c>
      <c r="BK1" s="1574" t="s">
        <v>1363</v>
      </c>
      <c r="BL1" s="1575" t="s">
        <v>572</v>
      </c>
      <c r="BM1" s="1716" t="s">
        <v>1368</v>
      </c>
      <c r="BN1" s="1717" t="s">
        <v>572</v>
      </c>
      <c r="BO1" s="1857" t="s">
        <v>1372</v>
      </c>
      <c r="BP1" s="1858" t="s">
        <v>572</v>
      </c>
      <c r="BQ1" s="2137" t="s">
        <v>1397</v>
      </c>
      <c r="BR1" s="2138" t="s">
        <v>572</v>
      </c>
      <c r="BS1" s="2320" t="s">
        <v>1421</v>
      </c>
      <c r="BT1" s="2321" t="s">
        <v>572</v>
      </c>
      <c r="BU1" s="2482" t="s">
        <v>1434</v>
      </c>
      <c r="BV1" s="2483" t="s">
        <v>572</v>
      </c>
      <c r="BW1" s="2643" t="s">
        <v>1442</v>
      </c>
      <c r="BX1" s="2644" t="s">
        <v>572</v>
      </c>
      <c r="BY1" s="2828" t="s">
        <v>1460</v>
      </c>
      <c r="BZ1" s="2829" t="s">
        <v>572</v>
      </c>
      <c r="CA1" s="3010" t="s">
        <v>1472</v>
      </c>
      <c r="CB1" s="3011" t="s">
        <v>572</v>
      </c>
      <c r="CC1" s="3200" t="s">
        <v>1492</v>
      </c>
      <c r="CD1" s="3201" t="s">
        <v>572</v>
      </c>
      <c r="CE1" s="3374" t="s">
        <v>1503</v>
      </c>
      <c r="CF1" s="3375" t="s">
        <v>572</v>
      </c>
      <c r="CG1" s="3562" t="s">
        <v>1519</v>
      </c>
      <c r="CH1" s="3563" t="s">
        <v>572</v>
      </c>
      <c r="CI1" s="3858" t="s">
        <v>1666</v>
      </c>
      <c r="CJ1" s="3859" t="s">
        <v>572</v>
      </c>
      <c r="CK1" s="4077" t="s">
        <v>1717</v>
      </c>
      <c r="CL1" s="4078" t="s">
        <v>572</v>
      </c>
    </row>
    <row r="2" spans="1:90" ht="14.25" customHeight="1">
      <c r="A2" s="119">
        <v>1</v>
      </c>
      <c r="B2" s="122" t="s">
        <v>21</v>
      </c>
      <c r="C2" s="590" t="str">
        <f>'001a'!B59</f>
        <v>{"url":p.aventisURL}</v>
      </c>
      <c r="AI2" s="2">
        <v>1853</v>
      </c>
      <c r="AJ2" s="2">
        <v>1920</v>
      </c>
      <c r="AK2" s="2">
        <v>2102</v>
      </c>
      <c r="AL2" s="2">
        <v>2269</v>
      </c>
      <c r="AM2" s="156">
        <f>AL2/($AI2)</f>
        <v>1.2245008094981111</v>
      </c>
      <c r="AN2" s="2">
        <v>1443</v>
      </c>
      <c r="AO2" s="156">
        <f>AN2/($AI2)</f>
        <v>0.77873718294657313</v>
      </c>
      <c r="AP2" s="2">
        <v>2165</v>
      </c>
      <c r="AQ2" s="156">
        <f>AP2/($AI2)</f>
        <v>1.1683756071235833</v>
      </c>
      <c r="AR2" s="2">
        <v>1435</v>
      </c>
      <c r="AS2" s="156">
        <f>AR2/($AI2)</f>
        <v>0.77441985968699412</v>
      </c>
      <c r="AT2" s="2">
        <v>1196</v>
      </c>
      <c r="AU2" s="156">
        <f>AT2/($AI2)</f>
        <v>0.64543982730706961</v>
      </c>
      <c r="AV2" s="2">
        <v>1659</v>
      </c>
      <c r="AW2" s="156">
        <f>AV2/($AI2)</f>
        <v>0.89530491095520781</v>
      </c>
      <c r="AX2" s="2">
        <v>560</v>
      </c>
      <c r="AY2" s="156">
        <f>AX2/($AI2)</f>
        <v>0.30221262817053429</v>
      </c>
      <c r="BA2" s="2">
        <v>1296</v>
      </c>
      <c r="BB2" s="156">
        <f>BA2/($AI2)</f>
        <v>0.69940636805180789</v>
      </c>
      <c r="BC2" s="2">
        <v>1307</v>
      </c>
      <c r="BE2" s="2">
        <v>1297</v>
      </c>
      <c r="BF2" s="156">
        <f>BE2/($AI2)</f>
        <v>0.69994603345925521</v>
      </c>
      <c r="BG2" s="2">
        <v>1355</v>
      </c>
      <c r="BI2" s="2">
        <v>928</v>
      </c>
      <c r="BK2" s="2">
        <v>1223</v>
      </c>
      <c r="BM2" s="2">
        <v>1208</v>
      </c>
      <c r="BO2" s="2">
        <v>1153</v>
      </c>
      <c r="BQ2" s="2">
        <v>1752</v>
      </c>
      <c r="BS2" s="2">
        <v>1745</v>
      </c>
      <c r="BU2" s="2">
        <v>1631</v>
      </c>
      <c r="BW2" s="2">
        <v>1310</v>
      </c>
      <c r="BY2" s="2">
        <v>1259</v>
      </c>
      <c r="CA2" s="2">
        <v>1445</v>
      </c>
      <c r="CC2" s="2">
        <v>1115</v>
      </c>
      <c r="CE2" s="2">
        <v>1322</v>
      </c>
      <c r="CG2" s="2">
        <v>1139</v>
      </c>
      <c r="CI2" s="2">
        <v>1006</v>
      </c>
      <c r="CK2" s="2">
        <v>395</v>
      </c>
      <c r="CL2" s="2" t="s">
        <v>1718</v>
      </c>
    </row>
    <row r="3" spans="1:90" ht="14.25" customHeight="1">
      <c r="A3" s="119">
        <v>2</v>
      </c>
      <c r="B3" s="122" t="s">
        <v>25</v>
      </c>
      <c r="C3" s="606" t="s">
        <v>633</v>
      </c>
      <c r="AI3" s="2">
        <v>9012</v>
      </c>
      <c r="AJ3" s="2">
        <v>6913</v>
      </c>
      <c r="AK3" s="2">
        <v>7187</v>
      </c>
      <c r="AL3" s="2">
        <v>8621</v>
      </c>
      <c r="AM3" s="156">
        <f t="shared" ref="AM3:AW4" si="0">AL3/($AI3)</f>
        <v>0.95661340434975584</v>
      </c>
      <c r="AN3" s="2">
        <v>8600</v>
      </c>
      <c r="AO3" s="156">
        <f t="shared" si="0"/>
        <v>0.95428317798490903</v>
      </c>
      <c r="AP3" s="2">
        <v>15893</v>
      </c>
      <c r="AQ3" s="156">
        <f t="shared" si="0"/>
        <v>1.7635375055481579</v>
      </c>
      <c r="AR3" s="2">
        <v>8662</v>
      </c>
      <c r="AS3" s="156">
        <f t="shared" si="0"/>
        <v>0.96116289391921883</v>
      </c>
      <c r="AT3" s="2">
        <v>7416</v>
      </c>
      <c r="AU3" s="156">
        <f t="shared" si="0"/>
        <v>0.82290279627163787</v>
      </c>
      <c r="AV3" s="2">
        <v>8841</v>
      </c>
      <c r="AW3" s="156">
        <f t="shared" si="0"/>
        <v>0.98102529960053264</v>
      </c>
      <c r="AX3" s="2">
        <v>5221</v>
      </c>
      <c r="AY3" s="156">
        <f t="shared" ref="AY3:AY4" si="1">AX3/($AI3)</f>
        <v>0.57933865956502439</v>
      </c>
      <c r="BA3" s="2">
        <v>7625</v>
      </c>
      <c r="BB3" s="156">
        <f t="shared" ref="BB3:BB4" si="2">BA3/($AI3)</f>
        <v>0.84609409675987568</v>
      </c>
      <c r="BC3" s="2">
        <v>9725</v>
      </c>
      <c r="BE3" s="2">
        <v>7668</v>
      </c>
      <c r="BF3" s="156">
        <f t="shared" ref="BF3:BF4" si="3">BE3/($AI3)</f>
        <v>0.85086551264980026</v>
      </c>
      <c r="BG3" s="2">
        <v>7163</v>
      </c>
      <c r="BI3" s="2">
        <v>8469</v>
      </c>
      <c r="BK3" s="2">
        <v>7680</v>
      </c>
      <c r="BM3" s="2">
        <v>7727</v>
      </c>
      <c r="BO3" s="2">
        <v>6974</v>
      </c>
      <c r="BQ3" s="2">
        <v>8187</v>
      </c>
      <c r="BS3" s="2">
        <v>7466</v>
      </c>
      <c r="BU3" s="2">
        <v>7350</v>
      </c>
      <c r="BW3" s="2">
        <v>6910</v>
      </c>
      <c r="BY3" s="2">
        <v>10962</v>
      </c>
      <c r="CA3" s="2">
        <v>8480</v>
      </c>
      <c r="CC3" s="2">
        <v>8249</v>
      </c>
      <c r="CE3" s="2">
        <v>10716</v>
      </c>
      <c r="CG3" s="2">
        <v>8992</v>
      </c>
      <c r="CI3" s="2">
        <v>6956</v>
      </c>
      <c r="CK3" s="2">
        <v>6369</v>
      </c>
      <c r="CL3" s="2" t="s">
        <v>1718</v>
      </c>
    </row>
    <row r="4" spans="1:90" s="10" customFormat="1" ht="19.5" customHeight="1">
      <c r="A4" s="21">
        <v>3</v>
      </c>
      <c r="B4" s="242" t="s">
        <v>843</v>
      </c>
      <c r="C4" s="242" t="str">
        <f>E4</f>
        <v>{"dossier":p.DossierName2,"klient":`${p.FamilyName2}, ${p.WomanFirstName2}`,"kanal":"Telefonnummer erfassen","typ":"Telefonnummer Mobil","numberOrEmail":"078 222 33 44","mainChannel":"nein"}</v>
      </c>
      <c r="D4" s="24" t="s">
        <v>28</v>
      </c>
      <c r="E4" s="187" t="str">
        <f>F4&amp;G4&amp;H4&amp;I4&amp;J4&amp;K4&amp;L4&amp;M4&amp;N4&amp;O4&amp;P4&amp;Q4&amp;R4&amp;S4&amp;T4&amp;U4&amp;V4&amp;W4&amp;X4</f>
        <v>{"dossier":p.DossierName2,"klient":`${p.FamilyName2}, ${p.WomanFirstName2}`,"kanal":"Telefonnummer erfassen","typ":"Telefonnummer Mobil","numberOrEmail":"078 222 33 44","mainChannel":"nein"}</v>
      </c>
      <c r="F4" s="242" t="s">
        <v>159</v>
      </c>
      <c r="G4" s="323" t="s">
        <v>513</v>
      </c>
      <c r="H4" s="323" t="s">
        <v>769</v>
      </c>
      <c r="I4" s="323" t="s">
        <v>844</v>
      </c>
      <c r="J4" s="24" t="s">
        <v>845</v>
      </c>
      <c r="K4" s="323" t="s">
        <v>846</v>
      </c>
      <c r="L4" s="24" t="s">
        <v>847</v>
      </c>
      <c r="M4" s="323" t="s">
        <v>848</v>
      </c>
      <c r="N4" s="265" t="s">
        <v>849</v>
      </c>
      <c r="O4" s="323" t="s">
        <v>850</v>
      </c>
      <c r="P4" s="24" t="s">
        <v>851</v>
      </c>
      <c r="Q4" s="323" t="s">
        <v>852</v>
      </c>
      <c r="R4" s="24" t="s">
        <v>37</v>
      </c>
      <c r="S4" s="323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187">
        <v>21125</v>
      </c>
      <c r="AJ4" s="24">
        <v>20448</v>
      </c>
      <c r="AK4" s="24">
        <v>20495</v>
      </c>
      <c r="AL4" s="24">
        <v>19205</v>
      </c>
      <c r="AM4" s="156">
        <f t="shared" si="0"/>
        <v>0.90911242603550291</v>
      </c>
      <c r="AN4" s="24">
        <v>18999</v>
      </c>
      <c r="AO4" s="156">
        <f t="shared" si="0"/>
        <v>0.89936094674556211</v>
      </c>
      <c r="AP4" s="24">
        <v>17997</v>
      </c>
      <c r="AQ4" s="156">
        <f t="shared" si="0"/>
        <v>0.85192899408284029</v>
      </c>
      <c r="AR4" s="2">
        <v>12912</v>
      </c>
      <c r="AS4" s="156">
        <f t="shared" si="0"/>
        <v>0.61121893491124257</v>
      </c>
      <c r="AT4" s="2">
        <v>7711</v>
      </c>
      <c r="AU4" s="156">
        <f t="shared" si="0"/>
        <v>0.36501775147928994</v>
      </c>
      <c r="AV4" s="2">
        <v>0</v>
      </c>
      <c r="AW4" s="156">
        <f t="shared" si="0"/>
        <v>0</v>
      </c>
      <c r="AX4" s="2">
        <v>7236</v>
      </c>
      <c r="AY4" s="156">
        <f t="shared" si="1"/>
        <v>0.34253254437869823</v>
      </c>
      <c r="BA4" s="10">
        <v>8362</v>
      </c>
      <c r="BB4" s="156">
        <f t="shared" si="2"/>
        <v>0.39583431952662723</v>
      </c>
      <c r="BC4" s="847">
        <v>0</v>
      </c>
      <c r="BD4" s="848" t="s">
        <v>1315</v>
      </c>
      <c r="BE4" s="10">
        <v>8336</v>
      </c>
      <c r="BF4" s="156">
        <f t="shared" si="3"/>
        <v>0.39460355029585797</v>
      </c>
      <c r="BG4" s="10">
        <v>8261</v>
      </c>
      <c r="BI4" s="10">
        <v>8109</v>
      </c>
      <c r="BK4" s="1576">
        <v>0</v>
      </c>
      <c r="BL4" s="1577" t="s">
        <v>1366</v>
      </c>
      <c r="BM4" s="10">
        <v>6332</v>
      </c>
      <c r="BO4" s="10">
        <v>5585</v>
      </c>
      <c r="BQ4" s="10">
        <v>10447</v>
      </c>
      <c r="BS4" s="10">
        <v>11193</v>
      </c>
      <c r="BU4" s="10">
        <v>10485</v>
      </c>
      <c r="BW4" s="10">
        <v>11889</v>
      </c>
      <c r="BY4" s="10">
        <v>8417</v>
      </c>
      <c r="CA4" s="10">
        <v>8415</v>
      </c>
      <c r="CC4" s="10">
        <v>8861</v>
      </c>
      <c r="CE4" s="10">
        <v>13227</v>
      </c>
      <c r="CG4" s="10">
        <v>8050</v>
      </c>
      <c r="CI4" s="10">
        <v>9124</v>
      </c>
      <c r="CK4" s="10">
        <v>7798</v>
      </c>
      <c r="CL4" s="10" t="s">
        <v>1718</v>
      </c>
    </row>
    <row r="5" spans="1:90" ht="30" customHeight="1">
      <c r="C5" s="349" t="s">
        <v>853</v>
      </c>
      <c r="AM5" s="156"/>
      <c r="AO5" s="156"/>
      <c r="AQ5" s="156"/>
      <c r="AS5" s="156"/>
      <c r="AU5" s="156"/>
      <c r="AW5" s="156"/>
      <c r="AY5" s="156"/>
      <c r="BB5" s="156"/>
      <c r="BF5" s="156"/>
    </row>
    <row r="6" spans="1:90">
      <c r="AM6" s="156"/>
      <c r="AO6" s="156"/>
      <c r="AQ6" s="156"/>
      <c r="AS6" s="156"/>
      <c r="AU6" s="156"/>
      <c r="AW6" s="156"/>
      <c r="AY6" s="156"/>
      <c r="BB6" s="156"/>
      <c r="BF6" s="156"/>
    </row>
    <row r="7" spans="1:90">
      <c r="C7" s="256" t="s">
        <v>854</v>
      </c>
      <c r="AM7" s="156"/>
      <c r="AO7" s="156"/>
      <c r="AQ7" s="156"/>
      <c r="AS7" s="156"/>
      <c r="AU7" s="156"/>
      <c r="AW7" s="156"/>
      <c r="AY7" s="156"/>
      <c r="BB7" s="156"/>
      <c r="BF7" s="156"/>
    </row>
  </sheetData>
  <conditionalFormatting sqref="AM2:AM146 AO2:AO146 AQ2:AQ146 AS2:AS146 AU2:AU146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W2:AW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Y2:AY146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92D050"/>
  </sheetPr>
  <dimension ref="A1:CP21"/>
  <sheetViews>
    <sheetView zoomScaleNormal="100" workbookViewId="0">
      <pane xSplit="2" ySplit="1" topLeftCell="AR2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ColWidth="9.140625" defaultRowHeight="14.25" customHeight="1"/>
  <cols>
    <col min="1" max="1" width="9.140625" style="1" customWidth="1"/>
    <col min="2" max="2" width="67.42578125" style="2" customWidth="1"/>
    <col min="3" max="3" width="95.14062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22.5703125" style="2" customWidth="1"/>
    <col min="17" max="17" width="13.5703125" style="2" customWidth="1"/>
    <col min="18" max="18" width="24.5703125" style="2" customWidth="1"/>
    <col min="19" max="34" width="9.140625" style="2" customWidth="1"/>
    <col min="35" max="39" width="9.5703125" style="2" customWidth="1"/>
    <col min="40" max="40" width="5.7109375" style="12" customWidth="1"/>
    <col min="41" max="41" width="9.5703125" style="2" customWidth="1"/>
    <col min="42" max="42" width="9.5703125" style="12" customWidth="1"/>
    <col min="43" max="43" width="9.5703125" style="2" customWidth="1"/>
    <col min="44" max="44" width="9.5703125" style="12" customWidth="1"/>
    <col min="45" max="45" width="10.85546875" style="2" customWidth="1"/>
    <col min="46" max="46" width="10.85546875" style="12" customWidth="1"/>
    <col min="47" max="47" width="10.85546875" style="2" customWidth="1"/>
    <col min="48" max="48" width="10.85546875" style="12" customWidth="1"/>
    <col min="49" max="49" width="10.85546875" style="2" customWidth="1"/>
    <col min="50" max="50" width="10.85546875" style="12" customWidth="1"/>
    <col min="51" max="51" width="10.85546875" style="2" customWidth="1"/>
    <col min="52" max="52" width="10.85546875" style="12" customWidth="1"/>
    <col min="53" max="53" width="10.85546875" style="2" customWidth="1"/>
    <col min="54" max="54" width="10.85546875" style="12" customWidth="1"/>
    <col min="55" max="55" width="10.85546875" style="2" customWidth="1"/>
    <col min="56" max="56" width="10.85546875" style="12" customWidth="1"/>
    <col min="57" max="57" width="10.85546875" style="2" customWidth="1"/>
    <col min="58" max="58" width="10.85546875" style="1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14*60*1000*SpeedFaktor</f>
        <v>840000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489</v>
      </c>
      <c r="AM1" s="2" t="s">
        <v>10</v>
      </c>
      <c r="AN1" s="24" t="s">
        <v>8</v>
      </c>
      <c r="AO1" s="2" t="s">
        <v>11</v>
      </c>
      <c r="AP1" s="24" t="s">
        <v>8</v>
      </c>
      <c r="AQ1" s="2" t="s">
        <v>12</v>
      </c>
      <c r="AR1" s="723" t="s">
        <v>8</v>
      </c>
      <c r="AS1" s="198" t="s">
        <v>13</v>
      </c>
      <c r="AT1" s="723" t="s">
        <v>8</v>
      </c>
      <c r="AU1" s="198" t="s">
        <v>65</v>
      </c>
      <c r="AV1" s="723" t="s">
        <v>8</v>
      </c>
      <c r="AW1" s="198" t="s">
        <v>15</v>
      </c>
      <c r="AX1" s="723" t="s">
        <v>8</v>
      </c>
      <c r="AY1" s="198" t="s">
        <v>17</v>
      </c>
      <c r="AZ1" s="723" t="s">
        <v>8</v>
      </c>
      <c r="BA1" s="198" t="s">
        <v>1285</v>
      </c>
      <c r="BB1" s="723" t="s">
        <v>8</v>
      </c>
      <c r="BC1" s="198" t="s">
        <v>1286</v>
      </c>
      <c r="BD1" s="723" t="s">
        <v>8</v>
      </c>
      <c r="BE1" s="724" t="s">
        <v>1303</v>
      </c>
      <c r="BF1" s="723" t="s">
        <v>8</v>
      </c>
      <c r="BG1" s="849" t="s">
        <v>1311</v>
      </c>
      <c r="BH1" s="850" t="s">
        <v>572</v>
      </c>
      <c r="BI1" s="973" t="s">
        <v>1318</v>
      </c>
      <c r="BJ1" s="974" t="s">
        <v>572</v>
      </c>
      <c r="BK1" s="1121" t="s">
        <v>1324</v>
      </c>
      <c r="BL1" s="1122" t="s">
        <v>572</v>
      </c>
      <c r="BM1" s="1324" t="s">
        <v>1341</v>
      </c>
      <c r="BN1" s="1325" t="s">
        <v>572</v>
      </c>
      <c r="BO1" s="1578" t="s">
        <v>1363</v>
      </c>
      <c r="BP1" s="1579" t="s">
        <v>572</v>
      </c>
      <c r="BQ1" s="1718" t="s">
        <v>1368</v>
      </c>
      <c r="BR1" s="1719" t="s">
        <v>572</v>
      </c>
      <c r="BS1" s="1859" t="s">
        <v>1372</v>
      </c>
      <c r="BT1" s="1860" t="s">
        <v>572</v>
      </c>
      <c r="BU1" s="2139" t="s">
        <v>1397</v>
      </c>
      <c r="BV1" s="2140" t="s">
        <v>572</v>
      </c>
      <c r="BW1" s="2322" t="s">
        <v>1421</v>
      </c>
      <c r="BX1" s="2323" t="s">
        <v>572</v>
      </c>
      <c r="BY1" s="2484" t="s">
        <v>1434</v>
      </c>
      <c r="BZ1" s="2485" t="s">
        <v>572</v>
      </c>
      <c r="CA1" s="2645" t="s">
        <v>1442</v>
      </c>
      <c r="CB1" s="2646" t="s">
        <v>572</v>
      </c>
      <c r="CC1" s="2830" t="s">
        <v>1460</v>
      </c>
      <c r="CD1" s="2831" t="s">
        <v>572</v>
      </c>
      <c r="CE1" s="3012" t="s">
        <v>1472</v>
      </c>
      <c r="CF1" s="3013" t="s">
        <v>572</v>
      </c>
      <c r="CG1" s="3202" t="s">
        <v>1492</v>
      </c>
      <c r="CH1" s="3203" t="s">
        <v>572</v>
      </c>
      <c r="CI1" s="3376" t="s">
        <v>1503</v>
      </c>
      <c r="CJ1" s="3377" t="s">
        <v>572</v>
      </c>
      <c r="CK1" s="3564" t="s">
        <v>1519</v>
      </c>
      <c r="CL1" s="3565" t="s">
        <v>572</v>
      </c>
      <c r="CM1" s="3860" t="s">
        <v>1666</v>
      </c>
      <c r="CN1" s="3861" t="s">
        <v>572</v>
      </c>
      <c r="CO1" s="4079" t="s">
        <v>1717</v>
      </c>
      <c r="CP1" s="4080" t="s">
        <v>572</v>
      </c>
    </row>
    <row r="2" spans="1:94" ht="14.25" customHeight="1">
      <c r="A2" s="1">
        <v>1</v>
      </c>
      <c r="B2" s="2" t="s">
        <v>21</v>
      </c>
      <c r="C2" s="272" t="str">
        <f>'001a'!B59</f>
        <v>{"url":p.aventisURL}</v>
      </c>
      <c r="AI2" s="2">
        <v>1844</v>
      </c>
      <c r="AJ2" s="2">
        <v>2138</v>
      </c>
      <c r="AK2" s="2">
        <v>1987</v>
      </c>
      <c r="AL2" s="2">
        <v>2724</v>
      </c>
      <c r="AM2" s="2">
        <v>1579</v>
      </c>
      <c r="AN2" s="156">
        <f>AM2/($AI2)</f>
        <v>0.85629067245119306</v>
      </c>
      <c r="AO2" s="2">
        <v>1452</v>
      </c>
      <c r="AP2" s="156">
        <f>AO2/($AI2)</f>
        <v>0.78741865509761388</v>
      </c>
      <c r="AQ2" s="2">
        <v>1364</v>
      </c>
      <c r="AR2" s="156">
        <f>AQ2/($AI2)</f>
        <v>0.73969631236442512</v>
      </c>
      <c r="AS2" s="2">
        <v>1355</v>
      </c>
      <c r="AT2" s="156">
        <f>AS2/($AI2)</f>
        <v>0.73481561822125818</v>
      </c>
      <c r="AU2" s="2">
        <v>2441</v>
      </c>
      <c r="AV2" s="156">
        <f>AU2/($AI2)</f>
        <v>1.3237527114967462</v>
      </c>
      <c r="AW2" s="2">
        <v>1310</v>
      </c>
      <c r="AX2" s="156">
        <f>AW2/($AI2)</f>
        <v>0.71041214750542303</v>
      </c>
      <c r="AY2" s="2">
        <v>1167</v>
      </c>
      <c r="AZ2" s="156">
        <f>AY2/($AI2)</f>
        <v>0.63286334056399129</v>
      </c>
      <c r="BA2" s="2">
        <v>1600</v>
      </c>
      <c r="BB2" s="156">
        <f>BA2/($AI2)</f>
        <v>0.86767895878524948</v>
      </c>
      <c r="BC2" s="2">
        <v>558</v>
      </c>
      <c r="BD2" s="156">
        <f>BC2/($AI2)</f>
        <v>0.30260303687635576</v>
      </c>
      <c r="BE2" s="2">
        <v>1132</v>
      </c>
      <c r="BF2" s="156">
        <f>BE2/($AI2)</f>
        <v>0.61388286334056397</v>
      </c>
      <c r="BG2" s="2">
        <v>1384</v>
      </c>
      <c r="BI2" s="2">
        <v>1188</v>
      </c>
      <c r="BK2" s="2">
        <v>1147</v>
      </c>
      <c r="BM2" s="2">
        <v>1178</v>
      </c>
      <c r="BO2" s="2">
        <v>1246</v>
      </c>
      <c r="BQ2" s="2">
        <v>1200</v>
      </c>
      <c r="BS2" s="2">
        <v>1179</v>
      </c>
      <c r="BU2" s="2">
        <v>1922</v>
      </c>
      <c r="BW2" s="2">
        <v>1676</v>
      </c>
      <c r="BY2" s="2">
        <v>1739</v>
      </c>
      <c r="CA2" s="2">
        <v>1156</v>
      </c>
      <c r="CC2" s="2">
        <v>1231</v>
      </c>
      <c r="CE2" s="2">
        <v>1624</v>
      </c>
      <c r="CG2" s="2">
        <v>1166</v>
      </c>
      <c r="CI2" s="2">
        <v>1213</v>
      </c>
      <c r="CK2" s="2">
        <v>1121</v>
      </c>
      <c r="CM2" s="2">
        <v>839</v>
      </c>
      <c r="CO2" s="2">
        <v>425</v>
      </c>
      <c r="CP2" s="2" t="s">
        <v>1718</v>
      </c>
    </row>
    <row r="3" spans="1:94" ht="14.25" customHeight="1">
      <c r="A3" s="1">
        <v>2</v>
      </c>
      <c r="B3" s="2" t="s">
        <v>25</v>
      </c>
      <c r="C3" s="3" t="s">
        <v>633</v>
      </c>
      <c r="AI3" s="2">
        <v>9153</v>
      </c>
      <c r="AJ3" s="2">
        <v>6507</v>
      </c>
      <c r="AK3" s="2">
        <v>6763</v>
      </c>
      <c r="AL3" s="2">
        <v>9031</v>
      </c>
      <c r="AM3" s="2">
        <v>9973</v>
      </c>
      <c r="AN3" s="156">
        <f t="shared" ref="AN3:AN6" si="0">AM3/($AI3)</f>
        <v>1.0895881131869332</v>
      </c>
      <c r="AO3" s="2">
        <v>9765</v>
      </c>
      <c r="AP3" s="156">
        <f t="shared" ref="AP3:AP6" si="1">AO3/($AI3)</f>
        <v>1.0668633235004916</v>
      </c>
      <c r="AQ3" s="2">
        <v>8291</v>
      </c>
      <c r="AR3" s="156">
        <f t="shared" ref="AR3:AR6" si="2">AQ3/($AI3)</f>
        <v>0.90582322735715071</v>
      </c>
      <c r="AS3" s="2">
        <v>8568</v>
      </c>
      <c r="AT3" s="156">
        <f t="shared" ref="AT3:BF6" si="3">AS3/($AI3)</f>
        <v>0.93608652900688294</v>
      </c>
      <c r="AU3" s="2">
        <v>15954</v>
      </c>
      <c r="AV3" s="156">
        <f t="shared" si="3"/>
        <v>1.7430350704686988</v>
      </c>
      <c r="AW3" s="2">
        <v>9192</v>
      </c>
      <c r="AX3" s="156">
        <f t="shared" si="3"/>
        <v>1.0042608980662078</v>
      </c>
      <c r="AY3" s="2">
        <v>7109</v>
      </c>
      <c r="AZ3" s="156">
        <f t="shared" si="3"/>
        <v>0.77668523981208348</v>
      </c>
      <c r="BA3" s="2">
        <v>8140</v>
      </c>
      <c r="BB3" s="156">
        <f t="shared" si="3"/>
        <v>0.88932590407516665</v>
      </c>
      <c r="BC3" s="2">
        <v>5599</v>
      </c>
      <c r="BD3" s="156">
        <f t="shared" si="3"/>
        <v>0.61171200699224293</v>
      </c>
      <c r="BE3" s="2">
        <v>7146</v>
      </c>
      <c r="BF3" s="156">
        <f t="shared" si="3"/>
        <v>0.78072763028515246</v>
      </c>
      <c r="BG3" s="2">
        <v>8521</v>
      </c>
      <c r="BI3" s="2">
        <v>6980</v>
      </c>
      <c r="BK3" s="2">
        <v>7035</v>
      </c>
      <c r="BM3" s="2">
        <v>6905</v>
      </c>
      <c r="BO3" s="2">
        <v>7837</v>
      </c>
      <c r="BQ3" s="2">
        <v>7727</v>
      </c>
      <c r="BS3" s="2">
        <v>6955</v>
      </c>
      <c r="BU3" s="2">
        <v>8033</v>
      </c>
      <c r="BW3" s="2">
        <v>10808</v>
      </c>
      <c r="BY3" s="2">
        <v>7613</v>
      </c>
      <c r="CA3" s="2">
        <v>6713</v>
      </c>
      <c r="CC3" s="2">
        <v>8705</v>
      </c>
      <c r="CE3" s="2">
        <v>7935</v>
      </c>
      <c r="CG3" s="2">
        <v>8353</v>
      </c>
      <c r="CI3" s="2">
        <v>11195</v>
      </c>
      <c r="CK3" s="2">
        <v>8167</v>
      </c>
      <c r="CM3" s="2">
        <v>8353</v>
      </c>
      <c r="CO3" s="2">
        <v>5301</v>
      </c>
      <c r="CP3" s="2" t="s">
        <v>1718</v>
      </c>
    </row>
    <row r="4" spans="1:94" s="15" customFormat="1" ht="15.75" customHeight="1">
      <c r="A4" s="1"/>
      <c r="B4" s="285" t="s">
        <v>22</v>
      </c>
      <c r="C4" s="286" t="s">
        <v>23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>
        <v>4011</v>
      </c>
      <c r="AJ4" s="2">
        <v>4010</v>
      </c>
      <c r="AK4" s="2">
        <v>4005</v>
      </c>
      <c r="AL4" s="2">
        <v>4018</v>
      </c>
      <c r="AM4" s="2">
        <v>4015</v>
      </c>
      <c r="AN4" s="156">
        <f t="shared" si="0"/>
        <v>1.0009972575417601</v>
      </c>
      <c r="AO4" s="2">
        <v>4019</v>
      </c>
      <c r="AP4" s="156">
        <f t="shared" si="1"/>
        <v>1.0019945150835203</v>
      </c>
      <c r="AQ4" s="2">
        <v>4012</v>
      </c>
      <c r="AR4" s="156">
        <f t="shared" si="2"/>
        <v>1.0002493143854401</v>
      </c>
      <c r="AS4" s="2">
        <v>4011</v>
      </c>
      <c r="AT4" s="156">
        <f t="shared" si="3"/>
        <v>1</v>
      </c>
      <c r="AU4" s="2">
        <v>4020</v>
      </c>
      <c r="AV4" s="156">
        <f t="shared" si="3"/>
        <v>1.0022438294689604</v>
      </c>
      <c r="AW4" s="2">
        <v>4016</v>
      </c>
      <c r="AX4" s="156">
        <f t="shared" si="3"/>
        <v>1.0012465719272001</v>
      </c>
      <c r="AZ4" s="156">
        <f t="shared" si="3"/>
        <v>0</v>
      </c>
      <c r="BB4" s="156">
        <f t="shared" si="3"/>
        <v>0</v>
      </c>
      <c r="BD4" s="156">
        <f t="shared" si="3"/>
        <v>0</v>
      </c>
      <c r="BF4" s="156">
        <f t="shared" si="3"/>
        <v>0</v>
      </c>
    </row>
    <row r="5" spans="1:94" s="350" customFormat="1" ht="19.5" customHeight="1">
      <c r="A5" s="351">
        <v>4</v>
      </c>
      <c r="B5" s="352" t="s">
        <v>855</v>
      </c>
      <c r="C5" s="294" t="str">
        <f>E5</f>
        <v>{"dossier":p.DossierName2,"klient":`${p.FamilyName2}, ${p.WomanFirstName2}`,"national":"Schweiz","geschlecht":"weiblich","zivilstand":"verheiratet","korrSprache":"Deutsch","todesDatum":"","dokumente":""}</v>
      </c>
      <c r="D5" s="294" t="s">
        <v>28</v>
      </c>
      <c r="E5" s="293" t="str">
        <f>F5&amp;G5&amp;H5&amp;I5&amp;J5&amp;K5&amp;L5&amp;M5&amp;N5&amp;O5&amp;P5&amp;Q5&amp;R5&amp;S5&amp;T5&amp;U5&amp;V5&amp;W5&amp;X5&amp;Y5&amp;Z5&amp;AA5&amp;AB5&amp;AC5&amp;AD5&amp;AE5&amp;AF5&amp;AG5&amp;AH5</f>
        <v>{"dossier":p.DossierName2,"klient":`${p.FamilyName2}, ${p.WomanFirstName2}`,"national":"Schweiz","geschlecht":"weiblich","zivilstand":"verheiratet","korrSprache":"Deutsch","todesDatum":"","dokumente":""}</v>
      </c>
      <c r="F5" s="353" t="s">
        <v>159</v>
      </c>
      <c r="G5" s="294" t="s">
        <v>513</v>
      </c>
      <c r="H5" s="354" t="s">
        <v>769</v>
      </c>
      <c r="I5" s="294" t="s">
        <v>844</v>
      </c>
      <c r="J5" s="354" t="s">
        <v>856</v>
      </c>
      <c r="K5" s="294" t="s">
        <v>90</v>
      </c>
      <c r="L5" s="354" t="s">
        <v>805</v>
      </c>
      <c r="M5" s="355" t="s">
        <v>857</v>
      </c>
      <c r="N5" s="354" t="s">
        <v>86</v>
      </c>
      <c r="O5" s="294" t="s">
        <v>858</v>
      </c>
      <c r="P5" s="354" t="s">
        <v>859</v>
      </c>
      <c r="Q5" s="294" t="s">
        <v>85</v>
      </c>
      <c r="R5" s="354" t="s">
        <v>860</v>
      </c>
      <c r="S5" s="294"/>
      <c r="T5" s="354" t="s">
        <v>861</v>
      </c>
      <c r="U5" s="294"/>
      <c r="V5" s="294"/>
      <c r="W5" s="294"/>
      <c r="X5" s="354" t="s">
        <v>37</v>
      </c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>
        <v>17575</v>
      </c>
      <c r="AJ5" s="294">
        <v>17091</v>
      </c>
      <c r="AK5" s="294">
        <v>16923</v>
      </c>
      <c r="AL5" s="294">
        <v>15558</v>
      </c>
      <c r="AM5" s="294">
        <v>16405</v>
      </c>
      <c r="AN5" s="296">
        <f t="shared" si="0"/>
        <v>0.93342816500711234</v>
      </c>
      <c r="AO5" s="294">
        <v>17029</v>
      </c>
      <c r="AP5" s="296">
        <f t="shared" si="1"/>
        <v>0.96893314366998573</v>
      </c>
      <c r="AQ5" s="294">
        <v>16052</v>
      </c>
      <c r="AR5" s="296">
        <f t="shared" si="2"/>
        <v>0.91334281650071125</v>
      </c>
      <c r="AS5" s="294">
        <v>15721</v>
      </c>
      <c r="AT5" s="296">
        <f t="shared" si="3"/>
        <v>0.89450924608819349</v>
      </c>
      <c r="AU5" s="294">
        <v>15087</v>
      </c>
      <c r="AV5" s="296">
        <f t="shared" si="3"/>
        <v>0.8584352773826458</v>
      </c>
      <c r="AW5" s="297">
        <v>9378</v>
      </c>
      <c r="AX5" s="296">
        <f t="shared" si="3"/>
        <v>0.53359886201991469</v>
      </c>
      <c r="AY5" s="297">
        <v>8800</v>
      </c>
      <c r="AZ5" s="296">
        <f t="shared" si="3"/>
        <v>0.50071123755334279</v>
      </c>
      <c r="BA5" s="297">
        <v>8708</v>
      </c>
      <c r="BB5" s="296">
        <f t="shared" si="3"/>
        <v>0.4954765291607397</v>
      </c>
      <c r="BC5" s="297">
        <v>8340</v>
      </c>
      <c r="BD5" s="296">
        <f t="shared" si="3"/>
        <v>0.47453769559032716</v>
      </c>
      <c r="BE5" s="350">
        <v>9523</v>
      </c>
      <c r="BF5" s="296">
        <f t="shared" si="3"/>
        <v>0.54184921763869132</v>
      </c>
      <c r="BG5" s="350">
        <v>10198</v>
      </c>
      <c r="BI5" s="350">
        <v>9517</v>
      </c>
      <c r="BK5" s="350">
        <v>9799</v>
      </c>
      <c r="BM5" s="350">
        <v>8921</v>
      </c>
      <c r="BO5" s="350">
        <v>6637</v>
      </c>
      <c r="BQ5" s="350">
        <v>6953</v>
      </c>
      <c r="BS5" s="350">
        <v>6974</v>
      </c>
      <c r="BU5" s="350">
        <v>11107</v>
      </c>
      <c r="BW5" s="350">
        <v>11351</v>
      </c>
      <c r="BY5" s="350">
        <v>11742</v>
      </c>
      <c r="CA5" s="350">
        <v>10418</v>
      </c>
      <c r="CC5" s="350">
        <v>11338</v>
      </c>
      <c r="CE5" s="350">
        <v>8657</v>
      </c>
      <c r="CG5" s="350">
        <v>8869</v>
      </c>
      <c r="CI5" s="350">
        <v>10509</v>
      </c>
      <c r="CK5" s="350">
        <v>9122</v>
      </c>
      <c r="CM5" s="350">
        <v>11769</v>
      </c>
      <c r="CO5" s="350">
        <v>7581</v>
      </c>
      <c r="CP5" s="350" t="s">
        <v>1718</v>
      </c>
    </row>
    <row r="6" spans="1:94" s="287" customFormat="1" ht="21.75" customHeight="1">
      <c r="A6" s="288">
        <v>5</v>
      </c>
      <c r="B6" s="306" t="s">
        <v>855</v>
      </c>
      <c r="C6" s="289" t="str">
        <f>E6</f>
        <v>{"dossier":p.DossierName2,"klient":`${p.FamilyName2}, ${p.WomanFirstName2}`,"national":"Italien","geschlecht":"männlich","zivilstand":"verheiratet","korrSprache":"Französisch","todesDatum":"","dokumente":"c:/temp/PersonenüöäDaten.docx"}</v>
      </c>
      <c r="D6" s="289" t="s">
        <v>28</v>
      </c>
      <c r="E6" s="329" t="str">
        <f>F6&amp;G6&amp;H6&amp;I6&amp;J6&amp;K6&amp;L6&amp;M6&amp;N6&amp;O6&amp;P6&amp;Q6&amp;R6&amp;S6&amp;T6&amp;U6&amp;V6&amp;W6&amp;X6&amp;Y6&amp;Z6&amp;AA6</f>
        <v>{"dossier":p.DossierName2,"klient":`${p.FamilyName2}, ${p.WomanFirstName2}`,"national":"Italien","geschlecht":"männlich","zivilstand":"verheiratet","korrSprache":"Französisch","todesDatum":"","dokumente":"c:/temp/PersonenüöäDaten.docx"}</v>
      </c>
      <c r="F6" s="356" t="s">
        <v>159</v>
      </c>
      <c r="G6" s="289" t="s">
        <v>513</v>
      </c>
      <c r="H6" s="357" t="s">
        <v>769</v>
      </c>
      <c r="I6" s="289" t="s">
        <v>844</v>
      </c>
      <c r="J6" s="357" t="s">
        <v>856</v>
      </c>
      <c r="K6" s="289" t="s">
        <v>862</v>
      </c>
      <c r="L6" s="357" t="s">
        <v>805</v>
      </c>
      <c r="M6" s="320" t="s">
        <v>92</v>
      </c>
      <c r="N6" s="357" t="s">
        <v>86</v>
      </c>
      <c r="O6" s="289" t="s">
        <v>858</v>
      </c>
      <c r="P6" s="357" t="s">
        <v>859</v>
      </c>
      <c r="Q6" s="289" t="s">
        <v>863</v>
      </c>
      <c r="R6" s="357" t="s">
        <v>860</v>
      </c>
      <c r="S6" s="289"/>
      <c r="T6" s="357" t="s">
        <v>861</v>
      </c>
      <c r="U6" s="289" t="s">
        <v>864</v>
      </c>
      <c r="V6" s="289"/>
      <c r="W6" s="289"/>
      <c r="X6" s="357" t="s">
        <v>37</v>
      </c>
      <c r="Y6" s="289"/>
      <c r="Z6" s="289"/>
      <c r="AA6" s="289"/>
      <c r="AB6" s="289"/>
      <c r="AC6" s="289"/>
      <c r="AD6" s="289"/>
      <c r="AE6" s="289"/>
      <c r="AF6" s="289"/>
      <c r="AG6" s="289"/>
      <c r="AH6" s="289"/>
      <c r="AI6" s="289">
        <v>16857</v>
      </c>
      <c r="AJ6" s="289">
        <v>17162</v>
      </c>
      <c r="AK6" s="289">
        <v>17162</v>
      </c>
      <c r="AL6" s="289">
        <v>15165</v>
      </c>
      <c r="AM6" s="289">
        <v>15657</v>
      </c>
      <c r="AN6" s="290">
        <f t="shared" si="0"/>
        <v>0.92881295604200032</v>
      </c>
      <c r="AO6" s="289">
        <v>15797</v>
      </c>
      <c r="AP6" s="290">
        <f t="shared" si="1"/>
        <v>0.93711811117043364</v>
      </c>
      <c r="AQ6" s="289">
        <v>15192</v>
      </c>
      <c r="AR6" s="290">
        <f t="shared" si="2"/>
        <v>0.90122797650827546</v>
      </c>
      <c r="AS6" s="289">
        <v>15001</v>
      </c>
      <c r="AT6" s="290">
        <f t="shared" si="3"/>
        <v>0.88989737201162722</v>
      </c>
      <c r="AU6" s="289">
        <v>12886</v>
      </c>
      <c r="AV6" s="290">
        <f t="shared" si="3"/>
        <v>0.7644302070356529</v>
      </c>
      <c r="AW6" s="291">
        <v>8032</v>
      </c>
      <c r="AX6" s="290">
        <f t="shared" si="3"/>
        <v>0.47647861422554427</v>
      </c>
      <c r="AY6" s="291">
        <v>7412</v>
      </c>
      <c r="AZ6" s="290">
        <f t="shared" si="3"/>
        <v>0.43969864151391114</v>
      </c>
      <c r="BA6" s="291">
        <v>7628</v>
      </c>
      <c r="BB6" s="290">
        <f t="shared" si="3"/>
        <v>0.45251230942635107</v>
      </c>
      <c r="BC6" s="291">
        <v>7049</v>
      </c>
      <c r="BD6" s="290">
        <f t="shared" si="3"/>
        <v>0.41816456071661623</v>
      </c>
      <c r="BE6" s="287">
        <v>7467</v>
      </c>
      <c r="BF6" s="290">
        <f t="shared" si="3"/>
        <v>0.44296138102865279</v>
      </c>
      <c r="BG6" s="287">
        <v>9271</v>
      </c>
      <c r="BI6" s="287">
        <v>7742</v>
      </c>
      <c r="BK6" s="287">
        <v>7998</v>
      </c>
      <c r="BM6" s="287">
        <v>7993</v>
      </c>
      <c r="BO6" s="287">
        <v>4763</v>
      </c>
      <c r="BQ6" s="287">
        <v>5075</v>
      </c>
      <c r="BS6" s="287">
        <v>4584</v>
      </c>
      <c r="BU6" s="287">
        <v>7023</v>
      </c>
      <c r="BW6" s="287">
        <v>7533</v>
      </c>
      <c r="BY6" s="287">
        <v>8644</v>
      </c>
      <c r="CA6" s="287">
        <v>9168</v>
      </c>
      <c r="CC6" s="287">
        <v>7339</v>
      </c>
      <c r="CE6" s="287">
        <v>7284</v>
      </c>
      <c r="CG6" s="287">
        <v>7806</v>
      </c>
      <c r="CI6" s="287">
        <v>8958</v>
      </c>
      <c r="CK6" s="287">
        <v>6776</v>
      </c>
      <c r="CM6" s="287">
        <v>6528</v>
      </c>
      <c r="CO6" s="287">
        <v>7030</v>
      </c>
      <c r="CP6" s="287" t="s">
        <v>1718</v>
      </c>
    </row>
    <row r="7" spans="1:94">
      <c r="AN7" s="156"/>
      <c r="AP7" s="156"/>
      <c r="AR7" s="156"/>
      <c r="AT7" s="156"/>
      <c r="AV7" s="156"/>
      <c r="AX7" s="156"/>
      <c r="AZ7" s="156"/>
      <c r="BB7" s="156"/>
      <c r="BD7" s="156"/>
      <c r="BF7" s="156"/>
    </row>
    <row r="8" spans="1:94">
      <c r="AN8" s="156"/>
      <c r="AP8" s="156"/>
      <c r="AR8" s="156"/>
      <c r="AT8" s="156"/>
      <c r="AV8" s="156"/>
      <c r="AX8" s="156"/>
      <c r="AZ8" s="156"/>
      <c r="BB8" s="156"/>
      <c r="BD8" s="156"/>
      <c r="BF8" s="156"/>
    </row>
    <row r="9" spans="1:94">
      <c r="C9" s="2" t="s">
        <v>865</v>
      </c>
      <c r="AN9" s="2"/>
      <c r="AP9" s="2"/>
      <c r="AR9" s="2"/>
      <c r="AT9" s="2"/>
      <c r="AV9" s="2"/>
      <c r="AX9" s="2"/>
      <c r="AZ9" s="2"/>
      <c r="BB9" s="2"/>
      <c r="BD9" s="2"/>
      <c r="BF9" s="2"/>
    </row>
    <row r="10" spans="1:94"/>
    <row r="11" spans="1:94"/>
    <row r="12" spans="1:94"/>
    <row r="13" spans="1:94"/>
    <row r="14" spans="1:94"/>
    <row r="15" spans="1:94"/>
    <row r="16" spans="1:94"/>
    <row r="17" spans="7:7"/>
    <row r="18" spans="7:7"/>
    <row r="19" spans="7:7"/>
    <row r="20" spans="7:7"/>
    <row r="21" spans="7:7">
      <c r="G21" s="2" t="s">
        <v>866</v>
      </c>
    </row>
  </sheetData>
  <conditionalFormatting sqref="AN2:AN147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P2:AP147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R2:AR147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T2:AT147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V2:AV147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X2:AX147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2:AZ147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147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147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147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92D050"/>
  </sheetPr>
  <dimension ref="A1:CP20"/>
  <sheetViews>
    <sheetView zoomScaleNormal="100" workbookViewId="0">
      <pane xSplit="2" ySplit="1" topLeftCell="C2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defaultColWidth="9.140625" defaultRowHeight="14.25" customHeight="1"/>
  <cols>
    <col min="1" max="1" width="9.140625" style="1" customWidth="1"/>
    <col min="2" max="2" width="37.140625" style="2" customWidth="1"/>
    <col min="3" max="3" width="186.710937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22.5703125" style="2" customWidth="1"/>
    <col min="17" max="17" width="13.5703125" style="2" customWidth="1"/>
    <col min="18" max="18" width="24.5703125" style="2" customWidth="1"/>
    <col min="19" max="34" width="9.140625" style="2" customWidth="1"/>
    <col min="35" max="40" width="9.85546875" style="2" customWidth="1"/>
    <col min="41" max="41" width="9.85546875" style="12" customWidth="1"/>
    <col min="42" max="42" width="9.85546875" style="2" customWidth="1"/>
    <col min="43" max="43" width="9.85546875" style="12" customWidth="1"/>
    <col min="44" max="44" width="9.85546875" style="2" customWidth="1"/>
    <col min="45" max="45" width="9.85546875" style="12" customWidth="1"/>
    <col min="46" max="46" width="11.28515625" style="2" customWidth="1"/>
    <col min="47" max="47" width="9.85546875" style="12" customWidth="1"/>
    <col min="48" max="48" width="10.85546875" style="2" customWidth="1"/>
    <col min="49" max="49" width="9.85546875" style="12" customWidth="1"/>
    <col min="50" max="50" width="11.42578125" style="2" customWidth="1"/>
    <col min="51" max="51" width="9.85546875" style="12" customWidth="1"/>
    <col min="52" max="52" width="30" style="2" customWidth="1"/>
    <col min="53" max="53" width="50" style="2" customWidth="1"/>
    <col min="54" max="54" width="30" style="2" customWidth="1"/>
    <col min="55" max="55" width="50" style="2" customWidth="1"/>
    <col min="56" max="56" width="11.42578125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13.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14*60*1000*SpeedFaktor</f>
        <v>840000</v>
      </c>
      <c r="H1" s="2">
        <v>10</v>
      </c>
      <c r="AH1" s="2" t="s">
        <v>5</v>
      </c>
      <c r="AI1" s="2" t="s">
        <v>676</v>
      </c>
      <c r="AJ1" s="2" t="s">
        <v>658</v>
      </c>
      <c r="AK1" s="2" t="s">
        <v>489</v>
      </c>
      <c r="AL1" s="2" t="s">
        <v>10</v>
      </c>
      <c r="AM1" s="2" t="s">
        <v>677</v>
      </c>
      <c r="AN1" s="2" t="s">
        <v>11</v>
      </c>
      <c r="AO1" s="24" t="s">
        <v>8</v>
      </c>
      <c r="AP1" s="2" t="s">
        <v>12</v>
      </c>
      <c r="AQ1" s="24" t="s">
        <v>8</v>
      </c>
      <c r="AR1" s="2" t="s">
        <v>13</v>
      </c>
      <c r="AS1" s="24" t="s">
        <v>8</v>
      </c>
      <c r="AT1" s="2" t="s">
        <v>65</v>
      </c>
      <c r="AU1" s="24" t="s">
        <v>8</v>
      </c>
      <c r="AV1" s="2" t="s">
        <v>15</v>
      </c>
      <c r="AW1" s="24" t="s">
        <v>8</v>
      </c>
      <c r="AX1" s="2" t="s">
        <v>17</v>
      </c>
      <c r="AY1" s="24" t="s">
        <v>8</v>
      </c>
      <c r="AZ1" s="2" t="s">
        <v>1285</v>
      </c>
      <c r="BA1" s="2" t="s">
        <v>19</v>
      </c>
      <c r="BB1" s="2" t="s">
        <v>1286</v>
      </c>
      <c r="BC1" s="2" t="s">
        <v>20</v>
      </c>
      <c r="BE1" s="529" t="s">
        <v>1303</v>
      </c>
      <c r="BF1" s="530" t="s">
        <v>572</v>
      </c>
      <c r="BG1" s="851" t="s">
        <v>1311</v>
      </c>
      <c r="BH1" s="852" t="s">
        <v>572</v>
      </c>
      <c r="BI1" s="975" t="s">
        <v>1318</v>
      </c>
      <c r="BJ1" s="976" t="s">
        <v>572</v>
      </c>
      <c r="BK1" s="1123" t="s">
        <v>1324</v>
      </c>
      <c r="BL1" s="1124" t="s">
        <v>572</v>
      </c>
      <c r="BM1" s="1326" t="s">
        <v>1341</v>
      </c>
      <c r="BN1" s="1327" t="s">
        <v>572</v>
      </c>
      <c r="BO1" s="1580" t="s">
        <v>1363</v>
      </c>
      <c r="BP1" s="1581" t="s">
        <v>572</v>
      </c>
      <c r="BQ1" s="1720" t="s">
        <v>1368</v>
      </c>
      <c r="BR1" s="1721" t="s">
        <v>572</v>
      </c>
      <c r="BS1" s="1861" t="s">
        <v>1372</v>
      </c>
      <c r="BT1" s="1862" t="s">
        <v>572</v>
      </c>
      <c r="BU1" s="2141" t="s">
        <v>1397</v>
      </c>
      <c r="BV1" s="2142" t="s">
        <v>572</v>
      </c>
      <c r="BW1" s="2324" t="s">
        <v>1421</v>
      </c>
      <c r="BX1" s="2325" t="s">
        <v>572</v>
      </c>
      <c r="BY1" s="2486" t="s">
        <v>1434</v>
      </c>
      <c r="BZ1" s="2487" t="s">
        <v>572</v>
      </c>
      <c r="CA1" s="2647" t="s">
        <v>1442</v>
      </c>
      <c r="CB1" s="2648" t="s">
        <v>572</v>
      </c>
      <c r="CC1" s="2832" t="s">
        <v>1460</v>
      </c>
      <c r="CD1" s="2833" t="s">
        <v>572</v>
      </c>
      <c r="CE1" s="3014" t="s">
        <v>1472</v>
      </c>
      <c r="CF1" s="3015" t="s">
        <v>572</v>
      </c>
      <c r="CG1" s="3204" t="s">
        <v>1492</v>
      </c>
      <c r="CH1" s="3205" t="s">
        <v>572</v>
      </c>
      <c r="CI1" s="3378" t="s">
        <v>1503</v>
      </c>
      <c r="CJ1" s="3379" t="s">
        <v>572</v>
      </c>
      <c r="CK1" s="3566" t="s">
        <v>1519</v>
      </c>
      <c r="CL1" s="3567" t="s">
        <v>572</v>
      </c>
      <c r="CM1" s="3862" t="s">
        <v>1666</v>
      </c>
      <c r="CN1" s="3863" t="s">
        <v>572</v>
      </c>
      <c r="CO1" s="4081" t="s">
        <v>1717</v>
      </c>
      <c r="CP1" s="4082" t="s">
        <v>572</v>
      </c>
    </row>
    <row r="2" spans="1:94" ht="14.25" customHeight="1">
      <c r="A2" s="119">
        <v>1</v>
      </c>
      <c r="B2" s="122" t="s">
        <v>21</v>
      </c>
      <c r="C2" s="590" t="str">
        <f>'001a'!B59</f>
        <v>{"url":p.aventisURL}</v>
      </c>
      <c r="AI2" s="2">
        <v>2138</v>
      </c>
      <c r="AJ2" s="2">
        <v>1987</v>
      </c>
      <c r="AK2" s="2">
        <v>2724</v>
      </c>
      <c r="AL2" s="2">
        <v>1754</v>
      </c>
      <c r="AN2" s="2">
        <v>1790</v>
      </c>
      <c r="AO2" s="156">
        <f>AN2/($AI2)</f>
        <v>0.83723105706267542</v>
      </c>
      <c r="AP2" s="2">
        <v>1589</v>
      </c>
      <c r="AQ2" s="156">
        <f>AP2/($AI2)</f>
        <v>0.74321796071094481</v>
      </c>
      <c r="AR2" s="2">
        <v>1348</v>
      </c>
      <c r="AS2" s="156">
        <f>AR2/($AI2)</f>
        <v>0.63049579045837234</v>
      </c>
      <c r="AT2" s="2">
        <v>2947</v>
      </c>
      <c r="AU2" s="156">
        <f>AT2/($AI2)</f>
        <v>1.3783910196445277</v>
      </c>
      <c r="AV2" s="2">
        <v>1252</v>
      </c>
      <c r="AW2" s="156">
        <f>AV2/($AI2)</f>
        <v>0.58559401309635173</v>
      </c>
      <c r="AX2" s="2">
        <v>1250</v>
      </c>
      <c r="AY2" s="156">
        <f>AX2/($AI2)</f>
        <v>0.58465855940130962</v>
      </c>
      <c r="AZ2" s="2">
        <v>1117</v>
      </c>
      <c r="BB2" s="2">
        <v>557</v>
      </c>
      <c r="BE2" s="2">
        <v>1249</v>
      </c>
      <c r="BG2" s="2">
        <v>1345</v>
      </c>
      <c r="BI2" s="2">
        <v>1107</v>
      </c>
      <c r="BK2" s="2">
        <v>1163</v>
      </c>
      <c r="BM2" s="2">
        <v>1254</v>
      </c>
      <c r="BO2" s="2">
        <v>1168</v>
      </c>
      <c r="BQ2" s="2">
        <v>1117</v>
      </c>
      <c r="BS2" s="2">
        <v>1258</v>
      </c>
      <c r="BU2" s="2">
        <v>1646</v>
      </c>
      <c r="BW2" s="2">
        <v>1584</v>
      </c>
      <c r="BY2" s="2">
        <v>1794</v>
      </c>
      <c r="CA2" s="2">
        <v>1155</v>
      </c>
      <c r="CC2" s="2">
        <v>1244</v>
      </c>
      <c r="CE2" s="2">
        <v>1517</v>
      </c>
      <c r="CG2" s="2">
        <v>1085</v>
      </c>
      <c r="CI2" s="2">
        <v>1157</v>
      </c>
      <c r="CK2" s="2">
        <v>1164</v>
      </c>
      <c r="CM2" s="2">
        <v>799</v>
      </c>
      <c r="CO2" s="2">
        <v>378</v>
      </c>
      <c r="CP2" s="2" t="s">
        <v>1718</v>
      </c>
    </row>
    <row r="3" spans="1:94" ht="14.25" customHeight="1">
      <c r="A3" s="119">
        <v>2</v>
      </c>
      <c r="B3" s="122" t="s">
        <v>25</v>
      </c>
      <c r="C3" s="606" t="s">
        <v>633</v>
      </c>
      <c r="AI3" s="2">
        <v>6507</v>
      </c>
      <c r="AJ3" s="2">
        <v>6763</v>
      </c>
      <c r="AK3" s="2">
        <v>9031</v>
      </c>
      <c r="AL3" s="2">
        <v>10163</v>
      </c>
      <c r="AN3" s="2">
        <v>9320</v>
      </c>
      <c r="AO3" s="156">
        <f t="shared" ref="AO3:AO5" si="0">AN3/($AI3)</f>
        <v>1.4323036729675733</v>
      </c>
      <c r="AP3" s="2">
        <v>8475</v>
      </c>
      <c r="AQ3" s="156">
        <f t="shared" ref="AQ3:AQ5" si="1">AP3/($AI3)</f>
        <v>1.3024435223605348</v>
      </c>
      <c r="AR3" s="2">
        <v>8614</v>
      </c>
      <c r="AS3" s="156">
        <f t="shared" ref="AS3:AY5" si="2">AR3/($AI3)</f>
        <v>1.3238051329337637</v>
      </c>
      <c r="AT3" s="2">
        <v>16084</v>
      </c>
      <c r="AU3" s="156">
        <f t="shared" si="2"/>
        <v>2.4717996004303058</v>
      </c>
      <c r="AV3" s="2">
        <v>8896</v>
      </c>
      <c r="AW3" s="156">
        <f t="shared" si="2"/>
        <v>1.3671430766866453</v>
      </c>
      <c r="AX3" s="2">
        <v>7575</v>
      </c>
      <c r="AY3" s="156">
        <f t="shared" si="2"/>
        <v>1.1641309359151684</v>
      </c>
      <c r="AZ3" s="2">
        <v>8914</v>
      </c>
      <c r="BB3" s="2">
        <v>5061</v>
      </c>
      <c r="BE3" s="2">
        <v>7281</v>
      </c>
      <c r="BG3" s="2">
        <v>7992</v>
      </c>
      <c r="BI3" s="2">
        <v>7261</v>
      </c>
      <c r="BK3" s="2">
        <v>7419</v>
      </c>
      <c r="BM3" s="2">
        <v>7414</v>
      </c>
      <c r="BO3" s="2">
        <v>6624</v>
      </c>
      <c r="BQ3" s="2">
        <v>7530</v>
      </c>
      <c r="BS3" s="2">
        <v>7156</v>
      </c>
      <c r="BU3" s="2">
        <v>7296</v>
      </c>
      <c r="BW3" s="2">
        <v>6976</v>
      </c>
      <c r="BY3" s="2">
        <v>7642</v>
      </c>
      <c r="CA3" s="2">
        <v>7617</v>
      </c>
      <c r="CC3" s="2">
        <v>8592</v>
      </c>
      <c r="CE3" s="2">
        <v>7875</v>
      </c>
      <c r="CG3" s="2">
        <v>8008</v>
      </c>
      <c r="CI3" s="2">
        <v>9088</v>
      </c>
      <c r="CK3" s="2">
        <v>8142</v>
      </c>
      <c r="CM3" s="2">
        <v>7413</v>
      </c>
      <c r="CO3" s="2">
        <v>6119</v>
      </c>
      <c r="CP3" s="2" t="s">
        <v>1718</v>
      </c>
    </row>
    <row r="4" spans="1:94" s="15" customFormat="1" ht="16.5" customHeight="1">
      <c r="A4" s="119">
        <v>4</v>
      </c>
      <c r="B4" s="122" t="s">
        <v>139</v>
      </c>
      <c r="C4" s="122" t="str">
        <f>G4&amp;H4&amp;I4&amp;J4</f>
        <v>{"searchDossierOrKlient":p.DossierName1,"resultType":"Dossiers"}</v>
      </c>
      <c r="D4" s="2"/>
      <c r="E4" s="2"/>
      <c r="F4" s="2"/>
      <c r="G4" s="276" t="s">
        <v>140</v>
      </c>
      <c r="H4" s="2" t="s">
        <v>449</v>
      </c>
      <c r="I4" s="276" t="s">
        <v>623</v>
      </c>
      <c r="J4" s="2"/>
      <c r="K4" s="276"/>
      <c r="L4" s="2"/>
      <c r="M4" s="276"/>
      <c r="N4" s="2"/>
      <c r="O4" s="276"/>
      <c r="P4" s="2"/>
      <c r="Q4" s="276"/>
      <c r="R4" s="2"/>
      <c r="S4" s="276"/>
      <c r="T4" s="2"/>
      <c r="U4" s="278"/>
      <c r="V4" s="2"/>
      <c r="W4" s="278"/>
      <c r="X4" s="2"/>
      <c r="Y4" s="278"/>
      <c r="Z4" s="2"/>
      <c r="AA4" s="2"/>
      <c r="AB4" s="2"/>
      <c r="AC4" s="2"/>
      <c r="AD4" s="2"/>
      <c r="AE4" s="2"/>
      <c r="AF4" s="2"/>
      <c r="AG4" s="2"/>
      <c r="AH4" s="2"/>
      <c r="AI4" s="2">
        <v>11819</v>
      </c>
      <c r="AJ4" s="2">
        <v>11830</v>
      </c>
      <c r="AK4" s="2">
        <v>11371</v>
      </c>
      <c r="AL4" s="2">
        <v>10866</v>
      </c>
      <c r="AM4" s="2"/>
      <c r="AN4" s="2">
        <v>11195</v>
      </c>
      <c r="AO4" s="156">
        <f t="shared" si="0"/>
        <v>0.94720365513156779</v>
      </c>
      <c r="AP4" s="2">
        <v>11073</v>
      </c>
      <c r="AQ4" s="156">
        <f t="shared" si="1"/>
        <v>0.93688129283357302</v>
      </c>
      <c r="AR4" s="2">
        <v>10654</v>
      </c>
      <c r="AS4" s="156">
        <f t="shared" si="2"/>
        <v>0.90142990100685338</v>
      </c>
      <c r="AT4" s="2">
        <v>3299</v>
      </c>
      <c r="AU4" s="156">
        <f t="shared" si="2"/>
        <v>0.27912682968102209</v>
      </c>
      <c r="AV4" s="2">
        <v>2467</v>
      </c>
      <c r="AW4" s="156">
        <f t="shared" si="2"/>
        <v>0.20873170318977916</v>
      </c>
      <c r="AX4" s="2">
        <v>5007</v>
      </c>
      <c r="AY4" s="156">
        <f t="shared" si="2"/>
        <v>0.42363990185294864</v>
      </c>
      <c r="AZ4" s="2">
        <v>5264</v>
      </c>
      <c r="BA4" s="2"/>
      <c r="BB4" s="2">
        <v>5252</v>
      </c>
      <c r="BC4" s="2"/>
      <c r="BE4" s="15">
        <v>5106</v>
      </c>
      <c r="BG4" s="15">
        <v>5556</v>
      </c>
      <c r="BI4" s="15">
        <v>5133</v>
      </c>
      <c r="BK4" s="15">
        <v>5285</v>
      </c>
      <c r="BM4" s="15">
        <v>5380</v>
      </c>
      <c r="BO4" s="15">
        <v>2472</v>
      </c>
      <c r="BQ4" s="15">
        <v>3025</v>
      </c>
      <c r="BS4" s="15">
        <v>2933</v>
      </c>
      <c r="BU4" s="15">
        <v>5513</v>
      </c>
      <c r="BW4" s="15">
        <v>5331</v>
      </c>
      <c r="BY4" s="15">
        <v>5684</v>
      </c>
      <c r="CA4" s="15">
        <v>4884</v>
      </c>
      <c r="CC4" s="15">
        <v>4742</v>
      </c>
      <c r="CE4" s="15">
        <v>5166</v>
      </c>
      <c r="CG4" s="15">
        <v>4763</v>
      </c>
      <c r="CI4" s="15">
        <v>4840</v>
      </c>
      <c r="CK4" s="15">
        <v>4584</v>
      </c>
      <c r="CM4" s="15">
        <v>4885</v>
      </c>
      <c r="CO4" s="15">
        <v>4764</v>
      </c>
      <c r="CP4" s="15" t="s">
        <v>1718</v>
      </c>
    </row>
    <row r="5" spans="1:94" s="10" customFormat="1" ht="15" customHeight="1">
      <c r="A5" s="21">
        <v>5</v>
      </c>
      <c r="B5" s="725" t="s">
        <v>867</v>
      </c>
      <c r="C5" s="24" t="str">
        <f>E5</f>
        <v>{"bezugsPerson":"Moser,Luici","telefonGeschaeft":"123123123","emailPrivat":"e@mail.mail","emailGeschaeft":"e@mailgeschaeft.mail","strasse":"weg23","hNummer":"23","ort":"3455 Grünen","beziehungRolle":"netter typ","beziehungsTyp":"nicht verwandt","vonKlient":"Müller2452, Liam","gueltVon":"21.09.2024","gueltBis":"21.09.2025}</v>
      </c>
      <c r="D5" s="24" t="s">
        <v>28</v>
      </c>
      <c r="E5" s="187" t="str">
        <f>F5&amp;G5&amp;H5&amp;I5&amp;J5&amp;K5&amp;L5&amp;M5&amp;N5&amp;O5&amp;P5&amp;Q5&amp;R5&amp;S5&amp;T5&amp;U5&amp;V5&amp;W5&amp;X5&amp;Y5&amp;Z5&amp;AA5&amp;AB5&amp;AC5&amp;AD5&amp;AE5&amp;AF5&amp;AG5&amp;AH5</f>
        <v>{"bezugsPerson":"Moser,Luici","telefonGeschaeft":"123123123","emailPrivat":"e@mail.mail","emailGeschaeft":"e@mailgeschaeft.mail","strasse":"weg23","hNummer":"23","ort":"3455 Grünen","beziehungRolle":"netter typ","beziehungsTyp":"nicht verwandt","vonKlient":"Müller2452, Liam","gueltVon":"21.09.2024","gueltBis":"21.09.2025}</v>
      </c>
      <c r="F5" s="358" t="s">
        <v>868</v>
      </c>
      <c r="G5" s="24" t="s">
        <v>869</v>
      </c>
      <c r="H5" s="274" t="s">
        <v>870</v>
      </c>
      <c r="I5" s="24">
        <v>123123123</v>
      </c>
      <c r="J5" s="274" t="s">
        <v>871</v>
      </c>
      <c r="K5" s="25" t="s">
        <v>872</v>
      </c>
      <c r="L5" s="274" t="s">
        <v>873</v>
      </c>
      <c r="M5" s="359" t="s">
        <v>874</v>
      </c>
      <c r="N5" s="274" t="s">
        <v>101</v>
      </c>
      <c r="O5" s="24" t="s">
        <v>875</v>
      </c>
      <c r="P5" s="274" t="s">
        <v>876</v>
      </c>
      <c r="Q5" s="24">
        <v>23</v>
      </c>
      <c r="R5" s="274" t="s">
        <v>103</v>
      </c>
      <c r="S5" s="24" t="s">
        <v>877</v>
      </c>
      <c r="T5" s="274" t="s">
        <v>878</v>
      </c>
      <c r="U5" s="24" t="s">
        <v>879</v>
      </c>
      <c r="V5" s="24" t="s">
        <v>880</v>
      </c>
      <c r="W5" s="24" t="s">
        <v>881</v>
      </c>
      <c r="X5" s="274" t="s">
        <v>882</v>
      </c>
      <c r="Y5" s="24" t="s">
        <v>883</v>
      </c>
      <c r="Z5" s="24" t="s">
        <v>884</v>
      </c>
      <c r="AA5" s="24" t="s">
        <v>885</v>
      </c>
      <c r="AB5" s="24" t="s">
        <v>886</v>
      </c>
      <c r="AC5" s="24" t="s">
        <v>887</v>
      </c>
      <c r="AD5" s="24" t="s">
        <v>109</v>
      </c>
      <c r="AE5" s="24"/>
      <c r="AF5" s="24"/>
      <c r="AG5" s="24"/>
      <c r="AH5" s="24"/>
      <c r="AI5" s="231">
        <v>17091</v>
      </c>
      <c r="AJ5" s="231">
        <v>16923</v>
      </c>
      <c r="AK5" s="231">
        <v>15558</v>
      </c>
      <c r="AL5" s="24"/>
      <c r="AM5" s="24"/>
      <c r="AN5" s="24"/>
      <c r="AO5" s="156">
        <f t="shared" si="0"/>
        <v>0</v>
      </c>
      <c r="AP5" s="24"/>
      <c r="AQ5" s="156">
        <f t="shared" si="1"/>
        <v>0</v>
      </c>
      <c r="AR5" s="24"/>
      <c r="AS5" s="156">
        <f t="shared" si="2"/>
        <v>0</v>
      </c>
      <c r="AT5" s="24"/>
      <c r="AU5" s="156">
        <f t="shared" si="2"/>
        <v>0</v>
      </c>
      <c r="AW5" s="156">
        <f t="shared" si="2"/>
        <v>0</v>
      </c>
      <c r="AY5" s="156">
        <f t="shared" si="2"/>
        <v>0</v>
      </c>
    </row>
    <row r="6" spans="1:94">
      <c r="AO6" s="156"/>
      <c r="AQ6" s="156"/>
      <c r="AS6" s="156"/>
      <c r="AU6" s="156"/>
      <c r="AW6" s="156"/>
      <c r="AY6" s="156"/>
    </row>
    <row r="7" spans="1:94">
      <c r="AO7" s="156"/>
      <c r="AQ7" s="156"/>
      <c r="AS7" s="156"/>
      <c r="AU7" s="156"/>
      <c r="AW7" s="156"/>
      <c r="AY7" s="156"/>
    </row>
    <row r="8" spans="1:94">
      <c r="AO8" s="2"/>
      <c r="AQ8" s="2"/>
      <c r="AS8" s="2"/>
      <c r="AU8" s="2"/>
      <c r="AW8" s="2"/>
      <c r="AY8" s="2"/>
    </row>
    <row r="9" spans="1:94">
      <c r="B9" s="256"/>
      <c r="C9" s="50" t="s">
        <v>888</v>
      </c>
      <c r="AO9" s="2"/>
      <c r="AQ9" s="2"/>
      <c r="AS9" s="2"/>
      <c r="AU9" s="2"/>
      <c r="AW9" s="2"/>
      <c r="AY9" s="2"/>
    </row>
    <row r="10" spans="1:94"/>
    <row r="11" spans="1:94"/>
    <row r="12" spans="1:94"/>
    <row r="13" spans="1:94"/>
    <row r="14" spans="1:94"/>
    <row r="15" spans="1:94"/>
    <row r="16" spans="1:94"/>
    <row r="17" spans="7:7"/>
    <row r="18" spans="7:7"/>
    <row r="19" spans="7:7"/>
    <row r="20" spans="7:7">
      <c r="G20" s="2" t="s">
        <v>866</v>
      </c>
    </row>
  </sheetData>
  <conditionalFormatting sqref="AO2:AO146 AQ2:AQ146 AS2:AS146 AU2:AU146 AW2:AW146 AY2:AY146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K5" r:id="rId1" xr:uid="{00000000-0004-0000-2900-000000000000}"/>
    <hyperlink ref="M5" r:id="rId2" xr:uid="{00000000-0004-0000-2900-000001000000}"/>
  </hyperlinks>
  <pageMargins left="0.7" right="0.7" top="0.75" bottom="0.75" header="0.3" footer="0.3"/>
  <pageSetup paperSize="9" orientation="portrait" useFirstPageNumber="1" horizontalDpi="4294967295" verticalDpi="429496729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92D050"/>
  </sheetPr>
  <dimension ref="A1:CP27"/>
  <sheetViews>
    <sheetView zoomScaleNormal="100" workbookViewId="0">
      <pane xSplit="2" ySplit="1" topLeftCell="D2" activePane="bottomRight" state="frozen"/>
      <selection activeCell="H2" sqref="H2"/>
      <selection pane="topRight" activeCell="H2" sqref="H2"/>
      <selection pane="bottomLeft" activeCell="H2" sqref="H2"/>
      <selection pane="bottomRight" activeCell="B23" sqref="B23"/>
    </sheetView>
  </sheetViews>
  <sheetFormatPr defaultColWidth="9.140625" defaultRowHeight="14.25" customHeight="1"/>
  <cols>
    <col min="1" max="1" width="9.140625" style="2" customWidth="1"/>
    <col min="2" max="2" width="45.42578125" style="2" customWidth="1"/>
    <col min="3" max="3" width="176.140625" style="2" customWidth="1"/>
    <col min="4" max="4" width="9.140625" style="2" customWidth="1"/>
    <col min="5" max="5" width="7.85546875" style="3" customWidth="1"/>
    <col min="6" max="6" width="9.85546875" style="2" customWidth="1"/>
    <col min="7" max="7" width="26.85546875" style="2" customWidth="1"/>
    <col min="8" max="8" width="9.140625" style="2" customWidth="1"/>
    <col min="9" max="9" width="10.140625" style="2" customWidth="1"/>
    <col min="10" max="19" width="9.140625" style="2" customWidth="1"/>
    <col min="20" max="20" width="19.140625" style="2" customWidth="1"/>
    <col min="21" max="21" width="41.42578125" style="2" customWidth="1"/>
    <col min="22" max="34" width="9.140625" style="2" customWidth="1"/>
    <col min="35" max="35" width="9.85546875" style="2" customWidth="1"/>
    <col min="36" max="39" width="10" style="2" customWidth="1"/>
    <col min="40" max="40" width="10" style="12" customWidth="1"/>
    <col min="41" max="41" width="10" style="2" customWidth="1"/>
    <col min="42" max="42" width="10" style="12" customWidth="1"/>
    <col min="43" max="43" width="10" style="2" customWidth="1"/>
    <col min="44" max="44" width="10" style="12" customWidth="1"/>
    <col min="45" max="45" width="10" style="2" customWidth="1"/>
    <col min="46" max="46" width="10" style="12" customWidth="1"/>
    <col min="47" max="47" width="30" style="2" customWidth="1"/>
    <col min="48" max="48" width="10" style="12" customWidth="1"/>
    <col min="49" max="49" width="19.7109375" style="2" customWidth="1"/>
    <col min="50" max="50" width="9" style="12" customWidth="1"/>
    <col min="51" max="51" width="9" style="2" customWidth="1"/>
    <col min="52" max="52" width="9" style="12" customWidth="1"/>
    <col min="53" max="53" width="9" style="2" customWidth="1"/>
    <col min="54" max="54" width="9" style="12" customWidth="1"/>
    <col min="55" max="55" width="9" style="2" customWidth="1"/>
    <col min="56" max="56" width="9" style="12" customWidth="1"/>
    <col min="57" max="57" width="9" style="2" customWidth="1"/>
    <col min="58" max="58" width="9" style="1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12.75" customHeight="1">
      <c r="A1" s="239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14*60*1000*SpeedFaktor</f>
        <v>840000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489</v>
      </c>
      <c r="AM1" s="2" t="s">
        <v>10</v>
      </c>
      <c r="AN1" s="24" t="s">
        <v>8</v>
      </c>
      <c r="AO1" s="2" t="s">
        <v>11</v>
      </c>
      <c r="AP1" s="24" t="s">
        <v>8</v>
      </c>
      <c r="AQ1" s="2" t="s">
        <v>12</v>
      </c>
      <c r="AR1" s="24" t="s">
        <v>8</v>
      </c>
      <c r="AS1" s="2" t="s">
        <v>13</v>
      </c>
      <c r="AT1" s="24" t="s">
        <v>8</v>
      </c>
      <c r="AU1" s="2" t="s">
        <v>65</v>
      </c>
      <c r="AV1" s="24" t="s">
        <v>8</v>
      </c>
      <c r="AW1" s="2" t="s">
        <v>15</v>
      </c>
      <c r="AX1" s="714" t="s">
        <v>8</v>
      </c>
      <c r="AY1" s="705" t="s">
        <v>17</v>
      </c>
      <c r="AZ1" s="714" t="s">
        <v>8</v>
      </c>
      <c r="BA1" s="705" t="s">
        <v>1285</v>
      </c>
      <c r="BB1" s="714" t="s">
        <v>8</v>
      </c>
      <c r="BC1" s="705" t="s">
        <v>1286</v>
      </c>
      <c r="BD1" s="714" t="s">
        <v>8</v>
      </c>
      <c r="BE1" s="729" t="s">
        <v>1303</v>
      </c>
      <c r="BF1" s="714" t="s">
        <v>8</v>
      </c>
      <c r="BG1" s="853" t="s">
        <v>1311</v>
      </c>
      <c r="BH1" s="854" t="s">
        <v>572</v>
      </c>
      <c r="BI1" s="977" t="s">
        <v>1318</v>
      </c>
      <c r="BJ1" s="978" t="s">
        <v>572</v>
      </c>
      <c r="BK1" s="1125" t="s">
        <v>1324</v>
      </c>
      <c r="BL1" s="1126" t="s">
        <v>572</v>
      </c>
      <c r="BM1" s="1328" t="s">
        <v>1341</v>
      </c>
      <c r="BN1" s="1329" t="s">
        <v>572</v>
      </c>
      <c r="BO1" s="1582" t="s">
        <v>1363</v>
      </c>
      <c r="BP1" s="1583" t="s">
        <v>572</v>
      </c>
      <c r="BQ1" s="1722" t="s">
        <v>1368</v>
      </c>
      <c r="BR1" s="1723" t="s">
        <v>572</v>
      </c>
      <c r="BS1" s="1863" t="s">
        <v>1372</v>
      </c>
      <c r="BT1" s="1864" t="s">
        <v>572</v>
      </c>
      <c r="BU1" s="2143" t="s">
        <v>1397</v>
      </c>
      <c r="BV1" s="2144" t="s">
        <v>572</v>
      </c>
      <c r="BW1" s="2326" t="s">
        <v>1421</v>
      </c>
      <c r="BX1" s="2327" t="s">
        <v>572</v>
      </c>
      <c r="BY1" s="2488" t="s">
        <v>1434</v>
      </c>
      <c r="BZ1" s="2489" t="s">
        <v>572</v>
      </c>
      <c r="CA1" s="2649" t="s">
        <v>1442</v>
      </c>
      <c r="CB1" s="2650" t="s">
        <v>572</v>
      </c>
      <c r="CC1" s="2834" t="s">
        <v>1460</v>
      </c>
      <c r="CD1" s="2835" t="s">
        <v>572</v>
      </c>
      <c r="CE1" s="3016" t="s">
        <v>1472</v>
      </c>
      <c r="CF1" s="3017" t="s">
        <v>572</v>
      </c>
      <c r="CG1" s="3206" t="s">
        <v>1492</v>
      </c>
      <c r="CH1" s="3207" t="s">
        <v>572</v>
      </c>
      <c r="CI1" s="3380" t="s">
        <v>1503</v>
      </c>
      <c r="CJ1" s="3381" t="s">
        <v>572</v>
      </c>
      <c r="CK1" s="3568" t="s">
        <v>1519</v>
      </c>
      <c r="CL1" s="3569" t="s">
        <v>572</v>
      </c>
      <c r="CM1" s="3864" t="s">
        <v>1666</v>
      </c>
      <c r="CN1" s="3865" t="s">
        <v>572</v>
      </c>
      <c r="CO1" s="4083" t="s">
        <v>1717</v>
      </c>
      <c r="CP1" s="4084" t="s">
        <v>572</v>
      </c>
    </row>
    <row r="2" spans="1:94" ht="17.25" customHeight="1">
      <c r="A2" s="726">
        <v>1</v>
      </c>
      <c r="B2" s="727" t="s">
        <v>21</v>
      </c>
      <c r="C2" s="728" t="str">
        <f>'001a'!B59</f>
        <v>{"url":p.aventisURL}</v>
      </c>
      <c r="G2" s="2" t="e">
        <f>_xlfn.SINGLE(URLAVENTIS)</f>
        <v>#REF!</v>
      </c>
      <c r="AI2" s="2">
        <v>1948</v>
      </c>
      <c r="AJ2" s="2">
        <v>2144</v>
      </c>
      <c r="AK2" s="2">
        <v>2111</v>
      </c>
      <c r="AL2" s="2">
        <v>2984</v>
      </c>
      <c r="AM2" s="2">
        <v>1676</v>
      </c>
      <c r="AN2" s="156">
        <f>AM2/($AI2)</f>
        <v>0.86036960985626287</v>
      </c>
      <c r="AO2" s="2">
        <v>1389</v>
      </c>
      <c r="AP2" s="156">
        <f>AO2/($AI2)</f>
        <v>0.71303901437371664</v>
      </c>
      <c r="AQ2" s="2">
        <v>1388</v>
      </c>
      <c r="AR2" s="156">
        <f>AQ2/($AI2)</f>
        <v>0.71252566735112932</v>
      </c>
      <c r="AS2" s="2">
        <v>1342</v>
      </c>
      <c r="AT2" s="156">
        <f>AS2/($AI2)</f>
        <v>0.68891170431211501</v>
      </c>
      <c r="AU2" s="2">
        <v>2283</v>
      </c>
      <c r="AV2" s="156">
        <f>AU2/($AI2)</f>
        <v>1.1719712525667352</v>
      </c>
      <c r="AW2" s="2">
        <v>1266</v>
      </c>
      <c r="AX2" s="156">
        <f>AW2/($AI2)</f>
        <v>0.64989733059548249</v>
      </c>
      <c r="AY2" s="2">
        <v>1093</v>
      </c>
      <c r="AZ2" s="156">
        <f>AY2/($AI2)</f>
        <v>0.56108829568788499</v>
      </c>
      <c r="BA2" s="2">
        <v>1245</v>
      </c>
      <c r="BB2" s="156">
        <f>BA2/($AI2)</f>
        <v>0.63911704312114992</v>
      </c>
      <c r="BC2" s="2">
        <v>537</v>
      </c>
      <c r="BD2" s="156">
        <f>BC2/($AI2)</f>
        <v>0.27566735112936347</v>
      </c>
      <c r="BE2" s="2">
        <v>1202</v>
      </c>
      <c r="BF2" s="156">
        <f>BE2/($AI2)</f>
        <v>0.61704312114989734</v>
      </c>
      <c r="BG2" s="2">
        <v>1301</v>
      </c>
      <c r="BI2" s="2">
        <v>1448</v>
      </c>
      <c r="BK2" s="2">
        <v>1258</v>
      </c>
      <c r="BM2" s="2">
        <v>1269</v>
      </c>
      <c r="BO2" s="2">
        <v>1665</v>
      </c>
      <c r="BQ2" s="2">
        <v>1187</v>
      </c>
      <c r="BS2" s="2">
        <v>1144</v>
      </c>
      <c r="BU2" s="2">
        <v>1624</v>
      </c>
      <c r="BW2" s="2">
        <v>1583</v>
      </c>
      <c r="BY2" s="2">
        <v>1750</v>
      </c>
      <c r="CA2" s="2">
        <v>1136</v>
      </c>
      <c r="CC2" s="2">
        <v>1159</v>
      </c>
      <c r="CE2" s="2">
        <v>1582</v>
      </c>
      <c r="CG2" s="2">
        <v>1140</v>
      </c>
      <c r="CI2" s="2">
        <v>1249</v>
      </c>
      <c r="CK2" s="2">
        <v>1139</v>
      </c>
      <c r="CM2" s="2">
        <v>840</v>
      </c>
      <c r="CO2" s="2">
        <v>347</v>
      </c>
      <c r="CP2" s="2" t="s">
        <v>1718</v>
      </c>
    </row>
    <row r="3" spans="1:94" ht="15.75" customHeight="1">
      <c r="A3" s="726">
        <v>2</v>
      </c>
      <c r="B3" s="727" t="s">
        <v>25</v>
      </c>
      <c r="C3" s="727" t="s">
        <v>633</v>
      </c>
      <c r="AI3" s="2">
        <v>9047</v>
      </c>
      <c r="AJ3" s="2">
        <v>7081</v>
      </c>
      <c r="AK3" s="2">
        <v>6678</v>
      </c>
      <c r="AL3" s="2">
        <v>9430</v>
      </c>
      <c r="AM3" s="2">
        <v>9498</v>
      </c>
      <c r="AN3" s="156">
        <f t="shared" ref="AN3:AN5" si="0">AM3/($AI3)</f>
        <v>1.0498507792638443</v>
      </c>
      <c r="AO3" s="2">
        <v>9935</v>
      </c>
      <c r="AP3" s="156">
        <f t="shared" ref="AP3:AP5" si="1">AO3/($AI3)</f>
        <v>1.0981540842268156</v>
      </c>
      <c r="AQ3" s="2">
        <v>8531</v>
      </c>
      <c r="AR3" s="156">
        <f t="shared" ref="AR3:AR5" si="2">AQ3/($AI3)</f>
        <v>0.94296451862495856</v>
      </c>
      <c r="AS3" s="2">
        <v>9210</v>
      </c>
      <c r="AT3" s="156">
        <f t="shared" ref="AT3:BF5" si="3">AS3/($AI3)</f>
        <v>1.0180170222173095</v>
      </c>
      <c r="AU3" s="2">
        <v>15396</v>
      </c>
      <c r="AV3" s="156">
        <f t="shared" si="3"/>
        <v>1.7017795954460042</v>
      </c>
      <c r="AW3" s="2">
        <v>8481</v>
      </c>
      <c r="AX3" s="156">
        <f t="shared" si="3"/>
        <v>0.93743782469326853</v>
      </c>
      <c r="AY3" s="2">
        <v>7537</v>
      </c>
      <c r="AZ3" s="156">
        <f t="shared" si="3"/>
        <v>0.8330938432629601</v>
      </c>
      <c r="BA3" s="2">
        <v>8382</v>
      </c>
      <c r="BB3" s="156">
        <f t="shared" si="3"/>
        <v>0.92649497070852216</v>
      </c>
      <c r="BC3" s="2">
        <v>5427</v>
      </c>
      <c r="BD3" s="156">
        <f t="shared" si="3"/>
        <v>0.59986735934563939</v>
      </c>
      <c r="BE3" s="2">
        <v>7048</v>
      </c>
      <c r="BF3" s="156">
        <f t="shared" si="3"/>
        <v>0.77904277661103127</v>
      </c>
      <c r="BG3" s="2">
        <v>8120</v>
      </c>
      <c r="BI3" s="2">
        <v>7703</v>
      </c>
      <c r="BK3" s="2">
        <v>6996</v>
      </c>
      <c r="BM3" s="2">
        <v>6861</v>
      </c>
      <c r="BO3" s="2">
        <v>6797</v>
      </c>
      <c r="BQ3" s="2">
        <v>7840</v>
      </c>
      <c r="BS3" s="2">
        <v>7042</v>
      </c>
      <c r="BU3" s="2">
        <v>6955</v>
      </c>
      <c r="BW3" s="2">
        <v>6935</v>
      </c>
      <c r="BY3" s="2">
        <v>7285</v>
      </c>
      <c r="CA3" s="2">
        <v>6662</v>
      </c>
      <c r="CC3" s="2">
        <v>8694</v>
      </c>
      <c r="CE3" s="2">
        <v>8169</v>
      </c>
      <c r="CG3" s="2">
        <v>7490</v>
      </c>
      <c r="CI3" s="2">
        <v>9011</v>
      </c>
      <c r="CK3" s="2">
        <v>7746</v>
      </c>
      <c r="CM3" s="2">
        <v>7743</v>
      </c>
      <c r="CO3" s="2">
        <v>7095</v>
      </c>
      <c r="CP3" s="2" t="s">
        <v>1718</v>
      </c>
    </row>
    <row r="4" spans="1:94" ht="15" customHeight="1">
      <c r="A4" s="726">
        <v>4</v>
      </c>
      <c r="B4" s="727" t="s">
        <v>139</v>
      </c>
      <c r="C4" s="728" t="s">
        <v>889</v>
      </c>
      <c r="AI4" s="2">
        <v>11712</v>
      </c>
      <c r="AJ4" s="2">
        <v>11878</v>
      </c>
      <c r="AK4" s="2">
        <v>11820</v>
      </c>
      <c r="AL4" s="2">
        <v>10931</v>
      </c>
      <c r="AM4" s="2">
        <v>10817</v>
      </c>
      <c r="AN4" s="156">
        <f t="shared" si="0"/>
        <v>0.92358265027322406</v>
      </c>
      <c r="AO4" s="2">
        <v>11096</v>
      </c>
      <c r="AP4" s="156">
        <f t="shared" si="1"/>
        <v>0.94740437158469948</v>
      </c>
      <c r="AQ4" s="2">
        <v>11063</v>
      </c>
      <c r="AR4" s="156">
        <f t="shared" si="2"/>
        <v>0.94458674863387981</v>
      </c>
      <c r="AS4" s="2">
        <v>10872</v>
      </c>
      <c r="AT4" s="156">
        <f t="shared" si="3"/>
        <v>0.92827868852459017</v>
      </c>
      <c r="AU4" s="2">
        <v>3501</v>
      </c>
      <c r="AV4" s="156">
        <f t="shared" si="3"/>
        <v>0.29892418032786883</v>
      </c>
      <c r="AW4" s="2">
        <v>2481</v>
      </c>
      <c r="AX4" s="156">
        <f t="shared" si="3"/>
        <v>0.21183401639344263</v>
      </c>
      <c r="AY4" s="2">
        <v>5126</v>
      </c>
      <c r="AZ4" s="156">
        <f t="shared" si="3"/>
        <v>0.43767076502732238</v>
      </c>
      <c r="BA4" s="2">
        <v>5176</v>
      </c>
      <c r="BB4" s="156">
        <f t="shared" si="3"/>
        <v>0.44193989071038253</v>
      </c>
      <c r="BC4" s="2">
        <v>4902</v>
      </c>
      <c r="BD4" s="156">
        <f t="shared" si="3"/>
        <v>0.41854508196721313</v>
      </c>
      <c r="BE4" s="2">
        <v>5076</v>
      </c>
      <c r="BF4" s="156">
        <f t="shared" si="3"/>
        <v>0.43340163934426229</v>
      </c>
      <c r="BG4" s="2">
        <v>5583</v>
      </c>
      <c r="BI4" s="2">
        <v>5426</v>
      </c>
      <c r="BK4" s="2">
        <v>5434</v>
      </c>
      <c r="BM4" s="2">
        <v>5447</v>
      </c>
      <c r="BO4" s="2">
        <v>2487</v>
      </c>
      <c r="BQ4" s="2">
        <v>2953</v>
      </c>
      <c r="BS4" s="2">
        <v>2903</v>
      </c>
      <c r="BU4" s="2">
        <v>5435</v>
      </c>
      <c r="BW4" s="2">
        <v>5169</v>
      </c>
      <c r="BY4" s="2">
        <v>5393</v>
      </c>
      <c r="CA4" s="2">
        <v>8149</v>
      </c>
      <c r="CC4" s="2">
        <v>4628</v>
      </c>
      <c r="CE4" s="2">
        <v>5169</v>
      </c>
      <c r="CG4" s="2">
        <v>4631</v>
      </c>
      <c r="CI4" s="2">
        <v>5358</v>
      </c>
      <c r="CK4" s="2">
        <v>4562</v>
      </c>
      <c r="CM4" s="2">
        <v>4767</v>
      </c>
      <c r="CO4" s="2">
        <v>4686</v>
      </c>
      <c r="CP4" s="2" t="s">
        <v>1718</v>
      </c>
    </row>
    <row r="5" spans="1:94" s="287" customFormat="1" ht="17.25" customHeight="1">
      <c r="A5" s="288">
        <v>5</v>
      </c>
      <c r="B5" s="289" t="s">
        <v>373</v>
      </c>
      <c r="C5" s="289" t="str">
        <f ca="1">E5</f>
        <v>{"titel":"Ein netter Titel","erstelltAm":"04.11.2025","jurnalArt":"Telefon","thema":"Bildung","relevantSanktion":"x","interneVerwendung":"","teilnehmende":`"Adrian Messerli",${p.FamilyName2}, ${p.ManFirstName2}`,"betroffene":`${p.FamilyName2}, ${p.WomanFirstName2}`,"notiz":"so was","dateiPfad":"C:/temp/JournalEintrag.docx"}</v>
      </c>
      <c r="D5" s="289" t="s">
        <v>28</v>
      </c>
      <c r="E5" s="289" t="str">
        <f ca="1">F5&amp;G5&amp;H5&amp;I5&amp;J5&amp;K5&amp;L5&amp;M5&amp;N5&amp;O5&amp;P5&amp;Q5&amp;R5&amp;S5&amp;T5&amp;U5&amp;V5&amp;W5&amp;X5&amp;Y5&amp;Z5&amp;AA4</f>
        <v>{"titel":"Ein netter Titel","erstelltAm":"04.11.2025","jurnalArt":"Telefon","thema":"Bildung","relevantSanktion":"x","interneVerwendung":"","teilnehmende":`"Adrian Messerli",${p.FamilyName2}, ${p.ManFirstName2}`,"betroffene":`${p.FamilyName2}, ${p.WomanFirstName2}`,"notiz":"so was","dateiPfad":"C:/temp/JournalEintrag.docx"}</v>
      </c>
      <c r="F5" s="289" t="s">
        <v>374</v>
      </c>
      <c r="G5" s="289" t="s">
        <v>890</v>
      </c>
      <c r="H5" s="289" t="s">
        <v>376</v>
      </c>
      <c r="I5" s="360" t="str">
        <f ca="1">TEXT(TODAY(),"DD")&amp;"."&amp;TEXT(TODAY(),"MM")&amp;"."&amp;TEXT(TODAY(),"YYYY")</f>
        <v>04.11.2025</v>
      </c>
      <c r="J5" s="289" t="s">
        <v>377</v>
      </c>
      <c r="K5" s="289" t="s">
        <v>394</v>
      </c>
      <c r="L5" s="289" t="s">
        <v>379</v>
      </c>
      <c r="M5" s="289" t="s">
        <v>380</v>
      </c>
      <c r="N5" s="289" t="s">
        <v>381</v>
      </c>
      <c r="O5" s="289" t="s">
        <v>170</v>
      </c>
      <c r="P5" s="289" t="s">
        <v>382</v>
      </c>
      <c r="Q5" s="289"/>
      <c r="R5" s="361" t="s">
        <v>383</v>
      </c>
      <c r="S5" s="289" t="s">
        <v>891</v>
      </c>
      <c r="T5" s="289" t="s">
        <v>385</v>
      </c>
      <c r="U5" s="289" t="s">
        <v>844</v>
      </c>
      <c r="V5" s="289" t="s">
        <v>387</v>
      </c>
      <c r="W5" s="289" t="s">
        <v>388</v>
      </c>
      <c r="X5" s="362" t="s">
        <v>1721</v>
      </c>
      <c r="Y5" s="289" t="s">
        <v>389</v>
      </c>
      <c r="Z5" s="289" t="s">
        <v>37</v>
      </c>
      <c r="AA5" s="289"/>
      <c r="AB5" s="289"/>
      <c r="AC5" s="289"/>
      <c r="AD5" s="289"/>
      <c r="AE5" s="289"/>
      <c r="AF5" s="289"/>
      <c r="AG5" s="289"/>
      <c r="AH5" s="289"/>
      <c r="AI5" s="289">
        <v>13285</v>
      </c>
      <c r="AJ5" s="289">
        <v>12421</v>
      </c>
      <c r="AK5" s="289">
        <v>12502</v>
      </c>
      <c r="AL5" s="289">
        <v>9998</v>
      </c>
      <c r="AM5" s="289">
        <v>11377</v>
      </c>
      <c r="AN5" s="290">
        <f t="shared" si="0"/>
        <v>0.85637937523522767</v>
      </c>
      <c r="AO5" s="289">
        <v>11142</v>
      </c>
      <c r="AP5" s="290">
        <f t="shared" si="1"/>
        <v>0.83869025216409487</v>
      </c>
      <c r="AQ5" s="289">
        <v>10673</v>
      </c>
      <c r="AR5" s="290">
        <f t="shared" si="2"/>
        <v>0.80338727888596162</v>
      </c>
      <c r="AS5" s="289">
        <v>11198</v>
      </c>
      <c r="AT5" s="290">
        <f t="shared" si="3"/>
        <v>0.8429055325555137</v>
      </c>
      <c r="AU5" s="289">
        <v>16870</v>
      </c>
      <c r="AV5" s="290">
        <f t="shared" si="3"/>
        <v>1.2698532179149418</v>
      </c>
      <c r="AW5" s="291">
        <v>10180</v>
      </c>
      <c r="AX5" s="290">
        <f t="shared" si="3"/>
        <v>0.76627775686864885</v>
      </c>
      <c r="AY5" s="291">
        <v>4421</v>
      </c>
      <c r="AZ5" s="290">
        <f t="shared" si="3"/>
        <v>0.33278133232969515</v>
      </c>
      <c r="BA5" s="291">
        <v>5238</v>
      </c>
      <c r="BB5" s="290">
        <f t="shared" si="3"/>
        <v>0.39427926232593152</v>
      </c>
      <c r="BC5" s="291">
        <v>4310</v>
      </c>
      <c r="BD5" s="290">
        <f t="shared" si="3"/>
        <v>0.32442604441098982</v>
      </c>
      <c r="BE5" s="287">
        <v>6118</v>
      </c>
      <c r="BF5" s="290">
        <f t="shared" si="3"/>
        <v>0.46051938276251414</v>
      </c>
      <c r="BG5" s="287">
        <v>6498</v>
      </c>
      <c r="BI5" s="287">
        <v>5535</v>
      </c>
      <c r="BK5" s="287">
        <v>6092</v>
      </c>
      <c r="BM5" s="287">
        <v>5212</v>
      </c>
      <c r="BO5" s="287">
        <v>5825</v>
      </c>
      <c r="BQ5" s="287">
        <v>6641</v>
      </c>
      <c r="BS5" s="287">
        <v>5422</v>
      </c>
      <c r="BU5" s="287">
        <v>7991</v>
      </c>
      <c r="BW5" s="287">
        <v>7193</v>
      </c>
      <c r="BY5" s="287">
        <v>7316</v>
      </c>
      <c r="CA5" s="287">
        <v>9358</v>
      </c>
      <c r="CC5" s="287">
        <v>5934</v>
      </c>
      <c r="CE5" s="287">
        <v>6246</v>
      </c>
      <c r="CG5" s="287">
        <v>4943</v>
      </c>
      <c r="CI5" s="287">
        <v>8168</v>
      </c>
      <c r="CK5" s="287">
        <v>6038</v>
      </c>
      <c r="CM5" s="287">
        <v>9819</v>
      </c>
      <c r="CO5" s="287">
        <v>4703</v>
      </c>
      <c r="CP5" s="287" t="s">
        <v>1718</v>
      </c>
    </row>
    <row r="6" spans="1:94">
      <c r="AN6" s="156"/>
      <c r="AP6" s="156"/>
      <c r="AR6" s="156"/>
      <c r="AT6" s="156"/>
      <c r="AV6" s="156"/>
      <c r="AX6" s="156"/>
      <c r="AZ6" s="156"/>
      <c r="BB6" s="156"/>
      <c r="BD6" s="156"/>
      <c r="BF6" s="156"/>
    </row>
    <row r="7" spans="1:94">
      <c r="C7" s="2" t="s">
        <v>892</v>
      </c>
      <c r="AN7" s="156"/>
      <c r="AP7" s="156"/>
      <c r="AR7" s="156"/>
      <c r="AT7" s="156"/>
      <c r="AV7" s="156"/>
      <c r="AX7" s="156"/>
      <c r="AZ7" s="156"/>
      <c r="BB7" s="156"/>
      <c r="BD7" s="156"/>
      <c r="BF7" s="156"/>
    </row>
    <row r="8" spans="1:94"/>
    <row r="9" spans="1:94"/>
    <row r="10" spans="1:94"/>
    <row r="11" spans="1:94"/>
    <row r="12" spans="1:94"/>
    <row r="13" spans="1:94"/>
    <row r="14" spans="1:94"/>
    <row r="15" spans="1:94"/>
    <row r="16" spans="1:94"/>
    <row r="17" spans="3:3"/>
    <row r="18" spans="3:3"/>
    <row r="19" spans="3:3"/>
    <row r="20" spans="3:3"/>
    <row r="21" spans="3:3"/>
    <row r="22" spans="3:3"/>
    <row r="23" spans="3:3"/>
    <row r="24" spans="3:3"/>
    <row r="25" spans="3:3"/>
    <row r="26" spans="3:3"/>
    <row r="27" spans="3:3">
      <c r="C27" s="3">
        <f>E27</f>
        <v>0</v>
      </c>
    </row>
  </sheetData>
  <conditionalFormatting sqref="AN2:AN146 AP2:AP146 AR2:AR146 AT2:AT146 AV2:AV146 AX2:AX146 AZ2:AZ146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orientation="portrait" useFirstPageNumber="1" horizontalDpi="4294967295" verticalDpi="429496729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92D050"/>
  </sheetPr>
  <dimension ref="A1:CP4"/>
  <sheetViews>
    <sheetView zoomScale="115" zoomScaleNormal="115" workbookViewId="0">
      <pane xSplit="2" ySplit="1" topLeftCell="AS2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5.75" customHeight="1"/>
  <cols>
    <col min="1" max="1" width="4.85546875" style="1" customWidth="1"/>
    <col min="2" max="2" width="30.85546875" style="2" customWidth="1"/>
    <col min="3" max="3" width="129.8554687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9" width="9.85546875" style="2" customWidth="1"/>
    <col min="10" max="10" width="10.140625" style="2" customWidth="1"/>
    <col min="11" max="11" width="18.140625" style="2" customWidth="1"/>
    <col min="12" max="12" width="9.140625" style="2" customWidth="1"/>
    <col min="13" max="13" width="10.7109375" style="2" customWidth="1"/>
    <col min="14" max="14" width="9.140625" style="2" customWidth="1"/>
    <col min="15" max="15" width="22.5703125" style="2" customWidth="1"/>
    <col min="16" max="16" width="13.5703125" style="2" customWidth="1"/>
    <col min="17" max="17" width="24.5703125" style="2" customWidth="1"/>
    <col min="18" max="34" width="9.140625" style="2" customWidth="1"/>
    <col min="35" max="36" width="10.42578125" style="2" customWidth="1"/>
    <col min="37" max="39" width="10.5703125" style="2" customWidth="1"/>
    <col min="40" max="40" width="10" style="12" customWidth="1"/>
    <col min="41" max="41" width="10.5703125" style="2" customWidth="1"/>
    <col min="42" max="42" width="10" style="12" customWidth="1"/>
    <col min="43" max="43" width="10.5703125" style="2" customWidth="1"/>
    <col min="44" max="44" width="10.5703125" style="12" customWidth="1"/>
    <col min="45" max="45" width="10.5703125" style="2" customWidth="1"/>
    <col min="46" max="46" width="10.5703125" style="12" customWidth="1"/>
    <col min="47" max="47" width="12.28515625" style="2" customWidth="1"/>
    <col min="48" max="48" width="10.5703125" style="12" customWidth="1"/>
    <col min="49" max="49" width="10.42578125" style="2" customWidth="1"/>
    <col min="50" max="50" width="10.5703125" style="12" customWidth="1"/>
    <col min="51" max="51" width="10.140625" style="2" customWidth="1"/>
    <col min="52" max="52" width="10.140625" style="12" customWidth="1"/>
    <col min="53" max="53" width="10.140625" style="2" customWidth="1"/>
    <col min="54" max="54" width="10.140625" style="12" customWidth="1"/>
    <col min="55" max="55" width="10.140625" style="2" customWidth="1"/>
    <col min="56" max="56" width="10.140625" style="12" customWidth="1"/>
    <col min="57" max="57" width="10.140625" style="2" customWidth="1"/>
    <col min="58" max="58" width="10.140625" style="1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15.75" customHeight="1">
      <c r="A1" s="239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14*60*1000*SpeedFaktor</f>
        <v>840000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489</v>
      </c>
      <c r="AM1" s="2" t="s">
        <v>10</v>
      </c>
      <c r="AN1" s="24" t="s">
        <v>8</v>
      </c>
      <c r="AO1" s="2" t="s">
        <v>11</v>
      </c>
      <c r="AP1" s="24" t="s">
        <v>8</v>
      </c>
      <c r="AQ1" s="2" t="s">
        <v>12</v>
      </c>
      <c r="AR1" s="24" t="s">
        <v>8</v>
      </c>
      <c r="AS1" s="53" t="s">
        <v>13</v>
      </c>
      <c r="AT1" s="24" t="s">
        <v>8</v>
      </c>
      <c r="AU1" s="53" t="s">
        <v>65</v>
      </c>
      <c r="AV1" s="24" t="s">
        <v>8</v>
      </c>
      <c r="AW1" s="53" t="s">
        <v>15</v>
      </c>
      <c r="AX1" s="24" t="s">
        <v>8</v>
      </c>
      <c r="AY1" s="10" t="s">
        <v>17</v>
      </c>
      <c r="AZ1" s="187" t="s">
        <v>8</v>
      </c>
      <c r="BA1" s="12" t="s">
        <v>1285</v>
      </c>
      <c r="BB1" s="187" t="s">
        <v>8</v>
      </c>
      <c r="BC1" s="12" t="s">
        <v>1286</v>
      </c>
      <c r="BD1" s="187" t="s">
        <v>8</v>
      </c>
      <c r="BE1" s="731" t="s">
        <v>1303</v>
      </c>
      <c r="BF1" s="187" t="s">
        <v>8</v>
      </c>
      <c r="BG1" s="855" t="s">
        <v>1311</v>
      </c>
      <c r="BH1" s="856" t="s">
        <v>572</v>
      </c>
      <c r="BI1" s="979" t="s">
        <v>1318</v>
      </c>
      <c r="BJ1" s="980" t="s">
        <v>572</v>
      </c>
      <c r="BK1" s="1127" t="s">
        <v>1324</v>
      </c>
      <c r="BL1" s="1128" t="s">
        <v>572</v>
      </c>
      <c r="BM1" s="1330" t="s">
        <v>1341</v>
      </c>
      <c r="BN1" s="1331" t="s">
        <v>572</v>
      </c>
      <c r="BO1" s="1584" t="s">
        <v>1363</v>
      </c>
      <c r="BP1" s="1585" t="s">
        <v>572</v>
      </c>
      <c r="BQ1" s="1724" t="s">
        <v>1368</v>
      </c>
      <c r="BR1" s="1725" t="s">
        <v>572</v>
      </c>
      <c r="BS1" s="1865" t="s">
        <v>1372</v>
      </c>
      <c r="BT1" s="1866" t="s">
        <v>572</v>
      </c>
      <c r="BU1" s="2145" t="s">
        <v>1397</v>
      </c>
      <c r="BV1" s="2146" t="s">
        <v>572</v>
      </c>
      <c r="BW1" s="2328" t="s">
        <v>1421</v>
      </c>
      <c r="BX1" s="2329" t="s">
        <v>572</v>
      </c>
      <c r="BY1" s="2490" t="s">
        <v>1434</v>
      </c>
      <c r="BZ1" s="2491" t="s">
        <v>572</v>
      </c>
      <c r="CA1" s="2651" t="s">
        <v>1442</v>
      </c>
      <c r="CB1" s="2652" t="s">
        <v>572</v>
      </c>
      <c r="CC1" s="2836" t="s">
        <v>1460</v>
      </c>
      <c r="CD1" s="2837" t="s">
        <v>572</v>
      </c>
      <c r="CE1" s="3018" t="s">
        <v>1472</v>
      </c>
      <c r="CF1" s="3019" t="s">
        <v>572</v>
      </c>
      <c r="CG1" s="3208" t="s">
        <v>1492</v>
      </c>
      <c r="CH1" s="3209" t="s">
        <v>572</v>
      </c>
      <c r="CI1" s="3382" t="s">
        <v>1503</v>
      </c>
      <c r="CJ1" s="3383" t="s">
        <v>572</v>
      </c>
      <c r="CK1" s="3570" t="s">
        <v>1519</v>
      </c>
      <c r="CL1" s="3571" t="s">
        <v>572</v>
      </c>
      <c r="CM1" s="3866" t="s">
        <v>1666</v>
      </c>
      <c r="CN1" s="3867" t="s">
        <v>572</v>
      </c>
      <c r="CO1" s="4085" t="s">
        <v>1717</v>
      </c>
      <c r="CP1" s="4086" t="s">
        <v>572</v>
      </c>
    </row>
    <row r="2" spans="1:94" s="10" customFormat="1" ht="15.75" customHeight="1">
      <c r="A2" s="363">
        <v>1</v>
      </c>
      <c r="B2" s="3" t="s">
        <v>21</v>
      </c>
      <c r="C2" s="11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>
        <v>2045</v>
      </c>
      <c r="AJ2" s="3">
        <v>2131</v>
      </c>
      <c r="AK2" s="3">
        <v>2065</v>
      </c>
      <c r="AL2" s="3">
        <v>2964</v>
      </c>
      <c r="AM2" s="2">
        <v>1882</v>
      </c>
      <c r="AN2" s="156">
        <f>AM2/($AI2)</f>
        <v>0.92029339853300729</v>
      </c>
      <c r="AO2" s="2">
        <v>2662</v>
      </c>
      <c r="AP2" s="156">
        <f>AO2/($AI2)</f>
        <v>1.3017114914425427</v>
      </c>
      <c r="AQ2" s="2">
        <v>1385</v>
      </c>
      <c r="AR2" s="156">
        <f>AQ2/($AI2)</f>
        <v>0.6772616136919315</v>
      </c>
      <c r="AS2" s="2">
        <v>1847</v>
      </c>
      <c r="AT2" s="156">
        <f>AS2/($AI2)</f>
        <v>0.9031784841075795</v>
      </c>
      <c r="AU2" s="2">
        <v>2756</v>
      </c>
      <c r="AV2" s="156">
        <f>AU2/($AI2)</f>
        <v>1.3476772616136918</v>
      </c>
      <c r="AW2" s="2">
        <v>1214</v>
      </c>
      <c r="AX2" s="156">
        <f>AW2/($AI2)</f>
        <v>0.59364303178484112</v>
      </c>
      <c r="AY2" s="2">
        <v>1235</v>
      </c>
      <c r="AZ2" s="156">
        <f>AY2/($AI2)</f>
        <v>0.60391198044009775</v>
      </c>
      <c r="BA2" s="2">
        <v>1017</v>
      </c>
      <c r="BB2" s="156">
        <f>BA2/($AI2)</f>
        <v>0.49731051344743277</v>
      </c>
      <c r="BC2" s="2">
        <v>578</v>
      </c>
      <c r="BD2" s="156">
        <f>BC2/($AI2)</f>
        <v>0.282640586797066</v>
      </c>
      <c r="BE2" s="10">
        <v>1121</v>
      </c>
      <c r="BF2" s="156">
        <f>BE2/($AI2)</f>
        <v>0.54816625916870421</v>
      </c>
      <c r="BG2" s="10">
        <v>1292</v>
      </c>
      <c r="BI2" s="10">
        <v>1204</v>
      </c>
      <c r="BK2" s="10">
        <v>1216</v>
      </c>
      <c r="BM2" s="10">
        <v>1144</v>
      </c>
      <c r="BO2" s="10">
        <v>1200</v>
      </c>
      <c r="BQ2" s="10">
        <v>1212</v>
      </c>
      <c r="BS2" s="10">
        <v>1330</v>
      </c>
      <c r="BU2" s="10">
        <v>1713</v>
      </c>
      <c r="BW2" s="10">
        <v>1761</v>
      </c>
      <c r="BY2" s="10">
        <v>1672</v>
      </c>
      <c r="CA2" s="10">
        <v>1056</v>
      </c>
      <c r="CC2" s="10">
        <v>1277</v>
      </c>
      <c r="CE2" s="10">
        <v>1475</v>
      </c>
      <c r="CG2" s="10">
        <v>1072</v>
      </c>
      <c r="CI2" s="10">
        <v>1174</v>
      </c>
      <c r="CK2" s="10">
        <v>1118</v>
      </c>
      <c r="CM2" s="10">
        <v>907</v>
      </c>
      <c r="CO2" s="10">
        <v>368</v>
      </c>
      <c r="CP2" s="10" t="s">
        <v>1718</v>
      </c>
    </row>
    <row r="3" spans="1:94" s="10" customFormat="1" ht="15.75" customHeight="1" thickBot="1">
      <c r="A3" s="363">
        <v>2</v>
      </c>
      <c r="B3" s="3" t="s">
        <v>25</v>
      </c>
      <c r="C3" s="19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>
        <v>8535</v>
      </c>
      <c r="AJ3" s="3">
        <v>6721</v>
      </c>
      <c r="AK3" s="3">
        <v>6686</v>
      </c>
      <c r="AL3" s="3">
        <v>8939</v>
      </c>
      <c r="AM3" s="2">
        <v>10518</v>
      </c>
      <c r="AN3" s="156">
        <f t="shared" ref="AN3:AN4" si="0">AM3/($AI3)</f>
        <v>1.2323374340949034</v>
      </c>
      <c r="AO3" s="2">
        <v>9374</v>
      </c>
      <c r="AP3" s="156">
        <f t="shared" ref="AP3:AP4" si="1">AO3/($AI3)</f>
        <v>1.0983011130638547</v>
      </c>
      <c r="AQ3" s="2">
        <v>8784</v>
      </c>
      <c r="AR3" s="156">
        <f t="shared" ref="AR3:AR4" si="2">AQ3/($AI3)</f>
        <v>1.0291739894551846</v>
      </c>
      <c r="AS3" s="2">
        <v>9319</v>
      </c>
      <c r="AT3" s="156">
        <f t="shared" ref="AT3:BF4" si="3">AS3/($AI3)</f>
        <v>1.0918570591681311</v>
      </c>
      <c r="AU3" s="2">
        <v>17245</v>
      </c>
      <c r="AV3" s="156">
        <f t="shared" si="3"/>
        <v>2.0205038078500293</v>
      </c>
      <c r="AW3" s="2">
        <v>8776</v>
      </c>
      <c r="AX3" s="156">
        <f t="shared" si="3"/>
        <v>1.0282366725248975</v>
      </c>
      <c r="AY3" s="2">
        <v>7524</v>
      </c>
      <c r="AZ3" s="156">
        <f t="shared" si="3"/>
        <v>0.88154657293497363</v>
      </c>
      <c r="BA3" s="2">
        <v>7628</v>
      </c>
      <c r="BB3" s="156">
        <f t="shared" si="3"/>
        <v>0.89373169302870537</v>
      </c>
      <c r="BC3" s="2">
        <v>5509</v>
      </c>
      <c r="BD3" s="156">
        <f t="shared" si="3"/>
        <v>0.64545987111892211</v>
      </c>
      <c r="BE3" s="10">
        <v>7137</v>
      </c>
      <c r="BF3" s="156">
        <f t="shared" si="3"/>
        <v>0.83620386643233746</v>
      </c>
      <c r="BG3" s="10">
        <v>7276</v>
      </c>
      <c r="BI3" s="10">
        <v>7154</v>
      </c>
      <c r="BK3" s="10">
        <v>7425</v>
      </c>
      <c r="BM3" s="10">
        <v>7260</v>
      </c>
      <c r="BO3" s="10">
        <v>6780</v>
      </c>
      <c r="BQ3" s="10">
        <v>8523</v>
      </c>
      <c r="BS3" s="10">
        <v>6898</v>
      </c>
      <c r="BU3" s="10">
        <v>6650</v>
      </c>
      <c r="BW3" s="10">
        <v>7067</v>
      </c>
      <c r="BY3" s="10">
        <v>6909</v>
      </c>
      <c r="CA3" s="10">
        <v>6773</v>
      </c>
      <c r="CC3" s="10">
        <v>9447</v>
      </c>
      <c r="CE3" s="10">
        <v>7643</v>
      </c>
      <c r="CG3" s="10">
        <v>7854</v>
      </c>
      <c r="CI3" s="10">
        <v>9583</v>
      </c>
      <c r="CK3" s="10">
        <v>8140</v>
      </c>
      <c r="CM3" s="10">
        <v>8187</v>
      </c>
      <c r="CO3" s="10">
        <v>5956</v>
      </c>
      <c r="CP3" s="10" t="s">
        <v>1718</v>
      </c>
    </row>
    <row r="4" spans="1:94" s="304" customFormat="1" ht="15.75" customHeight="1" thickBot="1">
      <c r="A4" s="364">
        <v>4</v>
      </c>
      <c r="B4" s="329" t="s">
        <v>893</v>
      </c>
      <c r="C4" s="329" t="str">
        <f ca="1">E4</f>
        <v>{"dossier":p.DossierName2,"erstelltAm":"04.11.2025","titel":"Ein netter Titel","deleteBetroffene":``,"adBetroffene":`${p.FamilyName2}, ${p.GirlFirstName2}`,"adDocument":"c:/temp/JournalEintrag2.docx","atNameOrInstitution":"","noteTextAsFollows":"wichtig ist alles"}</v>
      </c>
      <c r="D4" s="329" t="s">
        <v>28</v>
      </c>
      <c r="E4" s="329" t="str">
        <f ca="1">F4&amp;G4&amp;H4&amp;I4&amp;J4&amp;K4&amp;L4&amp;M4&amp;N4&amp;O4&amp;P4&amp;Q4&amp;R4&amp;S4&amp;T4&amp;U4&amp;V4&amp;W4&amp;X4&amp;Y4&amp;Z4&amp;AA4&amp;AB4&amp;AC4&amp;AD4&amp;AE4&amp;AF4&amp;AG4</f>
        <v>{"dossier":p.DossierName2,"erstelltAm":"04.11.2025","titel":"Ein netter Titel","deleteBetroffene":``,"adBetroffene":`${p.FamilyName2}, ${p.GirlFirstName2}`,"adDocument":"c:/temp/JournalEintrag2.docx","atNameOrInstitution":"","noteTextAsFollows":"wichtig ist alles"}</v>
      </c>
      <c r="F4" s="329" t="s">
        <v>159</v>
      </c>
      <c r="G4" s="329" t="s">
        <v>513</v>
      </c>
      <c r="H4" s="329" t="s">
        <v>894</v>
      </c>
      <c r="I4" s="365" t="str">
        <f ca="1">'PH01'!I5</f>
        <v>04.11.2025</v>
      </c>
      <c r="J4" s="329" t="s">
        <v>442</v>
      </c>
      <c r="K4" s="329" t="str">
        <f>'PH01'!G5</f>
        <v>Ein netter Titel</v>
      </c>
      <c r="L4" s="329" t="s">
        <v>895</v>
      </c>
      <c r="M4" s="289"/>
      <c r="N4" s="329" t="s">
        <v>896</v>
      </c>
      <c r="O4" s="329" t="s">
        <v>897</v>
      </c>
      <c r="P4" s="329" t="s">
        <v>898</v>
      </c>
      <c r="Q4" s="329" t="s">
        <v>899</v>
      </c>
      <c r="R4" s="329" t="s">
        <v>900</v>
      </c>
      <c r="S4" s="342"/>
      <c r="T4" s="329" t="s">
        <v>901</v>
      </c>
      <c r="U4" s="329" t="s">
        <v>902</v>
      </c>
      <c r="V4" s="329" t="s">
        <v>37</v>
      </c>
      <c r="W4" s="289"/>
      <c r="X4" s="289"/>
      <c r="Y4" s="289"/>
      <c r="Z4" s="289"/>
      <c r="AA4" s="289"/>
      <c r="AB4" s="289"/>
      <c r="AC4" s="289"/>
      <c r="AD4" s="289"/>
      <c r="AE4" s="289"/>
      <c r="AF4" s="289"/>
      <c r="AG4" s="289"/>
      <c r="AH4" s="289"/>
      <c r="AI4" s="313">
        <v>19012</v>
      </c>
      <c r="AJ4" s="313">
        <v>18814</v>
      </c>
      <c r="AK4" s="313">
        <v>18773</v>
      </c>
      <c r="AL4" s="313">
        <v>15925</v>
      </c>
      <c r="AM4" s="289">
        <v>16568</v>
      </c>
      <c r="AN4" s="290">
        <f t="shared" si="0"/>
        <v>0.87144961077214389</v>
      </c>
      <c r="AO4" s="289">
        <v>16827</v>
      </c>
      <c r="AP4" s="290">
        <f t="shared" si="1"/>
        <v>0.8850725857353251</v>
      </c>
      <c r="AQ4" s="289">
        <v>16621</v>
      </c>
      <c r="AR4" s="290">
        <f t="shared" si="2"/>
        <v>0.87423732379549757</v>
      </c>
      <c r="AS4" s="289">
        <v>16688</v>
      </c>
      <c r="AT4" s="290">
        <f t="shared" si="3"/>
        <v>0.87776141384388806</v>
      </c>
      <c r="AU4" s="289">
        <v>16046</v>
      </c>
      <c r="AV4" s="290">
        <f t="shared" si="3"/>
        <v>0.84399326741005676</v>
      </c>
      <c r="AW4" s="291">
        <v>9728</v>
      </c>
      <c r="AX4" s="290">
        <f t="shared" si="3"/>
        <v>0.51167683568272671</v>
      </c>
      <c r="AY4" s="291">
        <v>7841</v>
      </c>
      <c r="AZ4" s="290">
        <f t="shared" si="3"/>
        <v>0.41242373237954977</v>
      </c>
      <c r="BA4" s="291">
        <v>7828</v>
      </c>
      <c r="BB4" s="290">
        <f t="shared" si="3"/>
        <v>0.41173995371344413</v>
      </c>
      <c r="BC4" s="291">
        <v>8008</v>
      </c>
      <c r="BD4" s="290">
        <f t="shared" si="3"/>
        <v>0.42120765832106039</v>
      </c>
      <c r="BE4" s="304">
        <v>7942</v>
      </c>
      <c r="BF4" s="290">
        <f t="shared" si="3"/>
        <v>0.41773616663160107</v>
      </c>
      <c r="BG4" s="304">
        <v>9504</v>
      </c>
      <c r="BI4" s="304">
        <v>8799</v>
      </c>
      <c r="BK4" s="304">
        <v>8752</v>
      </c>
      <c r="BM4" s="304">
        <v>8014</v>
      </c>
      <c r="BO4" s="304">
        <v>5811</v>
      </c>
      <c r="BQ4" s="304">
        <v>7662</v>
      </c>
      <c r="BS4" s="304">
        <v>5660</v>
      </c>
      <c r="BU4" s="304">
        <v>8296</v>
      </c>
      <c r="BW4" s="304">
        <v>13353</v>
      </c>
      <c r="BY4" s="304">
        <v>8188</v>
      </c>
      <c r="CA4" s="304">
        <v>8158</v>
      </c>
      <c r="CC4" s="304">
        <v>7838</v>
      </c>
      <c r="CE4" s="304">
        <v>8381</v>
      </c>
      <c r="CG4" s="304">
        <v>8470</v>
      </c>
      <c r="CI4" s="304">
        <v>8596</v>
      </c>
      <c r="CK4" s="304">
        <v>7641</v>
      </c>
      <c r="CM4" s="304">
        <v>6717</v>
      </c>
      <c r="CO4" s="304">
        <v>9255</v>
      </c>
      <c r="CP4" s="304" t="s">
        <v>1718</v>
      </c>
    </row>
  </sheetData>
  <conditionalFormatting sqref="AN2:AN146 AP2:AP146 AR2:AR146 AT2:AT146 AV2:AV146 AX2:AX146 AZ2:AZ146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2D050"/>
  </sheetPr>
  <dimension ref="A1:CP70"/>
  <sheetViews>
    <sheetView zoomScaleNormal="100" workbookViewId="0">
      <pane xSplit="2" ySplit="1" topLeftCell="D2" activePane="bottomRight" state="frozen"/>
      <selection activeCell="B23" sqref="B23"/>
      <selection pane="topRight" activeCell="B23" sqref="B23"/>
      <selection pane="bottomLeft" activeCell="B23" sqref="B23"/>
      <selection pane="bottomRight" activeCell="I6" sqref="I6"/>
    </sheetView>
  </sheetViews>
  <sheetFormatPr defaultColWidth="9.140625" defaultRowHeight="14.25" customHeight="1"/>
  <cols>
    <col min="1" max="1" width="9.140625" style="1" customWidth="1"/>
    <col min="2" max="2" width="49" style="2" customWidth="1"/>
    <col min="3" max="3" width="14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8.42578125" style="2" customWidth="1"/>
    <col min="10" max="10" width="19.8554687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13.5703125" style="2" customWidth="1"/>
    <col min="17" max="17" width="24.5703125" style="2" customWidth="1"/>
    <col min="18" max="34" width="9.140625" style="2" customWidth="1"/>
    <col min="35" max="38" width="9.85546875" style="2" customWidth="1"/>
    <col min="39" max="39" width="9.85546875" style="12" customWidth="1"/>
    <col min="40" max="40" width="9.85546875" style="2" customWidth="1"/>
    <col min="41" max="41" width="9.85546875" style="12" customWidth="1"/>
    <col min="42" max="42" width="9.85546875" style="2" customWidth="1"/>
    <col min="43" max="43" width="9.85546875" style="12" customWidth="1"/>
    <col min="44" max="44" width="9.85546875" style="2" customWidth="1"/>
    <col min="45" max="45" width="9.85546875" style="12" customWidth="1"/>
    <col min="46" max="46" width="10.85546875" style="664" customWidth="1"/>
    <col min="47" max="47" width="9.85546875" style="363" customWidth="1"/>
    <col min="48" max="48" width="10.5703125" style="664" customWidth="1"/>
    <col min="49" max="49" width="9.85546875" style="363" customWidth="1"/>
    <col min="50" max="50" width="11.5703125" style="664" customWidth="1"/>
    <col min="51" max="51" width="11.5703125" style="363" customWidth="1"/>
    <col min="52" max="52" width="11.5703125" style="664" customWidth="1"/>
    <col min="53" max="53" width="11.5703125" style="363" customWidth="1"/>
    <col min="54" max="54" width="11.5703125" style="664" customWidth="1"/>
    <col min="55" max="55" width="11.5703125" style="363" customWidth="1"/>
    <col min="56" max="56" width="11.5703125" style="664" customWidth="1"/>
    <col min="57" max="57" width="11.5703125" style="363" customWidth="1"/>
    <col min="58" max="58" width="9.140625" style="2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16.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2*60*1000*SpeedFaktor</f>
        <v>120000</v>
      </c>
      <c r="H1" s="2">
        <v>100</v>
      </c>
      <c r="AH1" s="2" t="s">
        <v>5</v>
      </c>
      <c r="AI1" s="2" t="s">
        <v>657</v>
      </c>
      <c r="AJ1" s="2" t="s">
        <v>658</v>
      </c>
      <c r="AK1" s="2" t="s">
        <v>489</v>
      </c>
      <c r="AL1" s="2" t="s">
        <v>10</v>
      </c>
      <c r="AM1" s="24" t="s">
        <v>8</v>
      </c>
      <c r="AN1" s="2" t="s">
        <v>11</v>
      </c>
      <c r="AO1" s="24" t="s">
        <v>8</v>
      </c>
      <c r="AP1" s="2" t="s">
        <v>12</v>
      </c>
      <c r="AQ1" s="24" t="s">
        <v>8</v>
      </c>
      <c r="AR1" s="2" t="s">
        <v>13</v>
      </c>
      <c r="AS1" s="24" t="s">
        <v>8</v>
      </c>
      <c r="AT1" s="664" t="s">
        <v>65</v>
      </c>
      <c r="AU1" s="732" t="s">
        <v>8</v>
      </c>
      <c r="AV1" s="664" t="s">
        <v>15</v>
      </c>
      <c r="AW1" s="741" t="s">
        <v>8</v>
      </c>
      <c r="AX1" s="742" t="s">
        <v>17</v>
      </c>
      <c r="AY1" s="743" t="s">
        <v>8</v>
      </c>
      <c r="AZ1" s="742" t="s">
        <v>1285</v>
      </c>
      <c r="BA1" s="743" t="s">
        <v>8</v>
      </c>
      <c r="BB1" s="742" t="s">
        <v>1286</v>
      </c>
      <c r="BC1" s="743" t="s">
        <v>8</v>
      </c>
      <c r="BD1" s="744" t="s">
        <v>1303</v>
      </c>
      <c r="BE1" s="743" t="s">
        <v>8</v>
      </c>
      <c r="BG1" s="857" t="s">
        <v>1311</v>
      </c>
      <c r="BH1" s="858" t="s">
        <v>572</v>
      </c>
      <c r="BI1" s="981" t="s">
        <v>1318</v>
      </c>
      <c r="BJ1" s="982" t="s">
        <v>572</v>
      </c>
      <c r="BK1" s="1129" t="s">
        <v>1324</v>
      </c>
      <c r="BL1" s="1130" t="s">
        <v>572</v>
      </c>
      <c r="BM1" s="1332" t="s">
        <v>1341</v>
      </c>
      <c r="BN1" s="1333" t="s">
        <v>572</v>
      </c>
      <c r="BO1" s="1586" t="s">
        <v>1363</v>
      </c>
      <c r="BP1" s="1587" t="s">
        <v>572</v>
      </c>
      <c r="BQ1" s="1726" t="s">
        <v>1368</v>
      </c>
      <c r="BR1" s="1727" t="s">
        <v>572</v>
      </c>
      <c r="BS1" s="1867" t="s">
        <v>1372</v>
      </c>
      <c r="BT1" s="1868" t="s">
        <v>572</v>
      </c>
      <c r="BU1" s="2147" t="s">
        <v>1397</v>
      </c>
      <c r="BV1" s="2148" t="s">
        <v>572</v>
      </c>
      <c r="BW1" s="2330" t="s">
        <v>1421</v>
      </c>
      <c r="BX1" s="2331" t="s">
        <v>572</v>
      </c>
      <c r="BY1" s="2492" t="s">
        <v>1434</v>
      </c>
      <c r="BZ1" s="2493" t="s">
        <v>572</v>
      </c>
      <c r="CA1" s="2653" t="s">
        <v>1442</v>
      </c>
      <c r="CB1" s="2654" t="s">
        <v>572</v>
      </c>
      <c r="CC1" s="2838" t="s">
        <v>1460</v>
      </c>
      <c r="CD1" s="2839" t="s">
        <v>572</v>
      </c>
      <c r="CE1" s="3020" t="s">
        <v>1472</v>
      </c>
      <c r="CF1" s="3021" t="s">
        <v>572</v>
      </c>
      <c r="CG1" s="3210" t="s">
        <v>1492</v>
      </c>
      <c r="CH1" s="3211" t="s">
        <v>572</v>
      </c>
      <c r="CI1" s="3384" t="s">
        <v>1503</v>
      </c>
      <c r="CJ1" s="3385" t="s">
        <v>572</v>
      </c>
      <c r="CK1" s="3572" t="s">
        <v>1519</v>
      </c>
      <c r="CL1" s="3573" t="s">
        <v>572</v>
      </c>
      <c r="CM1" s="3868" t="s">
        <v>1666</v>
      </c>
      <c r="CN1" s="3869" t="s">
        <v>572</v>
      </c>
      <c r="CO1" s="4087" t="s">
        <v>1717</v>
      </c>
      <c r="CP1" s="4088" t="s">
        <v>572</v>
      </c>
    </row>
    <row r="2" spans="1:94" ht="14.25" customHeight="1">
      <c r="A2" s="1">
        <v>1</v>
      </c>
      <c r="B2" s="2" t="s">
        <v>21</v>
      </c>
      <c r="C2" s="272" t="str">
        <f>'001a'!B59</f>
        <v>{"url":p.aventisURL}</v>
      </c>
      <c r="AI2" s="2">
        <v>2255</v>
      </c>
      <c r="AJ2" s="2">
        <v>2157</v>
      </c>
      <c r="AK2" s="2">
        <v>1496</v>
      </c>
      <c r="AL2" s="2">
        <v>1589</v>
      </c>
      <c r="AM2" s="156">
        <f>AL2/($AI2)</f>
        <v>0.70465631929046568</v>
      </c>
      <c r="AN2" s="2">
        <v>1697</v>
      </c>
      <c r="AO2" s="156">
        <f>AN2/($AI2)</f>
        <v>0.752549889135255</v>
      </c>
      <c r="AP2" s="2">
        <v>1540</v>
      </c>
      <c r="AQ2" s="156">
        <f>AP2/($AI2)</f>
        <v>0.68292682926829273</v>
      </c>
      <c r="AR2" s="2">
        <v>1399</v>
      </c>
      <c r="AS2" s="156">
        <f>AR2/($AI2)</f>
        <v>0.62039911308203988</v>
      </c>
      <c r="AT2" s="664">
        <v>2794</v>
      </c>
      <c r="AU2" s="733">
        <f>AT2/($AI2)</f>
        <v>1.2390243902439024</v>
      </c>
      <c r="AV2" s="664">
        <v>1217</v>
      </c>
      <c r="AW2" s="733">
        <f>AV2/($AI2)</f>
        <v>0.53968957871396894</v>
      </c>
      <c r="AX2" s="664">
        <v>1258</v>
      </c>
      <c r="AY2" s="733">
        <f>AX2/($AI2)</f>
        <v>0.55787139689578713</v>
      </c>
      <c r="AZ2" s="664">
        <v>1170</v>
      </c>
      <c r="BA2" s="733">
        <f>AZ2/($AI2)</f>
        <v>0.51884700665188466</v>
      </c>
      <c r="BB2" s="664">
        <v>550</v>
      </c>
      <c r="BC2" s="733">
        <f>BB2/($AI2)</f>
        <v>0.24390243902439024</v>
      </c>
      <c r="BD2" s="664">
        <v>1247</v>
      </c>
      <c r="BE2" s="733">
        <f>BD2/($AI2)</f>
        <v>0.55299334811529932</v>
      </c>
      <c r="BG2" s="2">
        <v>1381</v>
      </c>
      <c r="BI2" s="2">
        <v>1222</v>
      </c>
      <c r="BK2" s="2">
        <v>1226</v>
      </c>
      <c r="BM2" s="2">
        <v>1231</v>
      </c>
      <c r="BO2" s="2">
        <v>1131</v>
      </c>
      <c r="BQ2" s="2">
        <v>1190</v>
      </c>
      <c r="BS2" s="2">
        <v>1211</v>
      </c>
      <c r="BU2" s="2">
        <v>1664</v>
      </c>
      <c r="BW2" s="2">
        <v>1701</v>
      </c>
      <c r="BY2" s="2">
        <v>1607</v>
      </c>
      <c r="CA2" s="2">
        <v>1105</v>
      </c>
      <c r="CC2" s="2">
        <v>1200</v>
      </c>
      <c r="CE2" s="2">
        <v>1526</v>
      </c>
      <c r="CG2" s="2">
        <v>1111</v>
      </c>
      <c r="CI2" s="2">
        <v>1163</v>
      </c>
      <c r="CK2" s="2">
        <v>1158</v>
      </c>
      <c r="CM2" s="2">
        <v>906</v>
      </c>
      <c r="CO2" s="2">
        <v>425</v>
      </c>
      <c r="CP2" s="2" t="s">
        <v>1718</v>
      </c>
    </row>
    <row r="3" spans="1:94" ht="14.25" customHeight="1">
      <c r="A3" s="1">
        <v>2</v>
      </c>
      <c r="B3" s="2" t="s">
        <v>25</v>
      </c>
      <c r="C3" s="3" t="s">
        <v>633</v>
      </c>
      <c r="AI3" s="2">
        <v>8845</v>
      </c>
      <c r="AJ3" s="2">
        <v>6890</v>
      </c>
      <c r="AK3" s="2">
        <v>8670</v>
      </c>
      <c r="AL3" s="2">
        <v>9589</v>
      </c>
      <c r="AM3" s="156">
        <f t="shared" ref="AM3:AM5" si="0">AL3/($AI3)</f>
        <v>1.0841153193894857</v>
      </c>
      <c r="AN3" s="2">
        <v>9433</v>
      </c>
      <c r="AO3" s="156">
        <f t="shared" ref="AO3:AO5" si="1">AN3/($AI3)</f>
        <v>1.0664782362916903</v>
      </c>
      <c r="AP3" s="2">
        <v>8761</v>
      </c>
      <c r="AQ3" s="156">
        <f t="shared" ref="AQ3:AQ5" si="2">AP3/($AI3)</f>
        <v>0.99050310910118711</v>
      </c>
      <c r="AR3" s="2">
        <v>7182</v>
      </c>
      <c r="AS3" s="156">
        <f t="shared" ref="AS3:BC5" si="3">AR3/($AI3)</f>
        <v>0.81198417184850202</v>
      </c>
      <c r="AT3" s="664">
        <v>18431</v>
      </c>
      <c r="AU3" s="733">
        <f t="shared" si="3"/>
        <v>2.0837761447145278</v>
      </c>
      <c r="AV3" s="664">
        <v>8981</v>
      </c>
      <c r="AW3" s="733">
        <f t="shared" si="3"/>
        <v>1.015375918598078</v>
      </c>
      <c r="AX3" s="664">
        <v>7459</v>
      </c>
      <c r="AY3" s="733">
        <f t="shared" si="3"/>
        <v>0.84330130016958738</v>
      </c>
      <c r="AZ3" s="664">
        <v>7118</v>
      </c>
      <c r="BA3" s="733">
        <f t="shared" si="3"/>
        <v>0.80474844544940649</v>
      </c>
      <c r="BB3" s="664">
        <v>5149</v>
      </c>
      <c r="BC3" s="733">
        <f t="shared" si="3"/>
        <v>0.58213680045223293</v>
      </c>
      <c r="BD3" s="664">
        <v>7423</v>
      </c>
      <c r="BE3" s="733">
        <f t="shared" ref="BE3:BE5" si="4">BD3/($AI3)</f>
        <v>0.8392312040700961</v>
      </c>
      <c r="BG3" s="2">
        <v>7266</v>
      </c>
      <c r="BI3" s="2">
        <v>7118</v>
      </c>
      <c r="BK3" s="2">
        <v>7151</v>
      </c>
      <c r="BM3" s="2">
        <v>7262</v>
      </c>
      <c r="BO3" s="2">
        <v>6458</v>
      </c>
      <c r="BQ3" s="2">
        <v>8567</v>
      </c>
      <c r="BS3" s="2">
        <v>6929</v>
      </c>
      <c r="BU3" s="2">
        <v>6684</v>
      </c>
      <c r="BW3" s="2">
        <v>7620</v>
      </c>
      <c r="BY3" s="2">
        <v>6777</v>
      </c>
      <c r="CA3" s="2">
        <v>6631</v>
      </c>
      <c r="CC3" s="2">
        <v>8516</v>
      </c>
      <c r="CE3" s="2">
        <v>8932</v>
      </c>
      <c r="CG3" s="2">
        <v>9645</v>
      </c>
      <c r="CI3" s="2">
        <v>10307</v>
      </c>
      <c r="CK3" s="2">
        <v>8026</v>
      </c>
      <c r="CM3" s="2">
        <v>7499</v>
      </c>
      <c r="CO3" s="2">
        <v>7506</v>
      </c>
      <c r="CP3" s="2" t="s">
        <v>1718</v>
      </c>
    </row>
    <row r="4" spans="1:94" ht="17.25" customHeight="1" thickBot="1">
      <c r="A4" s="1">
        <v>4</v>
      </c>
      <c r="B4" s="2" t="s">
        <v>139</v>
      </c>
      <c r="C4" s="3" t="str">
        <f>E4</f>
        <v>{"searchDossierOrKlient":p.DossierName1,"resultType":"Dossiers"}</v>
      </c>
      <c r="E4" s="3" t="s">
        <v>903</v>
      </c>
      <c r="AI4" s="2">
        <v>11560</v>
      </c>
      <c r="AJ4" s="2">
        <v>11854</v>
      </c>
      <c r="AK4" s="2">
        <v>10953</v>
      </c>
      <c r="AL4" s="2">
        <v>10827</v>
      </c>
      <c r="AM4" s="156">
        <f t="shared" si="0"/>
        <v>0.93659169550173016</v>
      </c>
      <c r="AN4" s="2">
        <v>11146</v>
      </c>
      <c r="AO4" s="156">
        <f t="shared" si="1"/>
        <v>0.96418685121107262</v>
      </c>
      <c r="AP4" s="2">
        <v>11062</v>
      </c>
      <c r="AQ4" s="156">
        <f t="shared" si="2"/>
        <v>0.95692041522491345</v>
      </c>
      <c r="AR4" s="2">
        <v>10924</v>
      </c>
      <c r="AS4" s="156">
        <f t="shared" si="3"/>
        <v>0.94498269896193776</v>
      </c>
      <c r="AT4" s="664">
        <v>3855</v>
      </c>
      <c r="AU4" s="733">
        <f t="shared" si="3"/>
        <v>0.33347750865051901</v>
      </c>
      <c r="AV4" s="664">
        <v>2477</v>
      </c>
      <c r="AW4" s="733">
        <f t="shared" si="3"/>
        <v>0.21427335640138409</v>
      </c>
      <c r="AX4" s="664">
        <v>5022</v>
      </c>
      <c r="AY4" s="733">
        <f t="shared" si="3"/>
        <v>0.43442906574394463</v>
      </c>
      <c r="AZ4" s="664">
        <v>5289</v>
      </c>
      <c r="BA4" s="733">
        <f t="shared" si="3"/>
        <v>0.45752595155709341</v>
      </c>
      <c r="BB4" s="664">
        <v>5087</v>
      </c>
      <c r="BC4" s="733">
        <f t="shared" si="3"/>
        <v>0.44005190311418685</v>
      </c>
      <c r="BD4" s="664">
        <v>5191</v>
      </c>
      <c r="BE4" s="733">
        <f t="shared" si="4"/>
        <v>0.44904844290657442</v>
      </c>
      <c r="BG4" s="2">
        <v>5637</v>
      </c>
      <c r="BI4" s="2">
        <v>5178</v>
      </c>
      <c r="BK4" s="2">
        <v>5302</v>
      </c>
      <c r="BM4" s="2">
        <v>5353</v>
      </c>
      <c r="BO4" s="2">
        <v>2503</v>
      </c>
      <c r="BQ4" s="2">
        <v>2909</v>
      </c>
      <c r="BS4" s="2">
        <v>2824</v>
      </c>
      <c r="BU4" s="2">
        <v>5420</v>
      </c>
      <c r="BW4" s="2">
        <v>5231</v>
      </c>
      <c r="BY4" s="2">
        <v>5434</v>
      </c>
      <c r="CA4" s="2">
        <v>4927</v>
      </c>
      <c r="CC4" s="2">
        <v>4764</v>
      </c>
      <c r="CE4" s="2">
        <v>5912</v>
      </c>
      <c r="CG4" s="2">
        <v>4836</v>
      </c>
      <c r="CI4" s="2">
        <v>4771</v>
      </c>
      <c r="CK4" s="2">
        <v>4605</v>
      </c>
      <c r="CM4" s="2">
        <v>4918</v>
      </c>
      <c r="CO4" s="2">
        <v>4714</v>
      </c>
      <c r="CP4" s="2" t="s">
        <v>1718</v>
      </c>
    </row>
    <row r="5" spans="1:94" s="366" customFormat="1" ht="52.5" customHeight="1" thickBot="1">
      <c r="A5" s="367">
        <v>5</v>
      </c>
      <c r="B5" s="368" t="s">
        <v>904</v>
      </c>
      <c r="C5" s="3" t="str">
        <f>E5</f>
        <v>{"zahlungsEmpfaengerCheck":`${p.FamilyName1}, ${p.ManFirstName1}`,"gueltigMonatJahr":"Februar 2026","zahlungsEmpfaenger":"Barauszahlung","periodizitaet":"Monatlich","referenzNummer":"","mitteilung":"Keine"}</v>
      </c>
      <c r="D5" s="368" t="s">
        <v>28</v>
      </c>
      <c r="E5" s="368" t="str">
        <f>F5&amp;G5&amp;H5&amp;I5&amp;J5&amp;K5&amp;L5&amp;M5&amp;N5&amp;O5&amp;P5&amp;Q5&amp;R5&amp;S5&amp;T5&amp;U5&amp;V5&amp;W5</f>
        <v>{"zahlungsEmpfaengerCheck":`${p.FamilyName1}, ${p.ManFirstName1}`,"gueltigMonatJahr":"Februar 2026","zahlungsEmpfaenger":"Barauszahlung","periodizitaet":"Monatlich","referenzNummer":"","mitteilung":"Keine"}</v>
      </c>
      <c r="F5" s="369" t="s">
        <v>905</v>
      </c>
      <c r="G5" s="368" t="s">
        <v>492</v>
      </c>
      <c r="H5" s="370" t="s">
        <v>1756</v>
      </c>
      <c r="I5" s="371" t="s">
        <v>1755</v>
      </c>
      <c r="J5" s="370" t="s">
        <v>1757</v>
      </c>
      <c r="K5" s="368" t="s">
        <v>906</v>
      </c>
      <c r="L5" s="370" t="s">
        <v>907</v>
      </c>
      <c r="M5" s="368" t="s">
        <v>546</v>
      </c>
      <c r="N5" s="370" t="s">
        <v>908</v>
      </c>
      <c r="O5" s="372"/>
      <c r="P5" s="370" t="s">
        <v>541</v>
      </c>
      <c r="Q5" s="368" t="s">
        <v>772</v>
      </c>
      <c r="R5" s="370" t="s">
        <v>37</v>
      </c>
      <c r="S5" s="370"/>
      <c r="T5" s="368"/>
      <c r="U5" s="373"/>
      <c r="V5" s="368"/>
      <c r="W5" s="368"/>
      <c r="X5" s="368"/>
      <c r="Y5" s="368"/>
      <c r="Z5" s="368"/>
      <c r="AA5" s="368"/>
      <c r="AB5" s="368"/>
      <c r="AC5" s="368"/>
      <c r="AD5" s="368"/>
      <c r="AE5" s="368"/>
      <c r="AF5" s="368"/>
      <c r="AG5" s="368"/>
      <c r="AH5" s="368"/>
      <c r="AI5" s="368">
        <v>7410</v>
      </c>
      <c r="AJ5" s="368">
        <v>7251</v>
      </c>
      <c r="AK5" s="368">
        <v>32061</v>
      </c>
      <c r="AL5" s="368">
        <v>753619</v>
      </c>
      <c r="AM5" s="374">
        <f t="shared" si="0"/>
        <v>101.7029689608637</v>
      </c>
      <c r="AN5" s="368">
        <v>5959</v>
      </c>
      <c r="AO5" s="374">
        <f t="shared" si="1"/>
        <v>0.80418353576248314</v>
      </c>
      <c r="AP5" s="368">
        <v>6247</v>
      </c>
      <c r="AQ5" s="374">
        <f t="shared" si="2"/>
        <v>0.84304993252361671</v>
      </c>
      <c r="AR5" s="368">
        <v>6505</v>
      </c>
      <c r="AS5" s="374">
        <f t="shared" si="3"/>
        <v>0.87786774628879893</v>
      </c>
      <c r="AT5" s="734">
        <v>12542</v>
      </c>
      <c r="AU5" s="735">
        <f t="shared" si="3"/>
        <v>1.6925775978407558</v>
      </c>
      <c r="AV5" s="736">
        <v>6016</v>
      </c>
      <c r="AW5" s="735">
        <f t="shared" si="3"/>
        <v>0.8118758434547908</v>
      </c>
      <c r="AX5" s="736">
        <v>4209</v>
      </c>
      <c r="AY5" s="735">
        <f t="shared" si="3"/>
        <v>0.5680161943319838</v>
      </c>
      <c r="AZ5" s="737">
        <v>3371</v>
      </c>
      <c r="BA5" s="735">
        <f t="shared" si="3"/>
        <v>0.45492577597840755</v>
      </c>
      <c r="BB5" s="737">
        <v>4074</v>
      </c>
      <c r="BC5" s="735">
        <f t="shared" si="3"/>
        <v>0.54979757085020242</v>
      </c>
      <c r="BD5" s="738">
        <v>5228</v>
      </c>
      <c r="BE5" s="735">
        <f t="shared" si="4"/>
        <v>0.70553306342780031</v>
      </c>
      <c r="BG5" s="366">
        <v>4485</v>
      </c>
      <c r="BI5" s="366">
        <v>4329</v>
      </c>
      <c r="BK5" s="366">
        <v>4031</v>
      </c>
      <c r="BM5" s="366">
        <v>3658</v>
      </c>
      <c r="BO5" s="366">
        <v>4351</v>
      </c>
      <c r="BQ5" s="366">
        <v>5053</v>
      </c>
      <c r="BS5" s="366">
        <v>4631</v>
      </c>
      <c r="BU5" s="2149">
        <v>0</v>
      </c>
      <c r="BV5" s="2150" t="s">
        <v>1409</v>
      </c>
      <c r="BW5" s="366">
        <v>6123</v>
      </c>
      <c r="BY5" s="366">
        <v>4937</v>
      </c>
      <c r="CA5" s="366">
        <v>4534</v>
      </c>
      <c r="CC5" s="366">
        <v>7474</v>
      </c>
      <c r="CE5" s="366">
        <v>4165</v>
      </c>
      <c r="CG5" s="366">
        <v>4460</v>
      </c>
      <c r="CI5" s="366">
        <v>4192</v>
      </c>
      <c r="CK5" s="3574">
        <v>0</v>
      </c>
      <c r="CL5" s="3575" t="s">
        <v>1537</v>
      </c>
      <c r="CM5" s="366">
        <v>4448</v>
      </c>
      <c r="CO5" s="366">
        <v>5008</v>
      </c>
      <c r="CP5" s="366" t="s">
        <v>1718</v>
      </c>
    </row>
    <row r="6" spans="1:94">
      <c r="AM6" s="156"/>
      <c r="AO6" s="156"/>
      <c r="AQ6" s="156"/>
      <c r="AS6" s="156"/>
      <c r="AU6" s="733"/>
      <c r="AW6" s="733"/>
      <c r="AY6" s="733"/>
      <c r="BA6" s="733"/>
      <c r="BC6" s="733"/>
      <c r="BE6" s="733"/>
    </row>
    <row r="7" spans="1:94" ht="14.25" customHeight="1">
      <c r="AV7" s="664">
        <f>SUM(AV2:AV6)</f>
        <v>18691</v>
      </c>
    </row>
    <row r="23" spans="3:8" ht="14.25" customHeight="1" thickBot="1"/>
    <row r="24" spans="3:8" ht="14.25" customHeight="1">
      <c r="C24" s="139" t="s">
        <v>245</v>
      </c>
      <c r="D24" s="140"/>
      <c r="E24" s="626"/>
      <c r="F24" s="626"/>
      <c r="G24" s="626"/>
      <c r="H24" s="627"/>
    </row>
    <row r="25" spans="3:8" ht="14.25" customHeight="1">
      <c r="C25" s="145"/>
      <c r="D25" s="2">
        <f ca="1">MONTH(TODAY())</f>
        <v>11</v>
      </c>
      <c r="E25" s="146" t="str">
        <f t="array" aca="1" ref="E25" ca="1">_xlfn.CHOOSEROWS(G$85:G$108,D25)&amp;" "&amp;_xlfn.CHOOSEROWS(H$85:H$108,D25)</f>
        <v xml:space="preserve"> </v>
      </c>
      <c r="F25" s="609"/>
      <c r="G25" s="611"/>
      <c r="H25" s="628"/>
    </row>
    <row r="26" spans="3:8" ht="14.25" customHeight="1">
      <c r="C26" s="145"/>
      <c r="D26" s="2">
        <f ca="1">D25+1</f>
        <v>12</v>
      </c>
      <c r="E26" s="146" t="str">
        <f t="array" aca="1" ref="E26" ca="1">_xlfn.CHOOSEROWS(G$85:G$108,D26)&amp;" "&amp;_xlfn.CHOOSEROWS(H$85:H$108,D26)</f>
        <v xml:space="preserve"> </v>
      </c>
      <c r="F26" s="609"/>
      <c r="G26" s="611"/>
      <c r="H26" s="628"/>
    </row>
    <row r="27" spans="3:8" ht="14.25" customHeight="1">
      <c r="C27" s="145"/>
      <c r="D27" s="2">
        <f t="shared" ref="D27:D31" ca="1" si="5">D26+1</f>
        <v>13</v>
      </c>
      <c r="E27" s="146" t="str">
        <f t="array" aca="1" ref="E27" ca="1">_xlfn.CHOOSEROWS(G$85:G$108,D27)&amp;" "&amp;_xlfn.CHOOSEROWS(H$85:H$108,D27)</f>
        <v xml:space="preserve"> </v>
      </c>
      <c r="F27" s="609"/>
      <c r="G27" s="611"/>
      <c r="H27" s="628"/>
    </row>
    <row r="28" spans="3:8" ht="14.25" customHeight="1">
      <c r="C28" s="145"/>
      <c r="D28" s="2">
        <f t="shared" ca="1" si="5"/>
        <v>14</v>
      </c>
      <c r="E28" s="146" t="str">
        <f t="array" aca="1" ref="E28" ca="1">_xlfn.CHOOSEROWS(G$85:G$108,D28)&amp;" "&amp;_xlfn.CHOOSEROWS(H$85:H$108,D28)</f>
        <v xml:space="preserve"> </v>
      </c>
      <c r="F28" s="609"/>
      <c r="G28" s="611"/>
      <c r="H28" s="628"/>
    </row>
    <row r="29" spans="3:8" ht="14.25" customHeight="1">
      <c r="C29" s="145"/>
      <c r="D29" s="2">
        <f t="shared" ca="1" si="5"/>
        <v>15</v>
      </c>
      <c r="E29" s="146" t="str">
        <f t="array" aca="1" ref="E29" ca="1">_xlfn.CHOOSEROWS(G$85:G$108,D29)&amp;" "&amp;_xlfn.CHOOSEROWS(H$85:H$108,D29)</f>
        <v xml:space="preserve"> </v>
      </c>
      <c r="F29" s="609"/>
      <c r="G29" s="611"/>
      <c r="H29" s="628"/>
    </row>
    <row r="30" spans="3:8" ht="14.25" customHeight="1">
      <c r="C30" s="145"/>
      <c r="D30" s="2">
        <f t="shared" ca="1" si="5"/>
        <v>16</v>
      </c>
      <c r="E30" s="146" t="str">
        <f t="array" aca="1" ref="E30" ca="1">_xlfn.CHOOSEROWS(G$85:G$108,D30)&amp;" "&amp;_xlfn.CHOOSEROWS(H$85:H$108,D30)</f>
        <v xml:space="preserve"> </v>
      </c>
      <c r="F30" s="609"/>
      <c r="G30" s="611"/>
      <c r="H30" s="628"/>
    </row>
    <row r="31" spans="3:8" ht="14.25" customHeight="1">
      <c r="C31" s="145"/>
      <c r="D31" s="2">
        <f t="shared" ca="1" si="5"/>
        <v>17</v>
      </c>
      <c r="E31" s="146" t="str">
        <f t="array" aca="1" ref="E31" ca="1">_xlfn.CHOOSEROWS(G$85:G$117,D31)&amp;" "&amp;_xlfn.CHOOSEROWS(H$85:H$117,D31)</f>
        <v xml:space="preserve"> </v>
      </c>
      <c r="F31" s="609"/>
      <c r="G31" s="611"/>
      <c r="H31" s="628"/>
    </row>
    <row r="32" spans="3:8" ht="14.25" customHeight="1">
      <c r="C32" s="145"/>
      <c r="E32" s="629"/>
      <c r="F32" s="609"/>
      <c r="G32" s="611"/>
      <c r="H32" s="628"/>
    </row>
    <row r="33" spans="3:8" ht="14.25" customHeight="1">
      <c r="C33" s="145"/>
      <c r="D33" s="2">
        <v>13</v>
      </c>
      <c r="E33" s="611">
        <f t="array" ref="E33">_xlfn.CHOOSEROWS(H37:H60,D33)</f>
        <v>2026</v>
      </c>
      <c r="F33" s="609"/>
      <c r="G33" s="611"/>
      <c r="H33" s="628"/>
    </row>
    <row r="34" spans="3:8" ht="14.25" customHeight="1">
      <c r="C34" s="145"/>
      <c r="E34" s="611"/>
      <c r="F34" s="609"/>
      <c r="G34" s="611"/>
      <c r="H34" s="628"/>
    </row>
    <row r="35" spans="3:8" ht="14.25" customHeight="1">
      <c r="C35" s="145"/>
      <c r="E35" s="611"/>
      <c r="F35" s="609"/>
      <c r="G35" s="611"/>
      <c r="H35" s="628"/>
    </row>
    <row r="36" spans="3:8" ht="14.25" customHeight="1">
      <c r="C36" s="145"/>
      <c r="E36" s="611" t="str">
        <f t="array" ref="E36">_xlfn.CHOOSEROWS(G36:G42,3)</f>
        <v>Februar</v>
      </c>
      <c r="F36" s="609"/>
      <c r="G36" s="611"/>
      <c r="H36" s="628"/>
    </row>
    <row r="37" spans="3:8" ht="14.25" customHeight="1">
      <c r="C37" s="145"/>
      <c r="E37" s="611"/>
      <c r="F37" s="609">
        <v>1</v>
      </c>
      <c r="G37" s="611" t="s">
        <v>249</v>
      </c>
      <c r="H37" s="628">
        <v>2025</v>
      </c>
    </row>
    <row r="38" spans="3:8" ht="14.25" customHeight="1">
      <c r="C38" s="145"/>
      <c r="E38" s="611"/>
      <c r="F38" s="609">
        <v>2</v>
      </c>
      <c r="G38" s="611" t="s">
        <v>250</v>
      </c>
      <c r="H38" s="628">
        <v>2025</v>
      </c>
    </row>
    <row r="39" spans="3:8" ht="14.25" customHeight="1">
      <c r="C39" s="145"/>
      <c r="E39" s="611"/>
      <c r="F39" s="609">
        <v>3</v>
      </c>
      <c r="G39" s="611" t="s">
        <v>251</v>
      </c>
      <c r="H39" s="628">
        <v>2025</v>
      </c>
    </row>
    <row r="40" spans="3:8" ht="14.25" customHeight="1">
      <c r="C40" s="145"/>
      <c r="E40" s="611"/>
      <c r="F40" s="609">
        <v>4</v>
      </c>
      <c r="G40" s="611" t="s">
        <v>252</v>
      </c>
      <c r="H40" s="628">
        <v>2025</v>
      </c>
    </row>
    <row r="41" spans="3:8" ht="14.25" customHeight="1">
      <c r="C41" s="145"/>
      <c r="E41" s="611"/>
      <c r="F41" s="609">
        <v>5</v>
      </c>
      <c r="G41" s="611" t="s">
        <v>253</v>
      </c>
      <c r="H41" s="628">
        <v>2025</v>
      </c>
    </row>
    <row r="42" spans="3:8" ht="14.25" customHeight="1">
      <c r="C42" s="145"/>
      <c r="E42" s="611"/>
      <c r="F42" s="609">
        <v>6</v>
      </c>
      <c r="G42" s="611" t="s">
        <v>254</v>
      </c>
      <c r="H42" s="628">
        <v>2025</v>
      </c>
    </row>
    <row r="43" spans="3:8" ht="14.25" customHeight="1">
      <c r="D43" s="12"/>
      <c r="E43" s="611"/>
      <c r="F43" s="609">
        <v>7</v>
      </c>
      <c r="G43" s="611" t="s">
        <v>255</v>
      </c>
      <c r="H43" s="628">
        <v>2025</v>
      </c>
    </row>
    <row r="44" spans="3:8" ht="14.25" customHeight="1">
      <c r="D44" s="12"/>
      <c r="E44" s="611"/>
      <c r="F44" s="609">
        <v>8</v>
      </c>
      <c r="G44" s="611" t="s">
        <v>256</v>
      </c>
      <c r="H44" s="628">
        <v>2025</v>
      </c>
    </row>
    <row r="45" spans="3:8" ht="14.25" customHeight="1">
      <c r="D45" s="12"/>
      <c r="E45" s="611"/>
      <c r="F45" s="609">
        <v>9</v>
      </c>
      <c r="G45" s="611" t="s">
        <v>257</v>
      </c>
      <c r="H45" s="628">
        <v>2025</v>
      </c>
    </row>
    <row r="46" spans="3:8" ht="14.25" customHeight="1">
      <c r="D46" s="12"/>
      <c r="E46" s="611"/>
      <c r="F46" s="609">
        <v>10</v>
      </c>
      <c r="G46" s="611" t="s">
        <v>258</v>
      </c>
      <c r="H46" s="628">
        <v>2025</v>
      </c>
    </row>
    <row r="47" spans="3:8" ht="14.25" customHeight="1">
      <c r="D47" s="12"/>
      <c r="E47" s="611"/>
      <c r="F47" s="609">
        <v>11</v>
      </c>
      <c r="G47" s="611" t="s">
        <v>259</v>
      </c>
      <c r="H47" s="628">
        <v>2025</v>
      </c>
    </row>
    <row r="48" spans="3:8" ht="14.25" customHeight="1">
      <c r="D48" s="12"/>
      <c r="E48" s="611"/>
      <c r="F48" s="609">
        <v>12</v>
      </c>
      <c r="G48" s="611" t="s">
        <v>260</v>
      </c>
      <c r="H48" s="628">
        <v>2025</v>
      </c>
    </row>
    <row r="49" spans="4:8" ht="14.25" customHeight="1">
      <c r="D49" s="12"/>
      <c r="E49" s="611"/>
      <c r="F49" s="609">
        <v>13</v>
      </c>
      <c r="G49" s="611" t="s">
        <v>249</v>
      </c>
      <c r="H49" s="628">
        <v>2026</v>
      </c>
    </row>
    <row r="50" spans="4:8" ht="14.25" customHeight="1">
      <c r="D50" s="12"/>
      <c r="E50" s="611"/>
      <c r="F50" s="609">
        <v>14</v>
      </c>
      <c r="G50" s="611" t="s">
        <v>250</v>
      </c>
      <c r="H50" s="628">
        <v>2026</v>
      </c>
    </row>
    <row r="51" spans="4:8" ht="14.25" customHeight="1">
      <c r="D51" s="12"/>
      <c r="E51" s="611"/>
      <c r="F51" s="609">
        <v>15</v>
      </c>
      <c r="G51" s="611" t="s">
        <v>251</v>
      </c>
      <c r="H51" s="628">
        <v>2026</v>
      </c>
    </row>
    <row r="52" spans="4:8" ht="14.25" customHeight="1">
      <c r="D52" s="12"/>
      <c r="E52" s="611"/>
      <c r="F52" s="609">
        <v>16</v>
      </c>
      <c r="G52" s="611" t="s">
        <v>252</v>
      </c>
      <c r="H52" s="628">
        <v>2026</v>
      </c>
    </row>
    <row r="53" spans="4:8" ht="14.25" customHeight="1">
      <c r="D53" s="12"/>
      <c r="E53" s="611"/>
      <c r="F53" s="609">
        <v>17</v>
      </c>
      <c r="G53" s="611" t="s">
        <v>253</v>
      </c>
      <c r="H53" s="628">
        <v>2026</v>
      </c>
    </row>
    <row r="54" spans="4:8" ht="14.25" customHeight="1">
      <c r="D54" s="12"/>
      <c r="E54" s="611"/>
      <c r="F54" s="609">
        <v>18</v>
      </c>
      <c r="G54" s="611" t="s">
        <v>254</v>
      </c>
      <c r="H54" s="628">
        <v>2026</v>
      </c>
    </row>
    <row r="55" spans="4:8" ht="14.25" customHeight="1">
      <c r="D55" s="12"/>
      <c r="E55" s="611"/>
      <c r="F55" s="609">
        <v>19</v>
      </c>
      <c r="G55" s="611" t="s">
        <v>255</v>
      </c>
      <c r="H55" s="628">
        <v>2026</v>
      </c>
    </row>
    <row r="56" spans="4:8" ht="14.25" customHeight="1">
      <c r="D56" s="12"/>
      <c r="E56" s="611"/>
      <c r="F56" s="609">
        <v>20</v>
      </c>
      <c r="G56" s="611" t="s">
        <v>256</v>
      </c>
      <c r="H56" s="628">
        <v>2026</v>
      </c>
    </row>
    <row r="57" spans="4:8" ht="14.25" customHeight="1">
      <c r="D57" s="12"/>
      <c r="E57" s="611"/>
      <c r="F57" s="609">
        <v>21</v>
      </c>
      <c r="G57" s="611" t="s">
        <v>257</v>
      </c>
      <c r="H57" s="628">
        <v>2026</v>
      </c>
    </row>
    <row r="58" spans="4:8" ht="14.25" customHeight="1">
      <c r="D58" s="12"/>
      <c r="E58" s="611"/>
      <c r="F58" s="609">
        <v>22</v>
      </c>
      <c r="G58" s="611" t="s">
        <v>258</v>
      </c>
      <c r="H58" s="628">
        <v>2026</v>
      </c>
    </row>
    <row r="59" spans="4:8" ht="14.25" customHeight="1">
      <c r="D59" s="12"/>
      <c r="E59" s="611"/>
      <c r="F59" s="609">
        <v>23</v>
      </c>
      <c r="G59" s="611" t="s">
        <v>259</v>
      </c>
      <c r="H59" s="628">
        <v>2026</v>
      </c>
    </row>
    <row r="60" spans="4:8" ht="14.25" customHeight="1" thickBot="1">
      <c r="D60" s="12"/>
      <c r="E60" s="630"/>
      <c r="F60" s="609">
        <v>24</v>
      </c>
      <c r="G60" s="631" t="s">
        <v>260</v>
      </c>
      <c r="H60" s="628">
        <v>2026</v>
      </c>
    </row>
    <row r="61" spans="4:8" ht="14.25" customHeight="1">
      <c r="D61" s="12"/>
      <c r="E61" s="609"/>
      <c r="F61" s="609">
        <v>25</v>
      </c>
      <c r="G61" s="611" t="s">
        <v>249</v>
      </c>
      <c r="H61" s="628">
        <v>2027</v>
      </c>
    </row>
    <row r="62" spans="4:8" ht="14.25" customHeight="1">
      <c r="D62" s="12"/>
      <c r="E62" s="609"/>
      <c r="F62" s="609">
        <v>26</v>
      </c>
      <c r="G62" s="611" t="s">
        <v>250</v>
      </c>
      <c r="H62" s="628">
        <v>2027</v>
      </c>
    </row>
    <row r="63" spans="4:8" ht="14.25" customHeight="1">
      <c r="D63" s="12"/>
      <c r="E63" s="609"/>
      <c r="F63" s="609">
        <v>27</v>
      </c>
      <c r="G63" s="611" t="s">
        <v>251</v>
      </c>
      <c r="H63" s="628">
        <v>2027</v>
      </c>
    </row>
    <row r="64" spans="4:8" ht="14.25" customHeight="1">
      <c r="D64" s="12"/>
      <c r="E64" s="609"/>
      <c r="F64" s="609">
        <v>28</v>
      </c>
      <c r="G64" s="611" t="s">
        <v>252</v>
      </c>
      <c r="H64" s="628">
        <v>2027</v>
      </c>
    </row>
    <row r="65" spans="4:8" ht="14.25" customHeight="1">
      <c r="D65" s="12"/>
      <c r="E65" s="609"/>
      <c r="F65" s="609">
        <v>29</v>
      </c>
      <c r="G65" s="611" t="s">
        <v>253</v>
      </c>
      <c r="H65" s="628">
        <v>2027</v>
      </c>
    </row>
    <row r="66" spans="4:8" ht="14.25" customHeight="1">
      <c r="D66" s="12"/>
      <c r="E66" s="609"/>
      <c r="F66" s="609">
        <v>30</v>
      </c>
      <c r="G66" s="611" t="s">
        <v>254</v>
      </c>
      <c r="H66" s="628">
        <v>2027</v>
      </c>
    </row>
    <row r="67" spans="4:8" ht="14.25" customHeight="1">
      <c r="D67" s="12"/>
      <c r="E67" s="609"/>
      <c r="F67" s="609">
        <v>31</v>
      </c>
      <c r="G67" s="611" t="s">
        <v>255</v>
      </c>
      <c r="H67" s="628">
        <v>2027</v>
      </c>
    </row>
    <row r="68" spans="4:8" ht="14.25" customHeight="1">
      <c r="D68" s="12"/>
      <c r="E68" s="609"/>
      <c r="F68" s="609">
        <v>32</v>
      </c>
      <c r="G68" s="611" t="s">
        <v>256</v>
      </c>
      <c r="H68" s="628">
        <v>2027</v>
      </c>
    </row>
    <row r="69" spans="4:8" ht="14.25" customHeight="1">
      <c r="D69" s="12"/>
      <c r="E69" s="609"/>
      <c r="F69" s="609">
        <v>33</v>
      </c>
      <c r="G69" s="611" t="s">
        <v>257</v>
      </c>
      <c r="H69" s="628">
        <v>2027</v>
      </c>
    </row>
    <row r="70" spans="4:8" ht="14.25" customHeight="1">
      <c r="D70" s="12"/>
      <c r="E70" s="609"/>
      <c r="F70" s="611"/>
      <c r="G70" s="609"/>
      <c r="H70" s="611"/>
    </row>
  </sheetData>
  <conditionalFormatting sqref="AM2:AM139 AO2:AO139 AQ2:AQ139 AS2:AS139 AU2:AU139 AW2:AW139 AY2:AY139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139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39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139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7030A0"/>
  </sheetPr>
  <dimension ref="A1:BU27"/>
  <sheetViews>
    <sheetView zoomScaleNormal="100" workbookViewId="0">
      <pane xSplit="2" ySplit="1" topLeftCell="D2" activePane="bottomRight" state="frozen"/>
      <selection activeCell="G32" sqref="G32"/>
      <selection pane="topRight" activeCell="G32" sqref="G32"/>
      <selection pane="bottomLeft" activeCell="G32" sqref="G32"/>
      <selection pane="bottomRight" activeCell="G32" sqref="G32"/>
    </sheetView>
  </sheetViews>
  <sheetFormatPr defaultColWidth="9.140625" defaultRowHeight="14.25" customHeight="1"/>
  <cols>
    <col min="1" max="1" width="9.140625" style="1" customWidth="1"/>
    <col min="2" max="2" width="43" style="2" customWidth="1"/>
    <col min="3" max="3" width="156.710937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19.85546875" style="2" customWidth="1"/>
    <col min="11" max="11" width="32.85546875" style="2" customWidth="1"/>
    <col min="12" max="12" width="36.5703125" style="2" customWidth="1"/>
    <col min="13" max="13" width="14.7109375" style="2" customWidth="1"/>
    <col min="14" max="14" width="10.7109375" style="2" customWidth="1"/>
    <col min="15" max="15" width="9.140625" style="2" customWidth="1"/>
    <col min="16" max="19" width="9.85546875" style="2" customWidth="1"/>
    <col min="20" max="26" width="9.42578125" style="2" customWidth="1"/>
    <col min="27" max="27" width="8.7109375" style="12" customWidth="1"/>
    <col min="28" max="28" width="8.7109375" style="2" customWidth="1"/>
    <col min="29" max="29" width="8.7109375" style="12" customWidth="1"/>
    <col min="30" max="30" width="8.7109375" style="2" customWidth="1"/>
    <col min="31" max="31" width="8.7109375" style="12" customWidth="1"/>
    <col min="32" max="32" width="8.7109375" style="2" customWidth="1"/>
    <col min="33" max="33" width="8.7109375" style="12" customWidth="1"/>
    <col min="34" max="34" width="8.7109375" style="2" customWidth="1"/>
    <col min="35" max="35" width="8.7109375" style="12" customWidth="1"/>
    <col min="36" max="36" width="8.7109375" style="2" customWidth="1"/>
    <col min="37" max="37" width="9.42578125" style="12" customWidth="1"/>
    <col min="38" max="38" width="20" style="2" customWidth="1"/>
    <col min="39" max="39" width="50" style="2" customWidth="1"/>
    <col min="40" max="40" width="20" style="2" customWidth="1"/>
    <col min="41" max="41" width="50" style="2" customWidth="1"/>
    <col min="42" max="42" width="20" style="2" customWidth="1"/>
    <col min="43" max="43" width="50" style="2" customWidth="1"/>
    <col min="44" max="44" width="20" style="2" customWidth="1"/>
    <col min="45" max="45" width="50" style="2" customWidth="1"/>
    <col min="46" max="46" width="20" style="2" customWidth="1"/>
    <col min="47" max="47" width="50" style="2" customWidth="1"/>
    <col min="48" max="48" width="20" style="2" customWidth="1"/>
    <col min="49" max="49" width="50" style="2" customWidth="1"/>
    <col min="50" max="50" width="20" style="2" customWidth="1"/>
    <col min="51" max="51" width="50" style="2" customWidth="1"/>
    <col min="52" max="52" width="20" style="2" customWidth="1"/>
    <col min="53" max="53" width="50" style="2" customWidth="1"/>
    <col min="54" max="54" width="20" style="2" customWidth="1"/>
    <col min="55" max="55" width="50" style="2" customWidth="1"/>
    <col min="56" max="56" width="20" style="2" customWidth="1"/>
    <col min="57" max="57" width="50" style="2" customWidth="1"/>
    <col min="58" max="58" width="20" style="2" customWidth="1"/>
    <col min="59" max="59" width="50" style="2" customWidth="1"/>
    <col min="60" max="60" width="20" style="2" customWidth="1"/>
    <col min="61" max="61" width="50" style="2" customWidth="1"/>
    <col min="62" max="62" width="20" style="2" customWidth="1"/>
    <col min="63" max="63" width="50" style="2" customWidth="1"/>
    <col min="64" max="64" width="20" style="2" customWidth="1"/>
    <col min="65" max="65" width="50" style="2" customWidth="1"/>
    <col min="66" max="66" width="20" style="2" customWidth="1"/>
    <col min="67" max="67" width="50" style="2" customWidth="1"/>
    <col min="68" max="68" width="20" style="2" customWidth="1"/>
    <col min="69" max="69" width="50" style="2" customWidth="1"/>
    <col min="70" max="70" width="20" style="2" customWidth="1"/>
    <col min="71" max="71" width="50" style="2" customWidth="1"/>
    <col min="72" max="72" width="20" style="2" customWidth="1"/>
    <col min="73" max="73" width="50" style="2" customWidth="1"/>
    <col min="74" max="16384" width="9.140625" style="2"/>
  </cols>
  <sheetData>
    <row r="1" spans="1:73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1*60*1000*SpeedFaktor</f>
        <v>60000</v>
      </c>
      <c r="H1" s="2">
        <v>10</v>
      </c>
      <c r="O1" s="3" t="s">
        <v>5</v>
      </c>
      <c r="P1" s="2" t="s">
        <v>657</v>
      </c>
      <c r="Q1" s="2" t="s">
        <v>676</v>
      </c>
      <c r="R1" s="2" t="s">
        <v>658</v>
      </c>
      <c r="S1" s="2" t="s">
        <v>489</v>
      </c>
      <c r="T1" s="2" t="s">
        <v>10</v>
      </c>
      <c r="U1" s="2" t="s">
        <v>677</v>
      </c>
      <c r="V1" s="2" t="s">
        <v>11</v>
      </c>
      <c r="W1" s="2" t="s">
        <v>698</v>
      </c>
      <c r="X1" s="2" t="s">
        <v>12</v>
      </c>
      <c r="Y1" s="2" t="s">
        <v>909</v>
      </c>
      <c r="Z1" s="2" t="s">
        <v>13</v>
      </c>
      <c r="AA1" s="24" t="s">
        <v>8</v>
      </c>
      <c r="AB1" s="2" t="s">
        <v>65</v>
      </c>
      <c r="AC1" s="24" t="s">
        <v>8</v>
      </c>
      <c r="AD1" s="2" t="s">
        <v>15</v>
      </c>
      <c r="AE1" s="24" t="s">
        <v>8</v>
      </c>
      <c r="AF1" s="2" t="s">
        <v>17</v>
      </c>
      <c r="AG1" s="24" t="s">
        <v>8</v>
      </c>
      <c r="AH1" s="2" t="s">
        <v>1285</v>
      </c>
      <c r="AI1" s="24" t="s">
        <v>8</v>
      </c>
      <c r="AJ1" s="2" t="s">
        <v>1286</v>
      </c>
      <c r="AK1" s="24" t="s">
        <v>8</v>
      </c>
      <c r="AL1" s="859" t="s">
        <v>1311</v>
      </c>
      <c r="AM1" s="860" t="s">
        <v>572</v>
      </c>
      <c r="AN1" s="983" t="s">
        <v>1318</v>
      </c>
      <c r="AO1" s="984" t="s">
        <v>572</v>
      </c>
      <c r="AP1" s="1131" t="s">
        <v>1324</v>
      </c>
      <c r="AQ1" s="1132" t="s">
        <v>572</v>
      </c>
      <c r="AR1" s="1334" t="s">
        <v>1341</v>
      </c>
      <c r="AS1" s="1335" t="s">
        <v>572</v>
      </c>
      <c r="AT1" s="1588" t="s">
        <v>1363</v>
      </c>
      <c r="AU1" s="1589" t="s">
        <v>572</v>
      </c>
      <c r="AV1" s="1728" t="s">
        <v>1368</v>
      </c>
      <c r="AW1" s="1729" t="s">
        <v>572</v>
      </c>
      <c r="AX1" s="1869" t="s">
        <v>1372</v>
      </c>
      <c r="AY1" s="1870" t="s">
        <v>572</v>
      </c>
      <c r="AZ1" s="2151" t="s">
        <v>1397</v>
      </c>
      <c r="BA1" s="2152" t="s">
        <v>572</v>
      </c>
      <c r="BB1" s="2332" t="s">
        <v>1421</v>
      </c>
      <c r="BC1" s="2333" t="s">
        <v>572</v>
      </c>
      <c r="BD1" s="2494" t="s">
        <v>1434</v>
      </c>
      <c r="BE1" s="2495" t="s">
        <v>572</v>
      </c>
      <c r="BF1" s="2655" t="s">
        <v>1442</v>
      </c>
      <c r="BG1" s="2656" t="s">
        <v>572</v>
      </c>
      <c r="BH1" s="2840" t="s">
        <v>1460</v>
      </c>
      <c r="BI1" s="2841" t="s">
        <v>572</v>
      </c>
      <c r="BJ1" s="3022" t="s">
        <v>1472</v>
      </c>
      <c r="BK1" s="3023" t="s">
        <v>572</v>
      </c>
      <c r="BL1" s="3212" t="s">
        <v>1492</v>
      </c>
      <c r="BM1" s="3213" t="s">
        <v>572</v>
      </c>
      <c r="BN1" s="3386" t="s">
        <v>1503</v>
      </c>
      <c r="BO1" s="3387" t="s">
        <v>572</v>
      </c>
      <c r="BP1" s="3576" t="s">
        <v>1519</v>
      </c>
      <c r="BQ1" s="3577" t="s">
        <v>572</v>
      </c>
      <c r="BR1" s="3870" t="s">
        <v>1666</v>
      </c>
      <c r="BS1" s="3871" t="s">
        <v>572</v>
      </c>
      <c r="BT1" s="4089" t="s">
        <v>1717</v>
      </c>
      <c r="BU1" s="4090" t="s">
        <v>572</v>
      </c>
    </row>
    <row r="2" spans="1:73" ht="14.25" customHeight="1">
      <c r="A2" s="1">
        <v>1</v>
      </c>
      <c r="B2" s="2" t="s">
        <v>21</v>
      </c>
      <c r="C2" s="272" t="str">
        <f>'001a'!B59</f>
        <v>{"url":p.aventisURL}</v>
      </c>
      <c r="P2" s="2">
        <v>1954</v>
      </c>
      <c r="Q2" s="2">
        <v>2057</v>
      </c>
      <c r="R2" s="2">
        <v>1460</v>
      </c>
      <c r="S2" s="2">
        <v>1726</v>
      </c>
      <c r="T2" s="2">
        <v>1588</v>
      </c>
      <c r="V2" s="2">
        <v>1521</v>
      </c>
      <c r="X2" s="2">
        <v>1386</v>
      </c>
      <c r="Z2" s="2">
        <v>1335</v>
      </c>
      <c r="AA2" s="156">
        <f>Z2/($P2)</f>
        <v>0.68321392016376659</v>
      </c>
      <c r="AB2" s="2">
        <v>2901</v>
      </c>
      <c r="AC2" s="156">
        <f>AB2/($P2)</f>
        <v>1.4846468781985671</v>
      </c>
      <c r="AD2" s="2">
        <v>1212</v>
      </c>
      <c r="AE2" s="156">
        <f>AD2/($P2)</f>
        <v>0.62026612077789145</v>
      </c>
      <c r="AF2" s="2">
        <v>1400</v>
      </c>
      <c r="AG2" s="156">
        <f>AF2/($P2)</f>
        <v>0.7164790174002047</v>
      </c>
      <c r="AH2" s="2">
        <v>1089</v>
      </c>
      <c r="AI2" s="156">
        <f>AH2/($P2)</f>
        <v>0.55731832139201642</v>
      </c>
      <c r="AJ2" s="2">
        <v>594</v>
      </c>
      <c r="AK2" s="156">
        <f>AJ2/($P2)</f>
        <v>0.30399181166837258</v>
      </c>
      <c r="AL2" s="2">
        <v>1480</v>
      </c>
      <c r="AN2" s="2">
        <v>1148</v>
      </c>
      <c r="AP2" s="2">
        <v>1190</v>
      </c>
      <c r="AR2" s="2">
        <v>1246</v>
      </c>
      <c r="AT2" s="2">
        <v>1164</v>
      </c>
      <c r="AV2" s="2">
        <v>1197</v>
      </c>
      <c r="AX2" s="2">
        <v>1184</v>
      </c>
      <c r="AZ2" s="2">
        <v>1725</v>
      </c>
      <c r="BB2" s="2">
        <v>1675</v>
      </c>
      <c r="BD2" s="2">
        <v>1694</v>
      </c>
      <c r="BF2" s="2">
        <v>1138</v>
      </c>
      <c r="BH2" s="2">
        <v>1255</v>
      </c>
      <c r="BJ2" s="2">
        <v>1517</v>
      </c>
      <c r="BL2" s="2">
        <v>1128</v>
      </c>
      <c r="BN2" s="2">
        <v>1224</v>
      </c>
      <c r="BP2" s="2">
        <v>1197</v>
      </c>
      <c r="BR2" s="2">
        <v>839</v>
      </c>
      <c r="BT2" s="2">
        <v>451</v>
      </c>
      <c r="BU2" s="2" t="s">
        <v>1718</v>
      </c>
    </row>
    <row r="3" spans="1:73" ht="14.25" customHeight="1" thickBot="1">
      <c r="A3" s="1">
        <v>2</v>
      </c>
      <c r="B3" s="2" t="s">
        <v>25</v>
      </c>
      <c r="C3" s="3" t="s">
        <v>633</v>
      </c>
      <c r="I3" s="50"/>
      <c r="P3" s="2">
        <v>8026</v>
      </c>
      <c r="Q3" s="2">
        <v>6277</v>
      </c>
      <c r="R3" s="2">
        <v>6623</v>
      </c>
      <c r="S3" s="2">
        <v>9407</v>
      </c>
      <c r="T3" s="2">
        <v>9043</v>
      </c>
      <c r="V3" s="2">
        <v>9997</v>
      </c>
      <c r="X3" s="2">
        <v>8645</v>
      </c>
      <c r="Z3" s="2">
        <v>7901</v>
      </c>
      <c r="AA3" s="156">
        <f t="shared" ref="AA3:AK4" si="0">Z3/($P3)</f>
        <v>0.98442561674557683</v>
      </c>
      <c r="AB3" s="2">
        <v>19217</v>
      </c>
      <c r="AC3" s="156">
        <f t="shared" si="0"/>
        <v>2.3943433840019934</v>
      </c>
      <c r="AD3" s="2">
        <v>8832</v>
      </c>
      <c r="AE3" s="156">
        <f t="shared" si="0"/>
        <v>1.1004236232245204</v>
      </c>
      <c r="AF3" s="2">
        <v>7483</v>
      </c>
      <c r="AG3" s="156">
        <f t="shared" si="0"/>
        <v>0.93234487914278596</v>
      </c>
      <c r="AH3" s="2">
        <v>7153</v>
      </c>
      <c r="AI3" s="156">
        <f t="shared" si="0"/>
        <v>0.89122850735110892</v>
      </c>
      <c r="AJ3" s="2">
        <v>5375</v>
      </c>
      <c r="AK3" s="156">
        <f t="shared" si="0"/>
        <v>0.66969847994019438</v>
      </c>
      <c r="AL3" s="2">
        <v>7123</v>
      </c>
      <c r="AN3" s="2">
        <v>6961</v>
      </c>
      <c r="AP3" s="2">
        <v>7289</v>
      </c>
      <c r="AR3" s="2">
        <v>6971</v>
      </c>
      <c r="AT3" s="2">
        <v>6679</v>
      </c>
      <c r="AV3" s="2">
        <v>7976</v>
      </c>
      <c r="AX3" s="2">
        <v>7512</v>
      </c>
      <c r="AZ3" s="2">
        <v>6595</v>
      </c>
      <c r="BB3" s="2">
        <v>7042</v>
      </c>
      <c r="BD3" s="2">
        <v>7158</v>
      </c>
      <c r="BF3" s="2">
        <v>6514</v>
      </c>
      <c r="BH3" s="2">
        <v>9153</v>
      </c>
      <c r="BJ3" s="2">
        <v>7682</v>
      </c>
      <c r="BL3" s="2">
        <v>7680</v>
      </c>
      <c r="BN3" s="2">
        <v>9718</v>
      </c>
      <c r="BP3" s="2">
        <v>8706</v>
      </c>
      <c r="BR3" s="2">
        <v>7271</v>
      </c>
      <c r="BT3" s="2">
        <v>6392</v>
      </c>
      <c r="BU3" s="2" t="s">
        <v>1718</v>
      </c>
    </row>
    <row r="4" spans="1:73" s="10" customFormat="1" ht="24" customHeight="1" thickBot="1">
      <c r="A4" s="21">
        <v>4</v>
      </c>
      <c r="B4" s="24" t="s">
        <v>910</v>
      </c>
      <c r="C4" s="242" t="str">
        <f>E4</f>
        <v>{"dossier":p.DossierName1,"unterstBetrag":2882,"valutaTerminNext":"Anspruch Januar 2026`,"valutaDatum":"31.12.2025"}</v>
      </c>
      <c r="D4" s="24" t="s">
        <v>28</v>
      </c>
      <c r="E4" s="24" t="str">
        <f>F4&amp;G4&amp;H4&amp;I4&amp;J4&amp;K4&amp;L4&amp;M4&amp;N4&amp;O4</f>
        <v>{"dossier":p.DossierName1,"unterstBetrag":2882,"valutaTerminNext":"Anspruch Januar 2026`,"valutaDatum":"31.12.2025"}</v>
      </c>
      <c r="F4" s="24" t="s">
        <v>159</v>
      </c>
      <c r="G4" s="255" t="s">
        <v>449</v>
      </c>
      <c r="H4" s="323" t="s">
        <v>911</v>
      </c>
      <c r="I4" s="163">
        <v>2882</v>
      </c>
      <c r="J4" s="323" t="s">
        <v>1758</v>
      </c>
      <c r="K4" s="24" t="s">
        <v>1766</v>
      </c>
      <c r="L4" s="323" t="s">
        <v>1767</v>
      </c>
      <c r="M4" s="422" t="s">
        <v>1602</v>
      </c>
      <c r="N4" s="323" t="s">
        <v>37</v>
      </c>
      <c r="O4" s="265"/>
      <c r="P4" s="24">
        <v>16026</v>
      </c>
      <c r="Q4" s="24">
        <v>0</v>
      </c>
      <c r="R4" s="24">
        <v>16026</v>
      </c>
      <c r="S4" s="24">
        <v>16918</v>
      </c>
      <c r="T4" s="24">
        <v>0</v>
      </c>
      <c r="U4" s="24" t="s">
        <v>912</v>
      </c>
      <c r="V4" s="24">
        <v>0</v>
      </c>
      <c r="W4" s="24"/>
      <c r="X4" s="24">
        <v>0</v>
      </c>
      <c r="Y4" s="24"/>
      <c r="Z4" s="24">
        <v>14874</v>
      </c>
      <c r="AA4" s="156">
        <f t="shared" si="0"/>
        <v>0.92811681018345193</v>
      </c>
      <c r="AB4" s="24">
        <v>0</v>
      </c>
      <c r="AC4" s="156">
        <f t="shared" si="0"/>
        <v>0</v>
      </c>
      <c r="AD4" s="2">
        <v>8908</v>
      </c>
      <c r="AE4" s="156">
        <f t="shared" si="0"/>
        <v>0.55584674903282172</v>
      </c>
      <c r="AF4" s="2">
        <v>8892</v>
      </c>
      <c r="AG4" s="156">
        <f t="shared" si="0"/>
        <v>0.55484837139648069</v>
      </c>
      <c r="AH4" s="2">
        <v>8818</v>
      </c>
      <c r="AI4" s="156">
        <f t="shared" si="0"/>
        <v>0.55023087482840383</v>
      </c>
      <c r="AJ4" s="2">
        <v>8330</v>
      </c>
      <c r="AK4" s="156">
        <f t="shared" si="0"/>
        <v>0.51978035692000502</v>
      </c>
      <c r="AL4" s="10">
        <v>9853</v>
      </c>
      <c r="AN4" s="10">
        <v>9158</v>
      </c>
      <c r="AP4" s="10">
        <v>9401</v>
      </c>
      <c r="AR4" s="10">
        <v>9006</v>
      </c>
      <c r="AT4" s="10">
        <v>6174</v>
      </c>
      <c r="AV4" s="10">
        <v>7365</v>
      </c>
      <c r="AX4" s="10">
        <v>6507</v>
      </c>
      <c r="AZ4" s="2153">
        <v>0</v>
      </c>
      <c r="BA4" s="2154" t="s">
        <v>1410</v>
      </c>
      <c r="BB4" s="2334">
        <v>0</v>
      </c>
      <c r="BC4" s="2335" t="s">
        <v>1426</v>
      </c>
      <c r="BD4" s="10">
        <v>9777</v>
      </c>
      <c r="BF4" s="10">
        <v>9147</v>
      </c>
      <c r="BH4" s="10">
        <v>9528</v>
      </c>
      <c r="BJ4" s="3024">
        <v>0</v>
      </c>
      <c r="BK4" s="3025" t="s">
        <v>1509</v>
      </c>
      <c r="BL4" s="3214">
        <v>0</v>
      </c>
      <c r="BM4" s="3215" t="s">
        <v>1509</v>
      </c>
      <c r="BN4" s="3388">
        <v>0</v>
      </c>
      <c r="BO4" s="3389" t="s">
        <v>1509</v>
      </c>
      <c r="BP4" s="3578">
        <v>0</v>
      </c>
      <c r="BQ4" s="3579" t="s">
        <v>1538</v>
      </c>
      <c r="BR4" s="3872">
        <v>0</v>
      </c>
      <c r="BS4" s="3873" t="s">
        <v>1684</v>
      </c>
      <c r="BT4" s="4091">
        <v>0</v>
      </c>
      <c r="BU4" s="4092" t="s">
        <v>1735</v>
      </c>
    </row>
    <row r="5" spans="1:73">
      <c r="I5" s="50"/>
      <c r="AA5" s="156"/>
      <c r="AC5" s="156"/>
      <c r="AE5" s="156"/>
      <c r="AG5" s="156"/>
      <c r="AI5" s="156"/>
      <c r="AK5" s="156"/>
    </row>
    <row r="6" spans="1:73">
      <c r="C6" s="50" t="s">
        <v>913</v>
      </c>
      <c r="I6" s="50"/>
      <c r="P6" s="2">
        <v>371</v>
      </c>
      <c r="Q6" s="2">
        <v>322</v>
      </c>
      <c r="AA6" s="156"/>
      <c r="AC6" s="156"/>
      <c r="AE6" s="156"/>
      <c r="AG6" s="156"/>
      <c r="AI6" s="156"/>
      <c r="AK6" s="156"/>
    </row>
    <row r="7" spans="1:73">
      <c r="I7" s="50"/>
      <c r="AA7" s="156"/>
      <c r="AC7" s="156"/>
      <c r="AE7" s="156"/>
      <c r="AG7" s="156"/>
      <c r="AI7" s="156"/>
      <c r="AK7" s="156"/>
    </row>
    <row r="8" spans="1:73">
      <c r="C8" s="136" t="s">
        <v>914</v>
      </c>
      <c r="E8" s="256" t="s">
        <v>1765</v>
      </c>
      <c r="F8" s="347"/>
      <c r="G8" s="347"/>
      <c r="H8" s="347"/>
      <c r="I8" s="50"/>
      <c r="AA8" s="2"/>
      <c r="AC8" s="2"/>
      <c r="AE8" s="2"/>
      <c r="AG8" s="2"/>
      <c r="AI8" s="2"/>
      <c r="AK8" s="2"/>
    </row>
    <row r="9" spans="1:73">
      <c r="E9" s="4223"/>
      <c r="F9" s="347"/>
      <c r="G9" s="347"/>
      <c r="H9" s="347"/>
      <c r="I9" s="50"/>
      <c r="AA9" s="2"/>
      <c r="AC9" s="2"/>
      <c r="AE9" s="2"/>
      <c r="AG9" s="2"/>
      <c r="AI9" s="2"/>
      <c r="AK9" s="2"/>
    </row>
    <row r="10" spans="1:73">
      <c r="E10" s="4223"/>
      <c r="F10" s="347"/>
      <c r="G10" s="347"/>
      <c r="H10" s="347"/>
      <c r="I10" s="50"/>
      <c r="AA10" s="2"/>
      <c r="AC10" s="2"/>
      <c r="AE10" s="2"/>
      <c r="AG10" s="2"/>
      <c r="AI10" s="2"/>
      <c r="AK10" s="2"/>
    </row>
    <row r="11" spans="1:73">
      <c r="I11" s="50"/>
      <c r="AA11" s="2"/>
      <c r="AC11" s="2"/>
      <c r="AE11" s="2"/>
      <c r="AG11" s="2"/>
      <c r="AI11" s="2"/>
      <c r="AK11" s="2"/>
    </row>
    <row r="12" spans="1:73">
      <c r="B12" s="2" t="s">
        <v>823</v>
      </c>
      <c r="C12" s="50" t="s">
        <v>915</v>
      </c>
      <c r="D12" s="50"/>
      <c r="E12" s="167"/>
      <c r="F12" s="50"/>
      <c r="G12" s="50"/>
      <c r="H12" s="50"/>
      <c r="I12" s="50"/>
      <c r="AA12" s="2"/>
      <c r="AC12" s="2"/>
      <c r="AE12" s="2"/>
      <c r="AG12" s="2"/>
      <c r="AI12" s="2"/>
      <c r="AK12" s="2"/>
    </row>
    <row r="13" spans="1:73"/>
    <row r="14" spans="1:73"/>
    <row r="15" spans="1:73"/>
    <row r="16" spans="1:73">
      <c r="B16" s="2" t="s">
        <v>916</v>
      </c>
      <c r="C16" s="30" t="s">
        <v>917</v>
      </c>
    </row>
    <row r="17" spans="4:4"/>
    <row r="18" spans="4:4"/>
    <row r="19" spans="4:4"/>
    <row r="20" spans="4:4"/>
    <row r="21" spans="4:4"/>
    <row r="22" spans="4:4"/>
    <row r="23" spans="4:4"/>
    <row r="24" spans="4:4"/>
    <row r="25" spans="4:4"/>
    <row r="26" spans="4:4"/>
    <row r="27" spans="4:4">
      <c r="D27" s="2" t="s">
        <v>918</v>
      </c>
    </row>
  </sheetData>
  <conditionalFormatting sqref="AA2:AA146 AC2:AC146 AE2:AE146 AG2:AG146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I2:AI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2:AK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7030A0"/>
  </sheetPr>
  <dimension ref="A1:CP33"/>
  <sheetViews>
    <sheetView zoomScale="115" zoomScaleNormal="115" workbookViewId="0">
      <pane xSplit="2" ySplit="1" topLeftCell="C2" activePane="bottomRight" state="frozen"/>
      <selection activeCell="N13" sqref="N13"/>
      <selection pane="topRight" activeCell="N13" sqref="N13"/>
      <selection pane="bottomLeft" activeCell="N13" sqref="N13"/>
      <selection pane="bottomRight" activeCell="G32" sqref="G32"/>
    </sheetView>
  </sheetViews>
  <sheetFormatPr defaultColWidth="9.140625" defaultRowHeight="14.25" customHeight="1"/>
  <cols>
    <col min="1" max="1" width="4.85546875" style="1" customWidth="1"/>
    <col min="2" max="2" width="45.5703125" style="2" customWidth="1"/>
    <col min="3" max="3" width="137.4257812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9" width="36.7109375" style="2" customWidth="1"/>
    <col min="10" max="10" width="10.140625" style="2" customWidth="1"/>
    <col min="11" max="11" width="36.5703125" style="2" customWidth="1"/>
    <col min="12" max="12" width="9.140625" style="2" customWidth="1"/>
    <col min="13" max="13" width="10.7109375" style="2" customWidth="1"/>
    <col min="14" max="14" width="9.140625" style="2" customWidth="1"/>
    <col min="15" max="15" width="22.5703125" style="2" customWidth="1"/>
    <col min="16" max="16" width="13.5703125" style="2" customWidth="1"/>
    <col min="17" max="17" width="24.5703125" style="2" customWidth="1"/>
    <col min="18" max="20" width="9.140625" style="2" customWidth="1"/>
    <col min="21" max="21" width="26.5703125" style="2" customWidth="1"/>
    <col min="22" max="34" width="9.140625" style="2" customWidth="1"/>
    <col min="35" max="40" width="8.85546875" style="2" customWidth="1"/>
    <col min="41" max="41" width="10.7109375" style="12" customWidth="1"/>
    <col min="42" max="42" width="10.7109375" style="2" customWidth="1"/>
    <col min="43" max="43" width="10.7109375" style="12" customWidth="1"/>
    <col min="44" max="44" width="10.7109375" style="2" customWidth="1"/>
    <col min="45" max="45" width="10.7109375" style="12" customWidth="1"/>
    <col min="46" max="46" width="10.28515625" style="2" customWidth="1"/>
    <col min="47" max="47" width="10.28515625" style="12" customWidth="1"/>
    <col min="48" max="48" width="10.28515625" style="2" customWidth="1"/>
    <col min="49" max="49" width="10.28515625" style="12" customWidth="1"/>
    <col min="50" max="50" width="10.28515625" style="2" customWidth="1"/>
    <col min="51" max="51" width="10.28515625" style="12" customWidth="1"/>
    <col min="52" max="52" width="10.28515625" style="2" customWidth="1"/>
    <col min="53" max="53" width="10.28515625" style="12" customWidth="1"/>
    <col min="54" max="54" width="10.28515625" style="2" customWidth="1"/>
    <col min="55" max="55" width="10.28515625" style="12" customWidth="1"/>
    <col min="56" max="56" width="10.28515625" style="2" customWidth="1"/>
    <col min="57" max="57" width="10.28515625" style="12" customWidth="1"/>
    <col min="58" max="58" width="9.140625" style="2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2*60*1000*SpeedFaktor</f>
        <v>120000</v>
      </c>
      <c r="H1" s="2">
        <v>100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10</v>
      </c>
      <c r="AM1" s="2" t="s">
        <v>677</v>
      </c>
      <c r="AN1" s="2" t="s">
        <v>11</v>
      </c>
      <c r="AO1" s="186" t="s">
        <v>8</v>
      </c>
      <c r="AP1" s="10" t="s">
        <v>12</v>
      </c>
      <c r="AQ1" s="186" t="s">
        <v>8</v>
      </c>
      <c r="AR1" s="10" t="s">
        <v>13</v>
      </c>
      <c r="AS1" s="186" t="s">
        <v>8</v>
      </c>
      <c r="AT1" s="10" t="s">
        <v>65</v>
      </c>
      <c r="AU1" s="186" t="s">
        <v>8</v>
      </c>
      <c r="AV1" s="10" t="s">
        <v>15</v>
      </c>
      <c r="AW1" s="186" t="s">
        <v>8</v>
      </c>
      <c r="AX1" s="10" t="s">
        <v>17</v>
      </c>
      <c r="AY1" s="186" t="s">
        <v>8</v>
      </c>
      <c r="AZ1" s="10" t="s">
        <v>1285</v>
      </c>
      <c r="BA1" s="186" t="s">
        <v>8</v>
      </c>
      <c r="BB1" s="10" t="s">
        <v>1286</v>
      </c>
      <c r="BC1" s="186" t="s">
        <v>8</v>
      </c>
      <c r="BD1" s="746" t="s">
        <v>1303</v>
      </c>
      <c r="BE1" s="186" t="s">
        <v>8</v>
      </c>
      <c r="BG1" s="861" t="s">
        <v>1311</v>
      </c>
      <c r="BH1" s="862" t="s">
        <v>572</v>
      </c>
      <c r="BI1" s="985" t="s">
        <v>1318</v>
      </c>
      <c r="BJ1" s="986" t="s">
        <v>572</v>
      </c>
      <c r="BK1" s="1133" t="s">
        <v>1324</v>
      </c>
      <c r="BL1" s="1134" t="s">
        <v>572</v>
      </c>
      <c r="BM1" s="1336" t="s">
        <v>1341</v>
      </c>
      <c r="BN1" s="1337" t="s">
        <v>572</v>
      </c>
      <c r="BO1" s="1590" t="s">
        <v>1363</v>
      </c>
      <c r="BP1" s="1591" t="s">
        <v>572</v>
      </c>
      <c r="BQ1" s="1730" t="s">
        <v>1368</v>
      </c>
      <c r="BR1" s="1731" t="s">
        <v>572</v>
      </c>
      <c r="BS1" s="1871" t="s">
        <v>1372</v>
      </c>
      <c r="BT1" s="1872" t="s">
        <v>572</v>
      </c>
      <c r="BU1" s="2155" t="s">
        <v>1397</v>
      </c>
      <c r="BV1" s="2156" t="s">
        <v>572</v>
      </c>
      <c r="BW1" s="2336" t="s">
        <v>1421</v>
      </c>
      <c r="BX1" s="2337" t="s">
        <v>572</v>
      </c>
      <c r="BY1" s="2496" t="s">
        <v>1434</v>
      </c>
      <c r="BZ1" s="2497" t="s">
        <v>572</v>
      </c>
      <c r="CA1" s="2657" t="s">
        <v>1442</v>
      </c>
      <c r="CB1" s="2658" t="s">
        <v>572</v>
      </c>
      <c r="CC1" s="2842" t="s">
        <v>1460</v>
      </c>
      <c r="CD1" s="2843" t="s">
        <v>572</v>
      </c>
      <c r="CE1" s="3026" t="s">
        <v>1472</v>
      </c>
      <c r="CF1" s="3027" t="s">
        <v>572</v>
      </c>
      <c r="CG1" s="3216" t="s">
        <v>1492</v>
      </c>
      <c r="CH1" s="3217" t="s">
        <v>572</v>
      </c>
      <c r="CI1" s="3390" t="s">
        <v>1503</v>
      </c>
      <c r="CJ1" s="3391" t="s">
        <v>572</v>
      </c>
      <c r="CK1" s="3580" t="s">
        <v>1519</v>
      </c>
      <c r="CL1" s="3581" t="s">
        <v>572</v>
      </c>
      <c r="CM1" s="3874" t="s">
        <v>1666</v>
      </c>
      <c r="CN1" s="3875" t="s">
        <v>572</v>
      </c>
      <c r="CO1" s="4093" t="s">
        <v>1717</v>
      </c>
      <c r="CP1" s="4094" t="s">
        <v>572</v>
      </c>
    </row>
    <row r="2" spans="1:94" s="10" customFormat="1" ht="14.25" customHeight="1">
      <c r="A2" s="727">
        <v>1</v>
      </c>
      <c r="B2" s="727" t="s">
        <v>21</v>
      </c>
      <c r="C2" s="745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1341</v>
      </c>
      <c r="AJ2" s="2">
        <v>2152</v>
      </c>
      <c r="AK2" s="2">
        <v>2041</v>
      </c>
      <c r="AL2" s="2">
        <v>1772</v>
      </c>
      <c r="AM2" s="2"/>
      <c r="AN2" s="2">
        <v>1727</v>
      </c>
      <c r="AO2" s="156">
        <f>AN2/($AI2)</f>
        <v>1.2878448918717376</v>
      </c>
      <c r="AP2" s="2">
        <v>1788</v>
      </c>
      <c r="AQ2" s="156">
        <f>AP2/($AI2)</f>
        <v>1.3333333333333333</v>
      </c>
      <c r="AR2" s="2">
        <v>1371</v>
      </c>
      <c r="AS2" s="156">
        <f>AR2/($AI2)</f>
        <v>1.0223713646532437</v>
      </c>
      <c r="AT2" s="2">
        <v>2420</v>
      </c>
      <c r="AU2" s="156">
        <f>AT2/($AI2)</f>
        <v>1.8046234153616705</v>
      </c>
      <c r="AV2" s="2">
        <v>1269</v>
      </c>
      <c r="AW2" s="156">
        <f>AV2/($AI2)</f>
        <v>0.94630872483221473</v>
      </c>
      <c r="AX2" s="2">
        <v>1183</v>
      </c>
      <c r="AY2" s="156">
        <f>AX2/($AI2)</f>
        <v>0.88217747949291569</v>
      </c>
      <c r="AZ2" s="2">
        <v>1247</v>
      </c>
      <c r="BA2" s="156">
        <f>AZ2/($AI2)</f>
        <v>0.92990305741983592</v>
      </c>
      <c r="BB2" s="2">
        <v>544</v>
      </c>
      <c r="BC2" s="156">
        <f>BB2/($AI2)</f>
        <v>0.40566741237882176</v>
      </c>
      <c r="BD2" s="10">
        <v>1204</v>
      </c>
      <c r="BE2" s="156">
        <f>BD2/($AI2)</f>
        <v>0.8978374347501864</v>
      </c>
      <c r="BG2" s="10">
        <v>1471</v>
      </c>
      <c r="BI2" s="10">
        <v>1213</v>
      </c>
      <c r="BK2" s="10">
        <v>1181</v>
      </c>
      <c r="BM2" s="10">
        <v>1190</v>
      </c>
      <c r="BO2" s="10">
        <v>1215</v>
      </c>
      <c r="BQ2" s="10">
        <v>1246</v>
      </c>
      <c r="BS2" s="10">
        <v>2063</v>
      </c>
      <c r="BU2" s="10">
        <v>1803</v>
      </c>
      <c r="BW2" s="10">
        <v>1694</v>
      </c>
      <c r="BY2" s="10">
        <v>1614</v>
      </c>
      <c r="CA2" s="10">
        <v>1092</v>
      </c>
      <c r="CC2" s="10">
        <v>1190</v>
      </c>
      <c r="CE2" s="10">
        <v>1758</v>
      </c>
      <c r="CG2" s="10">
        <v>1169</v>
      </c>
      <c r="CI2" s="10">
        <v>1177</v>
      </c>
      <c r="CK2" s="10">
        <v>1119</v>
      </c>
      <c r="CM2" s="10">
        <v>807</v>
      </c>
      <c r="CO2" s="10">
        <v>365</v>
      </c>
      <c r="CP2" s="10" t="s">
        <v>1718</v>
      </c>
    </row>
    <row r="3" spans="1:94" s="10" customFormat="1" ht="14.25" customHeight="1" thickBot="1">
      <c r="A3" s="727">
        <v>2</v>
      </c>
      <c r="B3" s="727" t="s">
        <v>25</v>
      </c>
      <c r="C3" s="745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8629</v>
      </c>
      <c r="AJ3" s="2">
        <v>6576</v>
      </c>
      <c r="AK3" s="2">
        <v>6459</v>
      </c>
      <c r="AL3" s="2">
        <v>9796</v>
      </c>
      <c r="AM3" s="2"/>
      <c r="AN3" s="2">
        <v>10334</v>
      </c>
      <c r="AO3" s="156">
        <f t="shared" ref="AO3:AO4" si="0">AN3/($AI3)</f>
        <v>1.1975895236991541</v>
      </c>
      <c r="AP3" s="2">
        <v>8966</v>
      </c>
      <c r="AQ3" s="156">
        <f t="shared" ref="AQ3:AQ4" si="1">AP3/($AI3)</f>
        <v>1.0390543516050528</v>
      </c>
      <c r="AR3" s="2">
        <v>7872</v>
      </c>
      <c r="AS3" s="156">
        <f t="shared" ref="AS3:BE4" si="2">AR3/($AI3)</f>
        <v>0.91227256924324951</v>
      </c>
      <c r="AT3" s="2">
        <v>16014</v>
      </c>
      <c r="AU3" s="156">
        <f t="shared" si="2"/>
        <v>1.8558349750840191</v>
      </c>
      <c r="AV3" s="2">
        <v>9054</v>
      </c>
      <c r="AW3" s="156">
        <f t="shared" si="2"/>
        <v>1.0492525205701704</v>
      </c>
      <c r="AX3" s="2">
        <v>7380</v>
      </c>
      <c r="AY3" s="156">
        <f t="shared" si="2"/>
        <v>0.85525553366554641</v>
      </c>
      <c r="AZ3" s="2">
        <v>7926</v>
      </c>
      <c r="BA3" s="156">
        <f t="shared" si="2"/>
        <v>0.91853053656275352</v>
      </c>
      <c r="BB3" s="2">
        <v>5672</v>
      </c>
      <c r="BC3" s="156">
        <f t="shared" si="2"/>
        <v>0.65731834511530884</v>
      </c>
      <c r="BD3" s="10">
        <v>7324</v>
      </c>
      <c r="BE3" s="156">
        <f t="shared" si="2"/>
        <v>0.84876578977865336</v>
      </c>
      <c r="BG3" s="10">
        <v>8398</v>
      </c>
      <c r="BI3" s="10">
        <v>7756</v>
      </c>
      <c r="BK3" s="10">
        <v>7045</v>
      </c>
      <c r="BM3" s="10">
        <v>7281</v>
      </c>
      <c r="BO3" s="10">
        <v>6729</v>
      </c>
      <c r="BQ3" s="10">
        <v>8132</v>
      </c>
      <c r="BS3" s="10">
        <v>7002</v>
      </c>
      <c r="BU3" s="10">
        <v>6629</v>
      </c>
      <c r="BW3" s="10">
        <v>7777</v>
      </c>
      <c r="BY3" s="10">
        <v>6870</v>
      </c>
      <c r="CA3" s="10">
        <v>6997</v>
      </c>
      <c r="CC3" s="10">
        <v>8891</v>
      </c>
      <c r="CE3" s="10">
        <v>8518</v>
      </c>
      <c r="CG3" s="10">
        <v>9517</v>
      </c>
      <c r="CI3" s="10">
        <v>9432</v>
      </c>
      <c r="CK3" s="10">
        <v>8555</v>
      </c>
      <c r="CM3" s="10">
        <v>6954</v>
      </c>
      <c r="CO3" s="10">
        <v>5860</v>
      </c>
      <c r="CP3" s="10" t="s">
        <v>1718</v>
      </c>
    </row>
    <row r="4" spans="1:94" s="304" customFormat="1" ht="45.75" customHeight="1" thickBot="1">
      <c r="A4" s="343">
        <v>3</v>
      </c>
      <c r="B4" s="306" t="s">
        <v>919</v>
      </c>
      <c r="C4" s="329" t="str">
        <f ca="1">E4</f>
        <v>{"dossier":p.DossierName1,"klient":`${p.FamilyName1}, ${p.ManFirstName1}`,"berGrundlage":"Besondere Wohnform","geplantVon":"05.11.2025","gueltigBis":"","individuelleAnpa":"444","begruendung":"Braucht mehr Geld","newTotal":"Total 3’293.00"}</v>
      </c>
      <c r="D4" s="329" t="s">
        <v>28</v>
      </c>
      <c r="E4" s="329" t="str">
        <f ca="1">F4&amp;G4&amp;H4&amp;I4&amp;J4&amp;K4&amp;L4&amp;M4&amp;N4&amp;O4&amp;P4&amp;Q4&amp;R4&amp;S4&amp;T4&amp;U4&amp;V4&amp;W4&amp;X4&amp;Y4&amp;Z4&amp;AA4&amp;AB4&amp;AC4&amp;AD4</f>
        <v>{"dossier":p.DossierName1,"klient":`${p.FamilyName1}, ${p.ManFirstName1}`,"berGrundlage":"Besondere Wohnform","geplantVon":"05.11.2025","gueltigBis":"","individuelleAnpa":"444","begruendung":"Braucht mehr Geld","newTotal":"Total 3’293.00"}</v>
      </c>
      <c r="F4" s="340" t="s">
        <v>159</v>
      </c>
      <c r="G4" s="329" t="s">
        <v>449</v>
      </c>
      <c r="H4" s="329" t="s">
        <v>769</v>
      </c>
      <c r="I4" s="289" t="s">
        <v>492</v>
      </c>
      <c r="J4" s="329" t="s">
        <v>920</v>
      </c>
      <c r="K4" s="329" t="s">
        <v>921</v>
      </c>
      <c r="L4" s="329" t="s">
        <v>922</v>
      </c>
      <c r="M4" s="376" t="str">
        <f ca="1">TEXT(TEXT(TODAY()+1,"DD")&amp;"."&amp;TEXT(TODAY()+1,"MM")&amp;"."&amp;TEXT(TODAY()+1,"YYYY"),"DD.MM.YYYY")</f>
        <v>05.11.2025</v>
      </c>
      <c r="N4" s="329" t="s">
        <v>168</v>
      </c>
      <c r="O4" s="344"/>
      <c r="P4" s="329" t="s">
        <v>923</v>
      </c>
      <c r="Q4" s="329">
        <v>444</v>
      </c>
      <c r="R4" s="329" t="s">
        <v>515</v>
      </c>
      <c r="S4" s="329" t="s">
        <v>924</v>
      </c>
      <c r="T4" s="329" t="s">
        <v>925</v>
      </c>
      <c r="U4" s="542" t="s">
        <v>1561</v>
      </c>
      <c r="V4" s="329" t="s">
        <v>37</v>
      </c>
      <c r="W4" s="289"/>
      <c r="X4" s="289"/>
      <c r="Y4" s="289"/>
      <c r="Z4" s="289"/>
      <c r="AA4" s="289"/>
      <c r="AB4" s="289"/>
      <c r="AC4" s="289"/>
      <c r="AD4" s="289"/>
      <c r="AE4" s="289"/>
      <c r="AF4" s="289"/>
      <c r="AG4" s="289"/>
      <c r="AH4" s="289"/>
      <c r="AI4" s="313">
        <v>17744</v>
      </c>
      <c r="AJ4" s="313">
        <v>17303</v>
      </c>
      <c r="AK4" s="313">
        <v>17464</v>
      </c>
      <c r="AL4" s="289">
        <v>17758</v>
      </c>
      <c r="AM4" s="289"/>
      <c r="AN4" s="289">
        <v>18143</v>
      </c>
      <c r="AO4" s="290">
        <f t="shared" si="0"/>
        <v>1.0224864743011721</v>
      </c>
      <c r="AP4" s="289">
        <v>17070</v>
      </c>
      <c r="AQ4" s="290">
        <f t="shared" si="1"/>
        <v>0.96201532912533816</v>
      </c>
      <c r="AR4" s="289">
        <v>143469</v>
      </c>
      <c r="AS4" s="290">
        <f t="shared" si="2"/>
        <v>8.0854936880072135</v>
      </c>
      <c r="AT4" s="289">
        <v>16143</v>
      </c>
      <c r="AU4" s="290">
        <f t="shared" si="2"/>
        <v>0.90977231740306586</v>
      </c>
      <c r="AV4" s="291">
        <v>11020</v>
      </c>
      <c r="AW4" s="290">
        <f t="shared" si="2"/>
        <v>0.62105500450856632</v>
      </c>
      <c r="AX4" s="291">
        <v>10318</v>
      </c>
      <c r="AY4" s="290">
        <f t="shared" si="2"/>
        <v>0.58149233543733092</v>
      </c>
      <c r="AZ4" s="291">
        <v>9797</v>
      </c>
      <c r="BA4" s="290">
        <f t="shared" si="2"/>
        <v>0.55213029756537424</v>
      </c>
      <c r="BB4" s="291">
        <v>9723</v>
      </c>
      <c r="BC4" s="290">
        <f t="shared" si="2"/>
        <v>0.54795987376014432</v>
      </c>
      <c r="BD4" s="304">
        <v>11363</v>
      </c>
      <c r="BE4" s="290">
        <f t="shared" si="2"/>
        <v>0.64038548241659154</v>
      </c>
      <c r="BG4" s="304">
        <v>11789</v>
      </c>
      <c r="BI4" s="304">
        <v>10665</v>
      </c>
      <c r="BK4" s="304">
        <v>10672</v>
      </c>
      <c r="BM4" s="304">
        <v>10755</v>
      </c>
      <c r="BO4" s="304">
        <v>7599</v>
      </c>
      <c r="BQ4" s="304">
        <v>9254</v>
      </c>
      <c r="BS4" s="304">
        <v>7820</v>
      </c>
      <c r="BU4" s="2157">
        <v>0</v>
      </c>
      <c r="BV4" s="2158" t="s">
        <v>1411</v>
      </c>
      <c r="BW4" s="2338">
        <v>0</v>
      </c>
      <c r="BX4" s="2339" t="s">
        <v>1427</v>
      </c>
      <c r="BY4" s="304">
        <v>404457</v>
      </c>
      <c r="CA4" s="2659">
        <v>0</v>
      </c>
      <c r="CB4" s="2660" t="s">
        <v>1448</v>
      </c>
      <c r="CC4" s="2844">
        <v>0</v>
      </c>
      <c r="CD4" s="2845" t="s">
        <v>1466</v>
      </c>
      <c r="CE4" s="3028">
        <v>0</v>
      </c>
      <c r="CF4" s="3029" t="s">
        <v>1483</v>
      </c>
      <c r="CG4" s="3218">
        <v>0</v>
      </c>
      <c r="CH4" s="3219" t="s">
        <v>1498</v>
      </c>
      <c r="CI4" s="3392">
        <v>0</v>
      </c>
      <c r="CJ4" s="3393" t="s">
        <v>1510</v>
      </c>
      <c r="CK4" s="3582">
        <v>0</v>
      </c>
      <c r="CL4" s="3583" t="s">
        <v>1539</v>
      </c>
      <c r="CM4" s="3876">
        <v>0</v>
      </c>
      <c r="CN4" s="3877" t="s">
        <v>1685</v>
      </c>
      <c r="CO4" s="4095">
        <v>0</v>
      </c>
      <c r="CP4" s="4096" t="s">
        <v>1736</v>
      </c>
    </row>
    <row r="5" spans="1:94">
      <c r="AO5" s="156"/>
      <c r="AQ5" s="156"/>
      <c r="AS5" s="156"/>
      <c r="AU5" s="156"/>
      <c r="AW5" s="156"/>
      <c r="AY5" s="156"/>
      <c r="BA5" s="156"/>
      <c r="BC5" s="156"/>
      <c r="BE5" s="156"/>
    </row>
    <row r="6" spans="1:94">
      <c r="C6" s="161" t="s">
        <v>926</v>
      </c>
      <c r="AO6" s="156"/>
      <c r="AQ6" s="156"/>
      <c r="AS6" s="156"/>
      <c r="AU6" s="156"/>
      <c r="AW6" s="156"/>
      <c r="AY6" s="156"/>
      <c r="BA6" s="156"/>
      <c r="BC6" s="156"/>
      <c r="BE6" s="156"/>
    </row>
    <row r="7" spans="1:94" ht="28.5">
      <c r="C7" s="161"/>
      <c r="M7" s="51" t="s">
        <v>1573</v>
      </c>
      <c r="AO7" s="156"/>
      <c r="AQ7" s="156"/>
      <c r="AS7" s="156"/>
      <c r="AU7" s="156"/>
      <c r="AW7" s="156"/>
      <c r="AY7" s="156"/>
      <c r="BA7" s="156"/>
      <c r="BC7" s="156"/>
      <c r="BE7" s="156"/>
    </row>
    <row r="8" spans="1:94">
      <c r="C8" s="161" t="s">
        <v>927</v>
      </c>
      <c r="AO8" s="2"/>
      <c r="AQ8" s="2"/>
      <c r="AS8" s="2"/>
      <c r="AU8" s="2"/>
      <c r="AW8" s="2"/>
      <c r="AY8" s="2"/>
      <c r="BA8" s="2"/>
      <c r="BC8" s="2"/>
      <c r="BE8" s="2"/>
    </row>
    <row r="9" spans="1:94">
      <c r="C9" s="161"/>
    </row>
    <row r="10" spans="1:94">
      <c r="C10" s="161" t="s">
        <v>1556</v>
      </c>
    </row>
    <row r="11" spans="1:94">
      <c r="C11" s="161"/>
    </row>
    <row r="12" spans="1:94">
      <c r="C12" s="161"/>
    </row>
    <row r="13" spans="1:94">
      <c r="C13" s="161"/>
    </row>
    <row r="14" spans="1:94">
      <c r="C14" s="161"/>
    </row>
    <row r="15" spans="1:94"/>
    <row r="16" spans="1:94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 spans="16:16">
      <c r="P33" s="50" t="s">
        <v>928</v>
      </c>
    </row>
  </sheetData>
  <conditionalFormatting sqref="AO2:AO146 AQ2:AQ146 AS2:AS146 AU2:AU146 AW2:AW146 AY2:AY146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92D050"/>
  </sheetPr>
  <dimension ref="A1:DG10"/>
  <sheetViews>
    <sheetView zoomScaleNormal="100" workbookViewId="0">
      <pane xSplit="2" ySplit="1" topLeftCell="C2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4.25" customHeight="1"/>
  <cols>
    <col min="1" max="1" width="4.85546875" style="1" customWidth="1"/>
    <col min="2" max="2" width="44.140625" style="2" customWidth="1"/>
    <col min="3" max="3" width="162.42578125" style="2" customWidth="1"/>
    <col min="4" max="4" width="9.140625" style="2" customWidth="1"/>
    <col min="5" max="5" width="30.85546875" style="3" customWidth="1"/>
    <col min="6" max="6" width="18.85546875" style="2" customWidth="1"/>
    <col min="7" max="8" width="26.85546875" style="2" customWidth="1"/>
    <col min="9" max="9" width="21.85546875" style="2" customWidth="1"/>
    <col min="10" max="10" width="21.42578125" style="2" customWidth="1"/>
    <col min="11" max="11" width="18.140625" style="2" customWidth="1"/>
    <col min="12" max="12" width="9.140625" style="2" customWidth="1"/>
    <col min="13" max="13" width="10.7109375" style="2" customWidth="1"/>
    <col min="14" max="14" width="9.140625" style="2" customWidth="1"/>
    <col min="15" max="15" width="22.5703125" style="2" customWidth="1"/>
    <col min="16" max="16" width="13.5703125" style="2" customWidth="1"/>
    <col min="17" max="17" width="24.5703125" style="2" customWidth="1"/>
    <col min="18" max="34" width="9.140625" style="2" customWidth="1"/>
    <col min="35" max="45" width="11.42578125" style="2" customWidth="1"/>
    <col min="46" max="46" width="11.42578125" style="12" customWidth="1"/>
    <col min="47" max="47" width="11.42578125" style="2" customWidth="1"/>
    <col min="48" max="48" width="11.42578125" style="12" customWidth="1"/>
    <col min="49" max="49" width="11.42578125" style="2" customWidth="1"/>
    <col min="50" max="50" width="11.42578125" style="12" customWidth="1"/>
    <col min="51" max="51" width="11.42578125" style="2" customWidth="1"/>
    <col min="52" max="52" width="11.42578125" style="12" customWidth="1"/>
    <col min="53" max="58" width="11.42578125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111" ht="18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3*60*1000*SpeedFaktor</f>
        <v>180000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489</v>
      </c>
      <c r="AM1" s="720" t="s">
        <v>10</v>
      </c>
      <c r="AN1" s="720" t="s">
        <v>677</v>
      </c>
      <c r="AO1" s="720" t="s">
        <v>11</v>
      </c>
      <c r="AP1" s="720" t="s">
        <v>698</v>
      </c>
      <c r="AQ1" s="720" t="s">
        <v>12</v>
      </c>
      <c r="AR1" s="720" t="s">
        <v>909</v>
      </c>
      <c r="AS1" s="720" t="s">
        <v>13</v>
      </c>
      <c r="AT1" s="721" t="s">
        <v>8</v>
      </c>
      <c r="AU1" s="720" t="s">
        <v>65</v>
      </c>
      <c r="AV1" s="721" t="s">
        <v>8</v>
      </c>
      <c r="AW1" s="720" t="s">
        <v>15</v>
      </c>
      <c r="AX1" s="721" t="s">
        <v>8</v>
      </c>
      <c r="AY1" s="720" t="s">
        <v>17</v>
      </c>
      <c r="AZ1" s="721" t="s">
        <v>8</v>
      </c>
      <c r="BA1" s="720" t="s">
        <v>1285</v>
      </c>
      <c r="BB1" s="720" t="s">
        <v>19</v>
      </c>
      <c r="BC1" s="720" t="s">
        <v>1286</v>
      </c>
      <c r="BD1" s="720" t="s">
        <v>20</v>
      </c>
      <c r="BE1" s="750" t="s">
        <v>1303</v>
      </c>
      <c r="BF1" s="751" t="s">
        <v>572</v>
      </c>
      <c r="BG1" s="863" t="s">
        <v>1311</v>
      </c>
      <c r="BH1" s="864" t="s">
        <v>572</v>
      </c>
      <c r="BI1" s="987" t="s">
        <v>1318</v>
      </c>
      <c r="BJ1" s="988" t="s">
        <v>572</v>
      </c>
      <c r="BK1" s="1135" t="s">
        <v>1324</v>
      </c>
      <c r="BL1" s="1136" t="s">
        <v>572</v>
      </c>
      <c r="BM1" s="1338" t="s">
        <v>1341</v>
      </c>
      <c r="BN1" s="1339" t="s">
        <v>572</v>
      </c>
      <c r="BO1" s="1592" t="s">
        <v>1363</v>
      </c>
      <c r="BP1" s="1593" t="s">
        <v>572</v>
      </c>
      <c r="BQ1" s="1732" t="s">
        <v>1368</v>
      </c>
      <c r="BR1" s="1733" t="s">
        <v>572</v>
      </c>
      <c r="BS1" s="1873" t="s">
        <v>1372</v>
      </c>
      <c r="BT1" s="1874" t="s">
        <v>572</v>
      </c>
      <c r="BU1" s="2159" t="s">
        <v>1397</v>
      </c>
      <c r="BV1" s="2160" t="s">
        <v>572</v>
      </c>
      <c r="BW1" s="2340" t="s">
        <v>1421</v>
      </c>
      <c r="BX1" s="2341" t="s">
        <v>572</v>
      </c>
      <c r="BY1" s="2498" t="s">
        <v>1434</v>
      </c>
      <c r="BZ1" s="2499" t="s">
        <v>572</v>
      </c>
      <c r="CA1" s="2661" t="s">
        <v>1442</v>
      </c>
      <c r="CB1" s="2662" t="s">
        <v>572</v>
      </c>
      <c r="CC1" s="2846" t="s">
        <v>1460</v>
      </c>
      <c r="CD1" s="2847" t="s">
        <v>572</v>
      </c>
      <c r="CE1" s="3030" t="s">
        <v>1472</v>
      </c>
      <c r="CF1" s="3031" t="s">
        <v>572</v>
      </c>
      <c r="CG1" s="3220" t="s">
        <v>1492</v>
      </c>
      <c r="CH1" s="3221" t="s">
        <v>572</v>
      </c>
      <c r="CI1" s="3394" t="s">
        <v>1503</v>
      </c>
      <c r="CJ1" s="3395" t="s">
        <v>572</v>
      </c>
      <c r="CK1" s="3584" t="s">
        <v>1519</v>
      </c>
      <c r="CL1" s="3585" t="s">
        <v>572</v>
      </c>
      <c r="CM1" s="3878" t="s">
        <v>1666</v>
      </c>
      <c r="CN1" s="3879" t="s">
        <v>572</v>
      </c>
      <c r="CO1" s="4097" t="s">
        <v>1717</v>
      </c>
      <c r="CP1" s="4098" t="s">
        <v>572</v>
      </c>
    </row>
    <row r="2" spans="1:111" s="10" customFormat="1" ht="14.25" customHeight="1">
      <c r="A2" s="122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2245</v>
      </c>
      <c r="AJ2" s="2">
        <v>2115</v>
      </c>
      <c r="AK2" s="2">
        <v>2123</v>
      </c>
      <c r="AL2" s="2">
        <v>1635</v>
      </c>
      <c r="AM2" s="2">
        <v>1469</v>
      </c>
      <c r="AN2" s="2"/>
      <c r="AO2" s="2">
        <v>1965</v>
      </c>
      <c r="AP2" s="2"/>
      <c r="AQ2" s="2">
        <v>1397</v>
      </c>
      <c r="AR2" s="2"/>
      <c r="AS2" s="2">
        <v>1334</v>
      </c>
      <c r="AT2" s="156">
        <f>AS2/($AI2)</f>
        <v>0.59420935412026721</v>
      </c>
      <c r="AU2" s="2">
        <v>2388</v>
      </c>
      <c r="AV2" s="156">
        <f>AU2/($AI2)</f>
        <v>1.06369710467706</v>
      </c>
      <c r="AW2" s="2">
        <v>1387</v>
      </c>
      <c r="AX2" s="156">
        <f>AW2/($AI2)</f>
        <v>0.61781737193763919</v>
      </c>
      <c r="AY2" s="2">
        <v>1695</v>
      </c>
      <c r="AZ2" s="156">
        <f>AY2/($AI2)</f>
        <v>0.75501113585746105</v>
      </c>
      <c r="BA2" s="2">
        <v>1298</v>
      </c>
      <c r="BB2" s="2"/>
      <c r="BC2" s="2">
        <v>583</v>
      </c>
      <c r="BD2" s="2"/>
      <c r="BE2" s="10">
        <v>1273</v>
      </c>
      <c r="BG2" s="10">
        <v>1289</v>
      </c>
      <c r="BI2" s="10">
        <v>1156</v>
      </c>
      <c r="BK2" s="10">
        <v>1194</v>
      </c>
      <c r="BM2" s="10">
        <v>1233</v>
      </c>
      <c r="BO2" s="10">
        <v>1188</v>
      </c>
      <c r="BQ2" s="10">
        <v>1228</v>
      </c>
      <c r="BS2" s="10">
        <v>1201</v>
      </c>
      <c r="BU2" s="10">
        <v>1902</v>
      </c>
      <c r="BW2" s="10">
        <v>1623</v>
      </c>
      <c r="BY2" s="10">
        <v>1789</v>
      </c>
      <c r="CA2" s="10">
        <v>1230</v>
      </c>
      <c r="CC2" s="10">
        <v>1321</v>
      </c>
      <c r="CE2" s="10">
        <v>1555</v>
      </c>
      <c r="CG2" s="10">
        <v>1098</v>
      </c>
      <c r="CI2" s="10">
        <v>1262</v>
      </c>
      <c r="CK2" s="10">
        <v>1223</v>
      </c>
      <c r="CM2" s="10">
        <v>914</v>
      </c>
      <c r="CO2" s="10">
        <v>408</v>
      </c>
      <c r="CP2" s="10" t="s">
        <v>1718</v>
      </c>
    </row>
    <row r="3" spans="1:111" s="10" customFormat="1" ht="14.25" customHeight="1" thickBot="1">
      <c r="A3" s="122">
        <v>2</v>
      </c>
      <c r="B3" s="122" t="s">
        <v>25</v>
      </c>
      <c r="C3" s="120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7911</v>
      </c>
      <c r="AJ3" s="2">
        <v>6922</v>
      </c>
      <c r="AK3" s="2">
        <v>7812</v>
      </c>
      <c r="AL3" s="2">
        <v>9020</v>
      </c>
      <c r="AM3" s="2">
        <v>8990</v>
      </c>
      <c r="AN3" s="2"/>
      <c r="AO3" s="2">
        <v>9656</v>
      </c>
      <c r="AP3" s="2"/>
      <c r="AQ3" s="2">
        <v>8510</v>
      </c>
      <c r="AR3" s="2"/>
      <c r="AS3" s="2">
        <v>7605</v>
      </c>
      <c r="AT3" s="156">
        <f t="shared" ref="AT3:AZ10" si="0">AS3/($AI3)</f>
        <v>0.96131968145620028</v>
      </c>
      <c r="AU3" s="2">
        <v>17474</v>
      </c>
      <c r="AV3" s="156">
        <f t="shared" si="0"/>
        <v>2.2088231576286184</v>
      </c>
      <c r="AW3" s="2">
        <v>8963</v>
      </c>
      <c r="AX3" s="156">
        <f t="shared" si="0"/>
        <v>1.1329793957780305</v>
      </c>
      <c r="AY3" s="2">
        <v>7382</v>
      </c>
      <c r="AZ3" s="156">
        <f t="shared" si="0"/>
        <v>0.93313108330173178</v>
      </c>
      <c r="BA3" s="2">
        <v>7751</v>
      </c>
      <c r="BB3" s="2"/>
      <c r="BC3" s="2">
        <v>5093</v>
      </c>
      <c r="BD3" s="2"/>
      <c r="BE3" s="10">
        <v>7604</v>
      </c>
      <c r="BG3" s="10">
        <v>7421</v>
      </c>
      <c r="BI3" s="10">
        <v>7339</v>
      </c>
      <c r="BK3" s="10">
        <v>7154</v>
      </c>
      <c r="BM3" s="10">
        <v>7174</v>
      </c>
      <c r="BO3" s="10">
        <v>6737</v>
      </c>
      <c r="BQ3" s="10">
        <v>7665</v>
      </c>
      <c r="BS3" s="10">
        <v>7012</v>
      </c>
      <c r="BU3" s="10">
        <v>6984</v>
      </c>
      <c r="BW3" s="10">
        <v>6791</v>
      </c>
      <c r="BY3" s="10">
        <v>6751</v>
      </c>
      <c r="CA3" s="10">
        <v>7653</v>
      </c>
      <c r="CC3" s="10">
        <v>10344</v>
      </c>
      <c r="CE3" s="10">
        <v>8595</v>
      </c>
      <c r="CG3" s="10">
        <v>7635</v>
      </c>
      <c r="CI3" s="10">
        <v>8800</v>
      </c>
      <c r="CK3" s="10">
        <v>8917</v>
      </c>
      <c r="CM3" s="10">
        <v>10238</v>
      </c>
      <c r="CO3" s="10">
        <v>5491</v>
      </c>
      <c r="CP3" s="10" t="s">
        <v>1718</v>
      </c>
    </row>
    <row r="4" spans="1:111" s="10" customFormat="1" ht="17.25" customHeight="1" thickBot="1">
      <c r="A4" s="122">
        <v>4</v>
      </c>
      <c r="B4" s="692" t="s">
        <v>929</v>
      </c>
      <c r="C4" s="121" t="str">
        <f>E4</f>
        <v>{"dossier":p.DossierName1,"spaltenName":"Konto anzeigen","pruefenVisibleTitel":"Konto"}</v>
      </c>
      <c r="D4" s="187"/>
      <c r="E4" s="24" t="str">
        <f>F4&amp;G4&amp;H4&amp;I4&amp;J4&amp;K4&amp;L4&amp;M4&amp;N4&amp;O4&amp;P4&amp;Q4&amp;R4&amp;S4&amp;T4&amp;U4&amp;V4&amp;W4&amp;X4&amp;Y4&amp;Z4&amp;AA4&amp;AB4&amp;AC4&amp;AD4</f>
        <v>{"dossier":p.DossierName1,"spaltenName":"Konto anzeigen","pruefenVisibleTitel":"Konto"}</v>
      </c>
      <c r="F4" s="378" t="s">
        <v>159</v>
      </c>
      <c r="G4" s="24" t="s">
        <v>449</v>
      </c>
      <c r="H4" s="255" t="s">
        <v>930</v>
      </c>
      <c r="I4" s="24" t="s">
        <v>931</v>
      </c>
      <c r="J4" s="264" t="s">
        <v>932</v>
      </c>
      <c r="K4" s="265" t="s">
        <v>933</v>
      </c>
      <c r="L4" s="24" t="s">
        <v>37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>
        <v>13472</v>
      </c>
      <c r="AJ4" s="24">
        <v>13553</v>
      </c>
      <c r="AK4" s="24">
        <v>13515</v>
      </c>
      <c r="AL4" s="24">
        <v>21850</v>
      </c>
      <c r="AM4" s="24">
        <v>12295</v>
      </c>
      <c r="AN4" s="24"/>
      <c r="AO4" s="24">
        <v>12526</v>
      </c>
      <c r="AP4" s="24"/>
      <c r="AQ4" s="24">
        <v>12452</v>
      </c>
      <c r="AR4" s="24"/>
      <c r="AS4" s="24">
        <v>12173</v>
      </c>
      <c r="AT4" s="156">
        <f t="shared" si="0"/>
        <v>0.9035777909738717</v>
      </c>
      <c r="AU4" s="24">
        <v>9373</v>
      </c>
      <c r="AV4" s="156">
        <f t="shared" si="0"/>
        <v>0.69573931116389554</v>
      </c>
      <c r="AW4" s="2">
        <v>6312</v>
      </c>
      <c r="AX4" s="156">
        <f t="shared" si="0"/>
        <v>0.46852731591448932</v>
      </c>
      <c r="AY4" s="2">
        <v>6258</v>
      </c>
      <c r="AZ4" s="156">
        <f t="shared" si="0"/>
        <v>0.46451900237529692</v>
      </c>
      <c r="BA4" s="2">
        <v>6438</v>
      </c>
      <c r="BB4" s="2"/>
      <c r="BC4" s="2">
        <v>6020</v>
      </c>
      <c r="BD4" s="2"/>
      <c r="BE4" s="10">
        <v>6684</v>
      </c>
      <c r="BG4" s="10">
        <v>7301</v>
      </c>
      <c r="BI4" s="10">
        <v>6529</v>
      </c>
      <c r="BK4" s="10">
        <v>6865</v>
      </c>
      <c r="BM4" s="10">
        <v>6582</v>
      </c>
      <c r="BO4" s="10">
        <v>3830</v>
      </c>
      <c r="BQ4" s="10">
        <v>4953</v>
      </c>
      <c r="BS4" s="10">
        <v>3856</v>
      </c>
      <c r="BU4" s="2161">
        <v>0</v>
      </c>
      <c r="BV4" s="2162" t="s">
        <v>1412</v>
      </c>
      <c r="BW4" s="10">
        <v>7126</v>
      </c>
      <c r="BY4" s="10">
        <v>6986</v>
      </c>
      <c r="CA4" s="10">
        <v>10358</v>
      </c>
      <c r="CC4" s="10">
        <v>7174</v>
      </c>
      <c r="CE4" s="10">
        <v>6019</v>
      </c>
      <c r="CG4" s="10">
        <v>6472</v>
      </c>
      <c r="CI4" s="10">
        <v>6720</v>
      </c>
      <c r="CK4" s="3586">
        <v>0</v>
      </c>
      <c r="CL4" s="3587" t="s">
        <v>1540</v>
      </c>
      <c r="CM4" s="10">
        <v>8483</v>
      </c>
      <c r="CO4" s="10">
        <v>5808</v>
      </c>
      <c r="CP4" s="10" t="s">
        <v>1718</v>
      </c>
    </row>
    <row r="5" spans="1:111" s="2722" customFormat="1" ht="16.5" customHeight="1" thickBot="1">
      <c r="A5" s="2721">
        <v>50</v>
      </c>
      <c r="B5" s="2722" t="s">
        <v>22</v>
      </c>
      <c r="C5" s="2723" t="s">
        <v>194</v>
      </c>
      <c r="D5" s="2724"/>
      <c r="E5" s="2725"/>
      <c r="F5" s="2726"/>
      <c r="G5" s="2727"/>
      <c r="H5" s="2727"/>
      <c r="I5" s="2727"/>
      <c r="J5" s="2727"/>
      <c r="K5" s="2727"/>
      <c r="L5" s="2727"/>
      <c r="M5" s="2727"/>
      <c r="N5" s="2727"/>
      <c r="O5" s="2727"/>
      <c r="P5" s="2727"/>
      <c r="Q5" s="2727"/>
      <c r="R5" s="2727"/>
      <c r="S5" s="2727"/>
      <c r="T5" s="2727"/>
      <c r="U5" s="2727"/>
      <c r="V5" s="2727"/>
      <c r="W5" s="2727"/>
      <c r="X5" s="2724"/>
      <c r="Y5" s="2724"/>
      <c r="Z5" s="2724"/>
      <c r="AA5" s="2724"/>
      <c r="AB5" s="2724"/>
      <c r="AC5" s="2724"/>
      <c r="AD5" s="2724"/>
      <c r="AE5" s="2724"/>
      <c r="AF5" s="2724"/>
      <c r="AG5" s="2724"/>
      <c r="AH5" s="2724"/>
      <c r="AI5" s="2724">
        <v>2011</v>
      </c>
      <c r="AJ5" s="2728"/>
      <c r="AK5" s="2729"/>
      <c r="AL5" s="2724">
        <v>2008</v>
      </c>
      <c r="AM5" s="2730">
        <f t="shared" ref="AM5" si="1">AL5/($AI5)</f>
        <v>0.99850820487319747</v>
      </c>
      <c r="AN5" s="2724">
        <v>2011</v>
      </c>
      <c r="AO5" s="2730">
        <f t="shared" ref="AO5" si="2">AN5/($AI5)</f>
        <v>1</v>
      </c>
      <c r="AP5" s="2724"/>
      <c r="AQ5" s="2730">
        <f t="shared" ref="AQ5" si="3">AP5/($AI5)</f>
        <v>0</v>
      </c>
      <c r="AR5" s="2724">
        <v>2013</v>
      </c>
      <c r="AS5" s="2730">
        <f t="shared" ref="AS5" si="4">AR5/($AI5)</f>
        <v>1.0009945300845351</v>
      </c>
      <c r="AT5" s="2724">
        <v>2020</v>
      </c>
      <c r="AU5" s="2730">
        <f t="shared" ref="AU5" si="5">AT5/($AI5)</f>
        <v>1.0044753853804078</v>
      </c>
      <c r="AV5" s="2724">
        <v>2017</v>
      </c>
      <c r="AW5" s="2730">
        <f t="shared" ref="AW5" si="6">AV5/($AI5)</f>
        <v>1.0029835902536051</v>
      </c>
      <c r="AX5" s="2724">
        <v>2019</v>
      </c>
      <c r="AY5" s="2730">
        <f t="shared" ref="AY5" si="7">AX5/($AI5)</f>
        <v>1.0039781203381402</v>
      </c>
      <c r="AZ5" s="2724">
        <v>2013</v>
      </c>
      <c r="BA5" s="2724"/>
      <c r="BB5" s="2724">
        <v>341</v>
      </c>
      <c r="BC5" s="2730">
        <f t="shared" ref="BC5" si="8">BB5/($AI5)</f>
        <v>0.16956737941322725</v>
      </c>
      <c r="BD5" s="2724">
        <v>2007</v>
      </c>
      <c r="BE5" s="2730">
        <f t="shared" ref="BE5" si="9">BD5/($AI5)</f>
        <v>0.99801093983092992</v>
      </c>
      <c r="BF5" s="2724">
        <v>2003</v>
      </c>
      <c r="BG5" s="2730">
        <f t="shared" ref="BG5" si="10">BF5/($AI5)</f>
        <v>0.99602187966185973</v>
      </c>
      <c r="BH5" s="2724">
        <v>2009</v>
      </c>
      <c r="BI5" s="2730">
        <f t="shared" ref="BI5" si="11">BH5/($AI5)</f>
        <v>0.99900546991546491</v>
      </c>
      <c r="BK5" s="2722">
        <v>2019</v>
      </c>
      <c r="BL5" s="2730">
        <f t="shared" ref="BL5" si="12">BK5/($AI5)</f>
        <v>1.0039781203381402</v>
      </c>
      <c r="BM5" s="2722">
        <v>2008</v>
      </c>
      <c r="BN5" s="2730">
        <f t="shared" ref="BN5" si="13">BM5/($AI5)</f>
        <v>0.99850820487319747</v>
      </c>
      <c r="BO5" s="2722">
        <v>2005</v>
      </c>
      <c r="BP5" s="2730">
        <f t="shared" ref="BP5" si="14">BO5/($AI5)</f>
        <v>0.99701640974639483</v>
      </c>
      <c r="BQ5" s="2722">
        <v>2012</v>
      </c>
      <c r="BR5" s="2730">
        <f t="shared" ref="BR5" si="15">BQ5/($AI5)</f>
        <v>1.0004972650422674</v>
      </c>
      <c r="BS5" s="2722">
        <v>2004</v>
      </c>
      <c r="BT5" s="2730">
        <f t="shared" ref="BT5" si="16">BS5/($AI5)</f>
        <v>0.99651914470412728</v>
      </c>
      <c r="BU5" s="2722">
        <v>2005</v>
      </c>
      <c r="BV5" s="2730">
        <f t="shared" ref="BV5" si="17">BU5/($AI5)</f>
        <v>0.99701640974639483</v>
      </c>
      <c r="BW5" s="2722">
        <v>2013</v>
      </c>
      <c r="BX5" s="2730">
        <f t="shared" ref="BX5" si="18">BW5/($AI5)</f>
        <v>1.0009945300845351</v>
      </c>
      <c r="BY5" s="2722">
        <v>2013</v>
      </c>
      <c r="BZ5" s="2730">
        <f t="shared" ref="BZ5" si="19">BY5/($AI5)</f>
        <v>1.0009945300845351</v>
      </c>
      <c r="CA5" s="2722">
        <v>2006</v>
      </c>
      <c r="CB5" s="2730">
        <f t="shared" ref="CB5" si="20">CA5/($AI5)</f>
        <v>0.99751367478866237</v>
      </c>
      <c r="CC5" s="2722">
        <v>2006</v>
      </c>
      <c r="CD5" s="2730">
        <f t="shared" ref="CD5" si="21">CC5/($AI5)</f>
        <v>0.99751367478866237</v>
      </c>
      <c r="CE5" s="2722">
        <v>2015</v>
      </c>
      <c r="CF5" s="2730">
        <f t="shared" ref="CF5" si="22">CE5/($AI5)</f>
        <v>1.0019890601690702</v>
      </c>
      <c r="CG5" s="2722">
        <v>2010</v>
      </c>
      <c r="CH5" s="2730">
        <f t="shared" ref="CH5" si="23">CG5/($AI5)</f>
        <v>0.99950273495773245</v>
      </c>
      <c r="CI5" s="2722">
        <v>2012</v>
      </c>
      <c r="CJ5" s="2730">
        <f t="shared" ref="CJ5" si="24">CI5/($AI5)</f>
        <v>1.0004972650422674</v>
      </c>
      <c r="CK5" s="2722">
        <v>2005</v>
      </c>
      <c r="CL5" s="2730">
        <f t="shared" ref="CL5" si="25">CK5/($AI5)</f>
        <v>0.99701640974639483</v>
      </c>
      <c r="CM5" s="2722">
        <v>4</v>
      </c>
      <c r="CN5" s="2730"/>
      <c r="CO5" s="2722">
        <v>7</v>
      </c>
      <c r="CP5" s="2730" t="s">
        <v>1718</v>
      </c>
      <c r="CQ5" s="2722">
        <v>12881</v>
      </c>
      <c r="CR5" s="2730">
        <f t="shared" ref="CR5" si="26">CQ5/($AI5)</f>
        <v>6.4052710094480361</v>
      </c>
      <c r="CS5" s="2722">
        <v>16955</v>
      </c>
      <c r="CT5" s="2730">
        <f t="shared" ref="CT5" si="27">CS5/($AI5)</f>
        <v>8.4311287916459481</v>
      </c>
      <c r="CU5" s="2722">
        <v>17778</v>
      </c>
      <c r="CV5" s="2730">
        <f t="shared" ref="CV5" si="28">CU5/($AI5)</f>
        <v>8.8403779214321236</v>
      </c>
      <c r="CW5" s="2722">
        <v>3806</v>
      </c>
      <c r="CX5" s="2730">
        <f t="shared" ref="CX5" si="29">CW5/($AI5)</f>
        <v>1.8925907508702138</v>
      </c>
      <c r="CY5" s="2722">
        <v>1914</v>
      </c>
      <c r="DA5" s="2722">
        <v>6014</v>
      </c>
      <c r="DC5" s="2722">
        <v>6014</v>
      </c>
      <c r="DE5" s="2722">
        <v>6033</v>
      </c>
      <c r="DG5" s="2722">
        <v>609</v>
      </c>
    </row>
    <row r="6" spans="1:111" s="142" customFormat="1" ht="17.25" customHeight="1" thickBot="1">
      <c r="A6" s="747">
        <v>6</v>
      </c>
      <c r="B6" s="748" t="s">
        <v>929</v>
      </c>
      <c r="C6" s="293" t="str">
        <f>E6</f>
        <v>{"dossier":p.DossierName1,"spaltenName":"Zahlungsempfänger/in anzeigen","pruefenVisibleTitel":"Zahlungsempfänger/in"}</v>
      </c>
      <c r="D6" s="379" t="s">
        <v>263</v>
      </c>
      <c r="E6" s="297" t="str">
        <f t="shared" ref="E6:E10" si="30">F6&amp;G6&amp;H6&amp;I6&amp;J6&amp;K6&amp;L6&amp;M6&amp;N6&amp;O6&amp;P6&amp;Q6&amp;R6&amp;S6&amp;T6&amp;U6&amp;V6&amp;W6&amp;X6&amp;Y6&amp;Z6&amp;AA6&amp;AB6&amp;AC6&amp;AD6</f>
        <v>{"dossier":p.DossierName1,"spaltenName":"Zahlungsempfänger/in anzeigen","pruefenVisibleTitel":"Zahlungsempfänger/in"}</v>
      </c>
      <c r="F6" s="380" t="s">
        <v>159</v>
      </c>
      <c r="G6" s="297" t="s">
        <v>449</v>
      </c>
      <c r="H6" s="381" t="s">
        <v>930</v>
      </c>
      <c r="I6" s="382" t="s">
        <v>934</v>
      </c>
      <c r="J6" s="383" t="s">
        <v>932</v>
      </c>
      <c r="K6" s="384" t="s">
        <v>1454</v>
      </c>
      <c r="L6" s="297" t="s">
        <v>37</v>
      </c>
      <c r="M6" s="382"/>
      <c r="N6" s="297"/>
      <c r="O6" s="297"/>
      <c r="P6" s="297"/>
      <c r="Q6" s="297"/>
      <c r="R6" s="297"/>
      <c r="S6" s="297"/>
      <c r="T6" s="297"/>
      <c r="U6" s="297"/>
      <c r="V6" s="297"/>
      <c r="W6" s="297"/>
      <c r="X6" s="297"/>
      <c r="Y6" s="297"/>
      <c r="Z6" s="297"/>
      <c r="AA6" s="297"/>
      <c r="AB6" s="297"/>
      <c r="AC6" s="297"/>
      <c r="AD6" s="297"/>
      <c r="AE6" s="297"/>
      <c r="AF6" s="297"/>
      <c r="AG6" s="297"/>
      <c r="AH6" s="297"/>
      <c r="AI6" s="297">
        <v>14288</v>
      </c>
      <c r="AJ6" s="297">
        <v>13627</v>
      </c>
      <c r="AK6" s="297">
        <v>13625</v>
      </c>
      <c r="AL6" s="297">
        <v>18020</v>
      </c>
      <c r="AM6" s="297">
        <v>12317</v>
      </c>
      <c r="AN6" s="297"/>
      <c r="AO6" s="297">
        <v>12588</v>
      </c>
      <c r="AP6" s="297"/>
      <c r="AQ6" s="297">
        <v>12595</v>
      </c>
      <c r="AR6" s="297"/>
      <c r="AS6" s="297">
        <v>12546</v>
      </c>
      <c r="AT6" s="296">
        <f t="shared" si="0"/>
        <v>0.87807950727883544</v>
      </c>
      <c r="AU6" s="297">
        <v>8265</v>
      </c>
      <c r="AV6" s="296">
        <f t="shared" si="0"/>
        <v>0.57845744680851063</v>
      </c>
      <c r="AW6" s="297">
        <v>5780</v>
      </c>
      <c r="AX6" s="296">
        <f t="shared" si="0"/>
        <v>0.40453527435610304</v>
      </c>
      <c r="AY6" s="297">
        <v>5724</v>
      </c>
      <c r="AZ6" s="296">
        <f t="shared" si="0"/>
        <v>0.40061590145576709</v>
      </c>
      <c r="BA6" s="297">
        <v>5624</v>
      </c>
      <c r="BB6" s="297"/>
      <c r="BC6" s="297">
        <v>5566</v>
      </c>
      <c r="BD6" s="297"/>
      <c r="BE6" s="142">
        <v>6040</v>
      </c>
      <c r="BG6" s="142">
        <v>6265</v>
      </c>
      <c r="BI6" s="142">
        <v>5845</v>
      </c>
      <c r="BK6" s="142">
        <v>6025</v>
      </c>
      <c r="BM6" s="142">
        <v>6065</v>
      </c>
      <c r="BO6" s="142">
        <v>3079</v>
      </c>
      <c r="BQ6" s="142">
        <v>3640</v>
      </c>
      <c r="BS6" s="142">
        <v>3099</v>
      </c>
      <c r="BU6" s="142">
        <v>253</v>
      </c>
      <c r="BW6" s="142">
        <v>4484</v>
      </c>
      <c r="BY6" s="142">
        <v>4103</v>
      </c>
      <c r="CA6" s="142">
        <v>6100</v>
      </c>
      <c r="CC6" s="2848">
        <v>0</v>
      </c>
      <c r="CD6" s="2849" t="s">
        <v>1484</v>
      </c>
      <c r="CE6" s="3032">
        <v>0</v>
      </c>
      <c r="CF6" s="3033" t="s">
        <v>1484</v>
      </c>
      <c r="CG6" s="142">
        <v>5411</v>
      </c>
      <c r="CI6" s="142">
        <v>5319</v>
      </c>
      <c r="CK6" s="142">
        <v>182</v>
      </c>
      <c r="CM6" s="142">
        <v>5352</v>
      </c>
      <c r="CO6" s="142">
        <v>5282</v>
      </c>
      <c r="CP6" s="142" t="s">
        <v>1718</v>
      </c>
    </row>
    <row r="7" spans="1:111" s="2722" customFormat="1" ht="16.5" customHeight="1" thickBot="1">
      <c r="A7" s="2721">
        <v>50</v>
      </c>
      <c r="B7" s="2722" t="s">
        <v>22</v>
      </c>
      <c r="C7" s="2723" t="s">
        <v>194</v>
      </c>
      <c r="D7" s="2724"/>
      <c r="E7" s="2725"/>
      <c r="F7" s="2726"/>
      <c r="G7" s="2727"/>
      <c r="H7" s="2727"/>
      <c r="I7" s="2727"/>
      <c r="J7" s="2727"/>
      <c r="K7" s="2727"/>
      <c r="L7" s="2727"/>
      <c r="M7" s="2727"/>
      <c r="N7" s="2727"/>
      <c r="O7" s="2727"/>
      <c r="P7" s="2727"/>
      <c r="Q7" s="2727"/>
      <c r="R7" s="2727"/>
      <c r="S7" s="2727"/>
      <c r="T7" s="2727"/>
      <c r="U7" s="2727"/>
      <c r="V7" s="2727"/>
      <c r="W7" s="2727"/>
      <c r="X7" s="2724"/>
      <c r="Y7" s="2724"/>
      <c r="Z7" s="2724"/>
      <c r="AA7" s="2724"/>
      <c r="AB7" s="2724"/>
      <c r="AC7" s="2724"/>
      <c r="AD7" s="2724"/>
      <c r="AE7" s="2724"/>
      <c r="AF7" s="2724"/>
      <c r="AG7" s="2724"/>
      <c r="AH7" s="2724"/>
      <c r="AI7" s="2724">
        <v>2011</v>
      </c>
      <c r="AJ7" s="2728"/>
      <c r="AK7" s="2729"/>
      <c r="AL7" s="2724">
        <v>2008</v>
      </c>
      <c r="AM7" s="2730">
        <f t="shared" ref="AM7" si="31">AL7/($AI7)</f>
        <v>0.99850820487319747</v>
      </c>
      <c r="AN7" s="2724">
        <v>2011</v>
      </c>
      <c r="AO7" s="2730">
        <f t="shared" ref="AO7" si="32">AN7/($AI7)</f>
        <v>1</v>
      </c>
      <c r="AP7" s="2724"/>
      <c r="AQ7" s="2730">
        <f t="shared" ref="AQ7" si="33">AP7/($AI7)</f>
        <v>0</v>
      </c>
      <c r="AR7" s="2724">
        <v>2013</v>
      </c>
      <c r="AS7" s="2730">
        <f t="shared" ref="AS7" si="34">AR7/($AI7)</f>
        <v>1.0009945300845351</v>
      </c>
      <c r="AT7" s="2724">
        <v>2020</v>
      </c>
      <c r="AU7" s="2730">
        <f t="shared" ref="AU7" si="35">AT7/($AI7)</f>
        <v>1.0044753853804078</v>
      </c>
      <c r="AV7" s="2724">
        <v>2017</v>
      </c>
      <c r="AW7" s="2730">
        <f t="shared" ref="AW7" si="36">AV7/($AI7)</f>
        <v>1.0029835902536051</v>
      </c>
      <c r="AX7" s="2724">
        <v>2019</v>
      </c>
      <c r="AY7" s="2730">
        <f t="shared" ref="AY7" si="37">AX7/($AI7)</f>
        <v>1.0039781203381402</v>
      </c>
      <c r="AZ7" s="2724">
        <v>2013</v>
      </c>
      <c r="BA7" s="2724"/>
      <c r="BB7" s="2724">
        <v>341</v>
      </c>
      <c r="BC7" s="2730">
        <f t="shared" ref="BC7" si="38">BB7/($AI7)</f>
        <v>0.16956737941322725</v>
      </c>
      <c r="BD7" s="2724">
        <v>2007</v>
      </c>
      <c r="BE7" s="2730">
        <f t="shared" ref="BE7" si="39">BD7/($AI7)</f>
        <v>0.99801093983092992</v>
      </c>
      <c r="BF7" s="2724">
        <v>2003</v>
      </c>
      <c r="BG7" s="2730">
        <f t="shared" ref="BG7" si="40">BF7/($AI7)</f>
        <v>0.99602187966185973</v>
      </c>
      <c r="BH7" s="2724">
        <v>2009</v>
      </c>
      <c r="BI7" s="2730">
        <f t="shared" ref="BI7" si="41">BH7/($AI7)</f>
        <v>0.99900546991546491</v>
      </c>
      <c r="BK7" s="2722">
        <v>2019</v>
      </c>
      <c r="BL7" s="2730">
        <f t="shared" ref="BL7" si="42">BK7/($AI7)</f>
        <v>1.0039781203381402</v>
      </c>
      <c r="BM7" s="2722">
        <v>2008</v>
      </c>
      <c r="BN7" s="2730">
        <f t="shared" ref="BN7" si="43">BM7/($AI7)</f>
        <v>0.99850820487319747</v>
      </c>
      <c r="BO7" s="2722">
        <v>2005</v>
      </c>
      <c r="BP7" s="2730">
        <f t="shared" ref="BP7" si="44">BO7/($AI7)</f>
        <v>0.99701640974639483</v>
      </c>
      <c r="BQ7" s="2722">
        <v>2012</v>
      </c>
      <c r="BR7" s="2730">
        <f t="shared" ref="BR7" si="45">BQ7/($AI7)</f>
        <v>1.0004972650422674</v>
      </c>
      <c r="BS7" s="2722">
        <v>2004</v>
      </c>
      <c r="BT7" s="2730">
        <f t="shared" ref="BT7" si="46">BS7/($AI7)</f>
        <v>0.99651914470412728</v>
      </c>
      <c r="BU7" s="2722">
        <v>2005</v>
      </c>
      <c r="BV7" s="2730">
        <f t="shared" ref="BV7" si="47">BU7/($AI7)</f>
        <v>0.99701640974639483</v>
      </c>
      <c r="BW7" s="2722">
        <v>2013</v>
      </c>
      <c r="BX7" s="2730">
        <f t="shared" ref="BX7" si="48">BW7/($AI7)</f>
        <v>1.0009945300845351</v>
      </c>
      <c r="BY7" s="2722">
        <v>2013</v>
      </c>
      <c r="BZ7" s="2730">
        <f t="shared" ref="BZ7" si="49">BY7/($AI7)</f>
        <v>1.0009945300845351</v>
      </c>
      <c r="CA7" s="2722">
        <v>2006</v>
      </c>
      <c r="CB7" s="2730">
        <f t="shared" ref="CB7" si="50">CA7/($AI7)</f>
        <v>0.99751367478866237</v>
      </c>
      <c r="CC7" s="2722">
        <v>2006</v>
      </c>
      <c r="CD7" s="2730">
        <f t="shared" ref="CD7" si="51">CC7/($AI7)</f>
        <v>0.99751367478866237</v>
      </c>
      <c r="CE7" s="2722">
        <v>2015</v>
      </c>
      <c r="CF7" s="2730">
        <f t="shared" ref="CF7" si="52">CE7/($AI7)</f>
        <v>1.0019890601690702</v>
      </c>
      <c r="CG7" s="2722">
        <v>2010</v>
      </c>
      <c r="CH7" s="2730">
        <f t="shared" ref="CH7" si="53">CG7/($AI7)</f>
        <v>0.99950273495773245</v>
      </c>
      <c r="CI7" s="2722">
        <v>2012</v>
      </c>
      <c r="CJ7" s="2730">
        <f t="shared" ref="CJ7" si="54">CI7/($AI7)</f>
        <v>1.0004972650422674</v>
      </c>
      <c r="CK7" s="2722">
        <v>2005</v>
      </c>
      <c r="CL7" s="2730">
        <f t="shared" ref="CL7" si="55">CK7/($AI7)</f>
        <v>0.99701640974639483</v>
      </c>
      <c r="CM7" s="2722">
        <v>9</v>
      </c>
      <c r="CN7" s="2730"/>
      <c r="CO7" s="2722">
        <v>2</v>
      </c>
      <c r="CP7" s="2730" t="s">
        <v>1718</v>
      </c>
      <c r="CQ7" s="2722">
        <v>12881</v>
      </c>
      <c r="CR7" s="2730">
        <f t="shared" ref="CR7" si="56">CQ7/($AI7)</f>
        <v>6.4052710094480361</v>
      </c>
      <c r="CS7" s="2722">
        <v>16955</v>
      </c>
      <c r="CT7" s="2730">
        <f t="shared" ref="CT7" si="57">CS7/($AI7)</f>
        <v>8.4311287916459481</v>
      </c>
      <c r="CU7" s="2722">
        <v>17778</v>
      </c>
      <c r="CV7" s="2730">
        <f t="shared" ref="CV7" si="58">CU7/($AI7)</f>
        <v>8.8403779214321236</v>
      </c>
      <c r="CW7" s="2722">
        <v>3806</v>
      </c>
      <c r="CX7" s="2730">
        <f t="shared" ref="CX7" si="59">CW7/($AI7)</f>
        <v>1.8925907508702138</v>
      </c>
      <c r="CY7" s="2722">
        <v>1914</v>
      </c>
      <c r="DA7" s="2722">
        <v>6014</v>
      </c>
      <c r="DC7" s="2722">
        <v>6014</v>
      </c>
      <c r="DE7" s="2722">
        <v>6033</v>
      </c>
      <c r="DG7" s="2722">
        <v>609</v>
      </c>
    </row>
    <row r="8" spans="1:111" s="10" customFormat="1" ht="17.25" customHeight="1" thickBot="1">
      <c r="A8" s="749">
        <v>8</v>
      </c>
      <c r="B8" s="377" t="s">
        <v>929</v>
      </c>
      <c r="C8" s="187" t="str">
        <f>E8</f>
        <v>{"dossier":p.DossierName1,"spaltenName":"Bewilligung anzeigen","pruefenVisibleTitel":"Bewilligung"}</v>
      </c>
      <c r="D8" s="38" t="s">
        <v>263</v>
      </c>
      <c r="E8" s="2" t="str">
        <f t="shared" si="30"/>
        <v>{"dossier":p.DossierName1,"spaltenName":"Bewilligung anzeigen","pruefenVisibleTitel":"Bewilligung"}</v>
      </c>
      <c r="F8" s="386" t="s">
        <v>159</v>
      </c>
      <c r="G8" s="2" t="s">
        <v>449</v>
      </c>
      <c r="H8" s="337" t="s">
        <v>930</v>
      </c>
      <c r="I8" s="175" t="s">
        <v>935</v>
      </c>
      <c r="J8" s="387" t="s">
        <v>932</v>
      </c>
      <c r="K8" s="388" t="s">
        <v>1455</v>
      </c>
      <c r="L8" s="2" t="s">
        <v>37</v>
      </c>
      <c r="M8" s="17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>
        <v>13750</v>
      </c>
      <c r="AJ8" s="2">
        <v>13670</v>
      </c>
      <c r="AK8" s="2">
        <v>13621</v>
      </c>
      <c r="AL8" s="2">
        <v>19921</v>
      </c>
      <c r="AM8" s="2">
        <v>12466</v>
      </c>
      <c r="AN8" s="2"/>
      <c r="AO8" s="2">
        <v>13349</v>
      </c>
      <c r="AP8" s="2"/>
      <c r="AQ8" s="2">
        <v>12561</v>
      </c>
      <c r="AR8" s="2"/>
      <c r="AS8" s="2">
        <v>12532</v>
      </c>
      <c r="AT8" s="156">
        <f t="shared" si="0"/>
        <v>0.91141818181818179</v>
      </c>
      <c r="AU8" s="2">
        <v>7700</v>
      </c>
      <c r="AV8" s="156">
        <f t="shared" si="0"/>
        <v>0.56000000000000005</v>
      </c>
      <c r="AW8" s="2">
        <v>5689</v>
      </c>
      <c r="AX8" s="156">
        <f t="shared" si="0"/>
        <v>0.41374545454545453</v>
      </c>
      <c r="AY8" s="2">
        <v>5396</v>
      </c>
      <c r="AZ8" s="156">
        <f t="shared" si="0"/>
        <v>0.39243636363636364</v>
      </c>
      <c r="BA8" s="2">
        <v>5622</v>
      </c>
      <c r="BB8" s="2"/>
      <c r="BC8" s="2">
        <v>5579</v>
      </c>
      <c r="BD8" s="2"/>
      <c r="BE8" s="10">
        <v>5754</v>
      </c>
      <c r="BG8" s="865">
        <v>0</v>
      </c>
      <c r="BH8" s="866" t="s">
        <v>1511</v>
      </c>
      <c r="BI8" s="989">
        <v>0</v>
      </c>
      <c r="BJ8" s="990" t="s">
        <v>1511</v>
      </c>
      <c r="BK8" s="1137">
        <v>0</v>
      </c>
      <c r="BL8" s="1138" t="s">
        <v>1511</v>
      </c>
      <c r="BM8" s="1340">
        <v>0</v>
      </c>
      <c r="BN8" s="1341" t="s">
        <v>1511</v>
      </c>
      <c r="BO8" s="1594">
        <v>0</v>
      </c>
      <c r="BP8" s="1595" t="s">
        <v>1511</v>
      </c>
      <c r="BQ8" s="1734">
        <v>0</v>
      </c>
      <c r="BR8" s="1735" t="s">
        <v>1511</v>
      </c>
      <c r="BS8" s="1875">
        <v>0</v>
      </c>
      <c r="BT8" s="1876" t="s">
        <v>1511</v>
      </c>
      <c r="BW8" s="2342">
        <v>0</v>
      </c>
      <c r="BX8" s="2343" t="s">
        <v>1511</v>
      </c>
      <c r="BY8" s="2500">
        <v>0</v>
      </c>
      <c r="BZ8" s="2501" t="s">
        <v>1511</v>
      </c>
      <c r="CA8" s="2663">
        <v>0</v>
      </c>
      <c r="CB8" s="2664" t="s">
        <v>1511</v>
      </c>
      <c r="CC8" s="2850">
        <v>0</v>
      </c>
      <c r="CD8" s="2851" t="s">
        <v>1511</v>
      </c>
      <c r="CE8" s="3034">
        <v>0</v>
      </c>
      <c r="CF8" s="3035" t="s">
        <v>1511</v>
      </c>
      <c r="CG8" s="3222">
        <v>0</v>
      </c>
      <c r="CH8" s="3223" t="s">
        <v>1511</v>
      </c>
      <c r="CI8" s="3396">
        <v>0</v>
      </c>
      <c r="CJ8" s="3397" t="s">
        <v>1511</v>
      </c>
      <c r="CM8" s="10">
        <v>6074</v>
      </c>
      <c r="CO8" s="10">
        <v>4350</v>
      </c>
      <c r="CP8" s="10" t="s">
        <v>1718</v>
      </c>
    </row>
    <row r="9" spans="1:111" s="2722" customFormat="1" ht="16.5" customHeight="1" thickBot="1">
      <c r="A9" s="2721">
        <v>50</v>
      </c>
      <c r="B9" s="2722" t="s">
        <v>22</v>
      </c>
      <c r="C9" s="2723" t="s">
        <v>194</v>
      </c>
      <c r="D9" s="2724"/>
      <c r="E9" s="2725"/>
      <c r="F9" s="2726"/>
      <c r="G9" s="2727"/>
      <c r="H9" s="2727"/>
      <c r="I9" s="2727"/>
      <c r="J9" s="2727"/>
      <c r="K9" s="2727"/>
      <c r="L9" s="2727"/>
      <c r="M9" s="2727"/>
      <c r="N9" s="2727"/>
      <c r="O9" s="2727"/>
      <c r="P9" s="2727"/>
      <c r="Q9" s="2727"/>
      <c r="R9" s="2727"/>
      <c r="S9" s="2727"/>
      <c r="T9" s="2727"/>
      <c r="U9" s="2727"/>
      <c r="V9" s="2727"/>
      <c r="W9" s="2727"/>
      <c r="X9" s="2724"/>
      <c r="Y9" s="2724"/>
      <c r="Z9" s="2724"/>
      <c r="AA9" s="2724"/>
      <c r="AB9" s="2724"/>
      <c r="AC9" s="2724"/>
      <c r="AD9" s="2724"/>
      <c r="AE9" s="2724"/>
      <c r="AF9" s="2724"/>
      <c r="AG9" s="2724"/>
      <c r="AH9" s="2724"/>
      <c r="AI9" s="2724">
        <v>2011</v>
      </c>
      <c r="AJ9" s="2728"/>
      <c r="AK9" s="2729"/>
      <c r="AL9" s="2724">
        <v>2008</v>
      </c>
      <c r="AM9" s="2730">
        <f t="shared" ref="AM9" si="60">AL9/($AI9)</f>
        <v>0.99850820487319747</v>
      </c>
      <c r="AN9" s="2724">
        <v>2011</v>
      </c>
      <c r="AO9" s="2730">
        <f t="shared" ref="AO9" si="61">AN9/($AI9)</f>
        <v>1</v>
      </c>
      <c r="AP9" s="2724"/>
      <c r="AQ9" s="2730">
        <f t="shared" ref="AQ9" si="62">AP9/($AI9)</f>
        <v>0</v>
      </c>
      <c r="AR9" s="2724">
        <v>2013</v>
      </c>
      <c r="AS9" s="2730">
        <f t="shared" ref="AS9" si="63">AR9/($AI9)</f>
        <v>1.0009945300845351</v>
      </c>
      <c r="AT9" s="2724">
        <v>2020</v>
      </c>
      <c r="AU9" s="2730">
        <f t="shared" ref="AU9" si="64">AT9/($AI9)</f>
        <v>1.0044753853804078</v>
      </c>
      <c r="AV9" s="2724">
        <v>2017</v>
      </c>
      <c r="AW9" s="2730">
        <f t="shared" ref="AW9" si="65">AV9/($AI9)</f>
        <v>1.0029835902536051</v>
      </c>
      <c r="AX9" s="2724">
        <v>2019</v>
      </c>
      <c r="AY9" s="2730">
        <f t="shared" ref="AY9" si="66">AX9/($AI9)</f>
        <v>1.0039781203381402</v>
      </c>
      <c r="AZ9" s="2724">
        <v>2013</v>
      </c>
      <c r="BA9" s="2724"/>
      <c r="BB9" s="2724">
        <v>341</v>
      </c>
      <c r="BC9" s="2730">
        <f t="shared" ref="BC9" si="67">BB9/($AI9)</f>
        <v>0.16956737941322725</v>
      </c>
      <c r="BD9" s="2724">
        <v>2007</v>
      </c>
      <c r="BE9" s="2730">
        <f t="shared" ref="BE9" si="68">BD9/($AI9)</f>
        <v>0.99801093983092992</v>
      </c>
      <c r="BF9" s="2724">
        <v>2003</v>
      </c>
      <c r="BG9" s="2730">
        <f t="shared" ref="BG9" si="69">BF9/($AI9)</f>
        <v>0.99602187966185973</v>
      </c>
      <c r="BH9" s="2724">
        <v>2009</v>
      </c>
      <c r="BI9" s="2730">
        <f t="shared" ref="BI9" si="70">BH9/($AI9)</f>
        <v>0.99900546991546491</v>
      </c>
      <c r="BK9" s="2722">
        <v>2019</v>
      </c>
      <c r="BL9" s="2730">
        <f t="shared" ref="BL9" si="71">BK9/($AI9)</f>
        <v>1.0039781203381402</v>
      </c>
      <c r="BM9" s="2722">
        <v>2008</v>
      </c>
      <c r="BN9" s="2730">
        <f t="shared" ref="BN9" si="72">BM9/($AI9)</f>
        <v>0.99850820487319747</v>
      </c>
      <c r="BO9" s="2722">
        <v>2005</v>
      </c>
      <c r="BP9" s="2730">
        <f t="shared" ref="BP9" si="73">BO9/($AI9)</f>
        <v>0.99701640974639483</v>
      </c>
      <c r="BQ9" s="2722">
        <v>2012</v>
      </c>
      <c r="BR9" s="2730">
        <f t="shared" ref="BR9" si="74">BQ9/($AI9)</f>
        <v>1.0004972650422674</v>
      </c>
      <c r="BS9" s="2722">
        <v>2004</v>
      </c>
      <c r="BT9" s="2730">
        <f t="shared" ref="BT9" si="75">BS9/($AI9)</f>
        <v>0.99651914470412728</v>
      </c>
      <c r="BU9" s="2722">
        <v>2005</v>
      </c>
      <c r="BV9" s="2730">
        <f t="shared" ref="BV9" si="76">BU9/($AI9)</f>
        <v>0.99701640974639483</v>
      </c>
      <c r="BW9" s="2722">
        <v>2013</v>
      </c>
      <c r="BX9" s="2730">
        <f t="shared" ref="BX9" si="77">BW9/($AI9)</f>
        <v>1.0009945300845351</v>
      </c>
      <c r="BY9" s="2722">
        <v>2013</v>
      </c>
      <c r="BZ9" s="2730">
        <f t="shared" ref="BZ9" si="78">BY9/($AI9)</f>
        <v>1.0009945300845351</v>
      </c>
      <c r="CA9" s="2722">
        <v>2006</v>
      </c>
      <c r="CB9" s="2730">
        <f t="shared" ref="CB9" si="79">CA9/($AI9)</f>
        <v>0.99751367478866237</v>
      </c>
      <c r="CC9" s="2722">
        <v>2006</v>
      </c>
      <c r="CD9" s="2730">
        <f t="shared" ref="CD9" si="80">CC9/($AI9)</f>
        <v>0.99751367478866237</v>
      </c>
      <c r="CE9" s="2722">
        <v>2015</v>
      </c>
      <c r="CF9" s="2730">
        <f t="shared" ref="CF9" si="81">CE9/($AI9)</f>
        <v>1.0019890601690702</v>
      </c>
      <c r="CG9" s="2722">
        <v>2010</v>
      </c>
      <c r="CH9" s="2730">
        <f t="shared" ref="CH9" si="82">CG9/($AI9)</f>
        <v>0.99950273495773245</v>
      </c>
      <c r="CI9" s="2722">
        <v>2012</v>
      </c>
      <c r="CJ9" s="2730">
        <f t="shared" ref="CJ9" si="83">CI9/($AI9)</f>
        <v>1.0004972650422674</v>
      </c>
      <c r="CK9" s="2722">
        <v>2005</v>
      </c>
      <c r="CL9" s="2730">
        <f t="shared" ref="CL9" si="84">CK9/($AI9)</f>
        <v>0.99701640974639483</v>
      </c>
      <c r="CM9" s="2722">
        <v>14</v>
      </c>
      <c r="CN9" s="2730"/>
      <c r="CO9" s="2722">
        <v>2</v>
      </c>
      <c r="CP9" s="2730" t="s">
        <v>1718</v>
      </c>
      <c r="CQ9" s="2722">
        <v>12881</v>
      </c>
      <c r="CR9" s="2730">
        <f t="shared" ref="CR9" si="85">CQ9/($AI9)</f>
        <v>6.4052710094480361</v>
      </c>
      <c r="CS9" s="2722">
        <v>16955</v>
      </c>
      <c r="CT9" s="2730">
        <f t="shared" ref="CT9" si="86">CS9/($AI9)</f>
        <v>8.4311287916459481</v>
      </c>
      <c r="CU9" s="2722">
        <v>17778</v>
      </c>
      <c r="CV9" s="2730">
        <f t="shared" ref="CV9" si="87">CU9/($AI9)</f>
        <v>8.8403779214321236</v>
      </c>
      <c r="CW9" s="2722">
        <v>3806</v>
      </c>
      <c r="CX9" s="2730">
        <f t="shared" ref="CX9" si="88">CW9/($AI9)</f>
        <v>1.8925907508702138</v>
      </c>
      <c r="CY9" s="2722">
        <v>1914</v>
      </c>
      <c r="DA9" s="2722">
        <v>6014</v>
      </c>
      <c r="DC9" s="2722">
        <v>6014</v>
      </c>
      <c r="DE9" s="2722">
        <v>6033</v>
      </c>
      <c r="DG9" s="2722">
        <v>609</v>
      </c>
    </row>
    <row r="10" spans="1:111" s="10" customFormat="1" ht="17.25" customHeight="1" thickBot="1">
      <c r="A10" s="749">
        <v>10</v>
      </c>
      <c r="B10" s="377" t="s">
        <v>929</v>
      </c>
      <c r="C10" s="187" t="str">
        <f>E10</f>
        <v>{"dossier":p.DossierName1,"spaltenName":"Gültigkeit Position anzeigen","pruefenVisibleTitel":"Gültigkeit Position"}</v>
      </c>
      <c r="D10" s="38" t="s">
        <v>263</v>
      </c>
      <c r="E10" s="2" t="str">
        <f t="shared" si="30"/>
        <v>{"dossier":p.DossierName1,"spaltenName":"Gültigkeit Position anzeigen","pruefenVisibleTitel":"Gültigkeit Position"}</v>
      </c>
      <c r="F10" s="386" t="s">
        <v>159</v>
      </c>
      <c r="G10" s="2" t="s">
        <v>449</v>
      </c>
      <c r="H10" s="337" t="s">
        <v>930</v>
      </c>
      <c r="I10" s="175" t="s">
        <v>936</v>
      </c>
      <c r="J10" s="387" t="s">
        <v>932</v>
      </c>
      <c r="K10" s="388" t="s">
        <v>937</v>
      </c>
      <c r="L10" s="2" t="s">
        <v>37</v>
      </c>
      <c r="M10" s="17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>
        <v>13542</v>
      </c>
      <c r="AJ10" s="2">
        <v>13618</v>
      </c>
      <c r="AK10" s="2">
        <v>13612</v>
      </c>
      <c r="AL10" s="2">
        <v>12433</v>
      </c>
      <c r="AM10" s="2">
        <v>12361</v>
      </c>
      <c r="AN10" s="2"/>
      <c r="AO10" s="2">
        <v>12625</v>
      </c>
      <c r="AP10" s="2"/>
      <c r="AQ10" s="2">
        <v>12460</v>
      </c>
      <c r="AR10" s="2"/>
      <c r="AS10" s="2">
        <v>12366</v>
      </c>
      <c r="AT10" s="156">
        <f t="shared" si="0"/>
        <v>0.91315906070004427</v>
      </c>
      <c r="AU10" s="2">
        <v>10233</v>
      </c>
      <c r="AV10" s="156">
        <f t="shared" si="0"/>
        <v>0.75564909171466543</v>
      </c>
      <c r="AW10" s="2">
        <v>5619</v>
      </c>
      <c r="AX10" s="156">
        <f t="shared" si="0"/>
        <v>0.41493132476739036</v>
      </c>
      <c r="AY10" s="2">
        <v>5573</v>
      </c>
      <c r="AZ10" s="156">
        <f t="shared" si="0"/>
        <v>0.4115344853049771</v>
      </c>
      <c r="BA10" s="2">
        <v>5554</v>
      </c>
      <c r="BB10" s="2"/>
      <c r="BC10" s="2">
        <v>5453</v>
      </c>
      <c r="BD10" s="2"/>
      <c r="BE10" s="10">
        <v>5677</v>
      </c>
      <c r="BG10" s="10">
        <v>524</v>
      </c>
      <c r="BI10" s="10">
        <v>388</v>
      </c>
      <c r="BK10" s="10">
        <v>461</v>
      </c>
      <c r="BM10" s="10">
        <v>423</v>
      </c>
      <c r="BO10" s="10">
        <v>366</v>
      </c>
      <c r="BQ10" s="10">
        <v>548</v>
      </c>
      <c r="BS10" s="10">
        <v>396</v>
      </c>
      <c r="BW10" s="10">
        <v>396</v>
      </c>
      <c r="BY10" s="10">
        <v>433</v>
      </c>
      <c r="CA10" s="10">
        <v>388</v>
      </c>
      <c r="CC10" s="10">
        <v>297</v>
      </c>
      <c r="CE10" s="10">
        <v>150</v>
      </c>
      <c r="CG10" s="10">
        <v>364</v>
      </c>
      <c r="CI10" s="10">
        <v>403</v>
      </c>
      <c r="CM10" s="10">
        <v>5874</v>
      </c>
      <c r="CO10" s="10">
        <v>4585</v>
      </c>
      <c r="CP10" s="10" t="s">
        <v>1718</v>
      </c>
    </row>
  </sheetData>
  <conditionalFormatting sqref="AM5 AO5 AQ5 AS5 AU5 AW5 AY5 BC5 BE5">
    <cfRule type="colorScale" priority="2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7 AO7 AQ7 AS7 AU7 AW7 AY7 BC7 BE7">
    <cfRule type="colorScale" priority="6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9 AO9 AQ9 AS9 AU9 AW9 AY9 BC9 BE9">
    <cfRule type="colorScale" priority="4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T2:AT4 AV2:AV4 AX2:AX4 AZ2:AZ4 AZ8 AX8 AV8 AT8 AT10:AT145 AV10:AV145 AX10:AX145 AZ10:AZ145 AZ6 AX6 AV6 AT6">
    <cfRule type="colorScale" priority="7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5">
    <cfRule type="colorScale" priority="2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7">
    <cfRule type="colorScale" priority="6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9">
    <cfRule type="colorScale" priority="4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5">
    <cfRule type="colorScale" priority="2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7">
    <cfRule type="colorScale" priority="6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I9">
    <cfRule type="colorScale" priority="4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5">
    <cfRule type="colorScale" priority="2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7">
    <cfRule type="colorScale" priority="6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9">
    <cfRule type="colorScale" priority="4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5">
    <cfRule type="colorScale" priority="1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7">
    <cfRule type="colorScale" priority="6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9">
    <cfRule type="colorScale" priority="4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5">
    <cfRule type="colorScale" priority="1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7">
    <cfRule type="colorScale" priority="6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P9">
    <cfRule type="colorScale" priority="4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5">
    <cfRule type="colorScale" priority="1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7">
    <cfRule type="colorScale" priority="6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R9">
    <cfRule type="colorScale" priority="4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5">
    <cfRule type="colorScale" priority="1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7">
    <cfRule type="colorScale" priority="6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T9">
    <cfRule type="colorScale" priority="3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5">
    <cfRule type="colorScale" priority="1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7">
    <cfRule type="colorScale" priority="6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V9">
    <cfRule type="colorScale" priority="3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5">
    <cfRule type="colorScale" priority="1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7">
    <cfRule type="colorScale" priority="6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X9">
    <cfRule type="colorScale" priority="3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5">
    <cfRule type="colorScale" priority="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7">
    <cfRule type="colorScale" priority="5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Z9">
    <cfRule type="colorScale" priority="3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5">
    <cfRule type="colorScale" priority="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7">
    <cfRule type="colorScale" priority="5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B9">
    <cfRule type="colorScale" priority="3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5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7">
    <cfRule type="colorScale" priority="5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D9">
    <cfRule type="colorScale" priority="3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5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7">
    <cfRule type="colorScale" priority="5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F9">
    <cfRule type="colorScale" priority="3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5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7">
    <cfRule type="colorScale" priority="5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H9">
    <cfRule type="colorScale" priority="3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5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7">
    <cfRule type="colorScale" priority="5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J9">
    <cfRule type="colorScale" priority="3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5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7">
    <cfRule type="colorScale" priority="5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L9">
    <cfRule type="colorScale" priority="3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5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7">
    <cfRule type="colorScale" priority="5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N9">
    <cfRule type="colorScale" priority="2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5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7">
    <cfRule type="colorScale" priority="5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P9">
    <cfRule type="colorScale" priority="2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5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7">
    <cfRule type="colorScale" priority="5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R9">
    <cfRule type="colorScale" priority="2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T5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T7">
    <cfRule type="colorScale" priority="4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T9">
    <cfRule type="colorScale" priority="2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V5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V7">
    <cfRule type="colorScale" priority="4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V9">
    <cfRule type="colorScale" priority="2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X5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X7">
    <cfRule type="colorScale" priority="4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CX9">
    <cfRule type="colorScale" priority="2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30A0"/>
  </sheetPr>
  <dimension ref="A1:CF7"/>
  <sheetViews>
    <sheetView zoomScaleNormal="100" workbookViewId="0">
      <pane xSplit="2" ySplit="1" topLeftCell="D2" activePane="bottomRight" state="frozen"/>
      <selection activeCell="B23" sqref="B23"/>
      <selection pane="topRight" activeCell="B23" sqref="B23"/>
      <selection pane="bottomLeft" activeCell="B23" sqref="B23"/>
      <selection pane="bottomRight" activeCell="M4" sqref="M4"/>
    </sheetView>
  </sheetViews>
  <sheetFormatPr defaultColWidth="9.140625" defaultRowHeight="14.25" customHeight="1"/>
  <cols>
    <col min="1" max="1" width="4.85546875" style="1" customWidth="1"/>
    <col min="2" max="2" width="44.140625" style="2" customWidth="1"/>
    <col min="3" max="3" width="162.42578125" style="2" customWidth="1"/>
    <col min="4" max="4" width="9.140625" style="2" customWidth="1"/>
    <col min="5" max="5" width="9.85546875" style="3" customWidth="1"/>
    <col min="6" max="6" width="18.85546875" style="2" customWidth="1"/>
    <col min="7" max="7" width="11.42578125" style="2" customWidth="1"/>
    <col min="8" max="8" width="26.85546875" style="2" customWidth="1"/>
    <col min="9" max="9" width="9.85546875" style="2" customWidth="1"/>
    <col min="10" max="10" width="10.85546875" style="2" customWidth="1"/>
    <col min="11" max="11" width="18.140625" style="2" customWidth="1"/>
    <col min="12" max="12" width="9.140625" style="2" customWidth="1"/>
    <col min="13" max="13" width="18.42578125" style="2" customWidth="1"/>
    <col min="14" max="14" width="9.140625" style="2" customWidth="1"/>
    <col min="15" max="15" width="22.5703125" style="2" customWidth="1"/>
    <col min="16" max="16" width="13.5703125" style="2" customWidth="1"/>
    <col min="17" max="17" width="24.5703125" style="2" customWidth="1"/>
    <col min="18" max="34" width="9.140625" style="2" customWidth="1"/>
    <col min="35" max="35" width="30" style="2" customWidth="1"/>
    <col min="36" max="40" width="5" style="2" customWidth="1"/>
    <col min="41" max="41" width="14.140625" style="2" customWidth="1"/>
    <col min="42" max="42" width="14.140625" style="12" customWidth="1"/>
    <col min="43" max="43" width="14.140625" style="2" customWidth="1"/>
    <col min="44" max="44" width="14.140625" style="12" customWidth="1"/>
    <col min="45" max="45" width="14.140625" style="2" customWidth="1"/>
    <col min="46" max="46" width="14.140625" style="12" customWidth="1"/>
    <col min="47" max="47" width="20" style="2" customWidth="1"/>
    <col min="48" max="48" width="14.140625" style="12" customWidth="1"/>
    <col min="49" max="49" width="20" style="2" customWidth="1"/>
    <col min="50" max="50" width="50" style="2" customWidth="1"/>
    <col min="51" max="51" width="20" style="2" customWidth="1"/>
    <col min="52" max="52" width="50" style="2" customWidth="1"/>
    <col min="53" max="53" width="20" style="2" customWidth="1"/>
    <col min="54" max="54" width="50" style="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16384" width="9.140625" style="2"/>
  </cols>
  <sheetData>
    <row r="1" spans="1:84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2*60*1000*SpeedFaktor</f>
        <v>120000</v>
      </c>
      <c r="H1" s="2">
        <v>10</v>
      </c>
      <c r="AH1" s="2" t="s">
        <v>5</v>
      </c>
      <c r="AI1" s="2" t="s">
        <v>657</v>
      </c>
      <c r="AJ1" s="2" t="s">
        <v>938</v>
      </c>
      <c r="AK1" s="2" t="s">
        <v>676</v>
      </c>
      <c r="AL1" s="2" t="s">
        <v>658</v>
      </c>
      <c r="AM1" s="2" t="s">
        <v>489</v>
      </c>
      <c r="AN1" s="2" t="s">
        <v>10</v>
      </c>
      <c r="AO1" s="2" t="s">
        <v>17</v>
      </c>
      <c r="AP1" s="24" t="s">
        <v>8</v>
      </c>
      <c r="AQ1" s="2" t="s">
        <v>1285</v>
      </c>
      <c r="AR1" s="24" t="s">
        <v>8</v>
      </c>
      <c r="AS1" s="2" t="s">
        <v>1286</v>
      </c>
      <c r="AT1" s="24" t="s">
        <v>8</v>
      </c>
      <c r="AU1" s="531" t="s">
        <v>1303</v>
      </c>
      <c r="AV1" s="24" t="s">
        <v>8</v>
      </c>
      <c r="AW1" s="867" t="s">
        <v>1311</v>
      </c>
      <c r="AX1" s="868" t="s">
        <v>572</v>
      </c>
      <c r="AY1" s="991" t="s">
        <v>1318</v>
      </c>
      <c r="AZ1" s="992" t="s">
        <v>572</v>
      </c>
      <c r="BA1" s="1139" t="s">
        <v>1324</v>
      </c>
      <c r="BB1" s="1140" t="s">
        <v>572</v>
      </c>
      <c r="BC1" s="1342" t="s">
        <v>1341</v>
      </c>
      <c r="BD1" s="1343" t="s">
        <v>572</v>
      </c>
      <c r="BE1" s="1596" t="s">
        <v>1363</v>
      </c>
      <c r="BF1" s="1597" t="s">
        <v>572</v>
      </c>
      <c r="BG1" s="1736" t="s">
        <v>1368</v>
      </c>
      <c r="BH1" s="1737" t="s">
        <v>572</v>
      </c>
      <c r="BI1" s="1877" t="s">
        <v>1372</v>
      </c>
      <c r="BJ1" s="1878" t="s">
        <v>572</v>
      </c>
      <c r="BK1" s="2163" t="s">
        <v>1397</v>
      </c>
      <c r="BL1" s="2164" t="s">
        <v>572</v>
      </c>
      <c r="BM1" s="2344" t="s">
        <v>1421</v>
      </c>
      <c r="BN1" s="2345" t="s">
        <v>572</v>
      </c>
      <c r="BO1" s="2502" t="s">
        <v>1434</v>
      </c>
      <c r="BP1" s="2503" t="s">
        <v>572</v>
      </c>
      <c r="BQ1" s="2665" t="s">
        <v>1442</v>
      </c>
      <c r="BR1" s="2666" t="s">
        <v>572</v>
      </c>
      <c r="BS1" s="2852" t="s">
        <v>1460</v>
      </c>
      <c r="BT1" s="2853" t="s">
        <v>572</v>
      </c>
      <c r="BU1" s="3036" t="s">
        <v>1472</v>
      </c>
      <c r="BV1" s="3037" t="s">
        <v>572</v>
      </c>
      <c r="BW1" s="3224" t="s">
        <v>1492</v>
      </c>
      <c r="BX1" s="3225" t="s">
        <v>572</v>
      </c>
      <c r="BY1" s="3398" t="s">
        <v>1503</v>
      </c>
      <c r="BZ1" s="3399" t="s">
        <v>572</v>
      </c>
      <c r="CA1" s="3588" t="s">
        <v>1519</v>
      </c>
      <c r="CB1" s="3589" t="s">
        <v>572</v>
      </c>
      <c r="CC1" s="3880" t="s">
        <v>1666</v>
      </c>
      <c r="CD1" s="3881" t="s">
        <v>572</v>
      </c>
      <c r="CE1" s="4099" t="s">
        <v>1717</v>
      </c>
      <c r="CF1" s="4100" t="s">
        <v>572</v>
      </c>
    </row>
    <row r="2" spans="1:84" s="10" customFormat="1" ht="14.25" customHeight="1">
      <c r="A2" s="122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2178</v>
      </c>
      <c r="AJ2" s="2"/>
      <c r="AK2" s="2">
        <v>2072</v>
      </c>
      <c r="AL2" s="2">
        <v>2161</v>
      </c>
      <c r="AM2" s="2">
        <v>1607</v>
      </c>
      <c r="AN2" s="2">
        <v>1781</v>
      </c>
      <c r="AO2" s="2">
        <v>1222</v>
      </c>
      <c r="AP2" s="156">
        <f>AO2/($AO2)</f>
        <v>1</v>
      </c>
      <c r="AQ2" s="2">
        <v>1107</v>
      </c>
      <c r="AR2" s="156">
        <f>AQ2/($AO2)</f>
        <v>0.90589198036006546</v>
      </c>
      <c r="AS2" s="2">
        <v>585</v>
      </c>
      <c r="AT2" s="156">
        <f>AS2/($AO2)</f>
        <v>0.47872340425531917</v>
      </c>
      <c r="AU2" s="10">
        <v>1073</v>
      </c>
      <c r="AV2" s="156">
        <f>AU2/($AO2)</f>
        <v>0.87806873977086741</v>
      </c>
      <c r="AW2" s="10">
        <v>1483</v>
      </c>
      <c r="AY2" s="10">
        <v>1196</v>
      </c>
      <c r="BA2" s="10">
        <v>1171</v>
      </c>
      <c r="BC2" s="10">
        <v>1253</v>
      </c>
      <c r="BE2" s="10">
        <v>1233</v>
      </c>
      <c r="BG2" s="10">
        <v>1130</v>
      </c>
      <c r="BI2" s="10">
        <v>1165</v>
      </c>
      <c r="BK2" s="10">
        <v>1753</v>
      </c>
      <c r="BM2" s="10">
        <v>1546</v>
      </c>
      <c r="BO2" s="10">
        <v>1749</v>
      </c>
      <c r="BQ2" s="10">
        <v>1092</v>
      </c>
      <c r="BS2" s="10">
        <v>1471</v>
      </c>
      <c r="BU2" s="10">
        <v>1869</v>
      </c>
      <c r="BW2" s="10">
        <v>1076</v>
      </c>
      <c r="BY2" s="10">
        <v>1115</v>
      </c>
      <c r="CA2" s="10">
        <v>1121</v>
      </c>
      <c r="CC2" s="10">
        <v>804</v>
      </c>
      <c r="CE2" s="10">
        <v>346</v>
      </c>
      <c r="CF2" s="10" t="s">
        <v>1718</v>
      </c>
    </row>
    <row r="3" spans="1:84" s="10" customFormat="1" ht="19.5" customHeight="1" thickBot="1">
      <c r="A3" s="122">
        <v>2</v>
      </c>
      <c r="B3" s="122" t="s">
        <v>25</v>
      </c>
      <c r="C3" s="120" t="s">
        <v>633</v>
      </c>
      <c r="D3" s="2"/>
      <c r="E3" s="12"/>
      <c r="F3" s="2"/>
      <c r="G3" s="2"/>
      <c r="H3" s="2"/>
      <c r="I3" s="2"/>
      <c r="J3" s="2"/>
      <c r="K3" s="2"/>
      <c r="L3" s="2"/>
      <c r="M3" s="24" t="str">
        <f ca="1">TEXT(TEXT(TODAY()+30,"DD")&amp;"."&amp;TEXT(TODAY()+30,"MM")&amp;"."&amp;TEXT(TODAY()+30,"YYYY"),"DD.MM.YYYY")</f>
        <v>04.12.2025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0</v>
      </c>
      <c r="AJ3" s="2" t="s">
        <v>939</v>
      </c>
      <c r="AK3" s="2">
        <v>6679</v>
      </c>
      <c r="AL3" s="2">
        <v>6721</v>
      </c>
      <c r="AM3" s="2">
        <v>9047</v>
      </c>
      <c r="AN3" s="2">
        <v>9617</v>
      </c>
      <c r="AO3" s="2">
        <v>7454</v>
      </c>
      <c r="AP3" s="156">
        <f t="shared" ref="AP3:AV4" si="0">AO3/($AO3)</f>
        <v>1</v>
      </c>
      <c r="AQ3" s="2">
        <v>9303</v>
      </c>
      <c r="AR3" s="156">
        <f t="shared" si="0"/>
        <v>1.2480547357123692</v>
      </c>
      <c r="AS3" s="2">
        <v>5322</v>
      </c>
      <c r="AT3" s="156">
        <f t="shared" si="0"/>
        <v>0.71397907163938823</v>
      </c>
      <c r="AU3" s="10">
        <v>6929</v>
      </c>
      <c r="AV3" s="156">
        <f t="shared" si="0"/>
        <v>0.92956801717198823</v>
      </c>
      <c r="AW3" s="10">
        <v>7586</v>
      </c>
      <c r="AY3" s="10">
        <v>7674</v>
      </c>
      <c r="BA3" s="10">
        <v>7227</v>
      </c>
      <c r="BC3" s="10">
        <v>7259</v>
      </c>
      <c r="BE3" s="10">
        <v>7192</v>
      </c>
      <c r="BG3" s="10">
        <v>7229</v>
      </c>
      <c r="BI3" s="10">
        <v>6945</v>
      </c>
      <c r="BK3" s="10">
        <v>6725</v>
      </c>
      <c r="BM3" s="10">
        <v>6537</v>
      </c>
      <c r="BO3" s="10">
        <v>6283</v>
      </c>
      <c r="BQ3" s="10">
        <v>23298</v>
      </c>
      <c r="BS3" s="10">
        <v>10450</v>
      </c>
      <c r="BU3" s="10">
        <v>8667</v>
      </c>
      <c r="BW3" s="10">
        <v>7113</v>
      </c>
      <c r="BY3" s="10">
        <v>8212</v>
      </c>
      <c r="CA3" s="10">
        <v>8379</v>
      </c>
      <c r="CC3" s="10">
        <v>7607</v>
      </c>
      <c r="CE3" s="10">
        <v>7028</v>
      </c>
      <c r="CF3" s="10" t="s">
        <v>1718</v>
      </c>
    </row>
    <row r="4" spans="1:84" s="10" customFormat="1" ht="34.5" customHeight="1" thickBot="1">
      <c r="A4" s="389">
        <v>4</v>
      </c>
      <c r="B4" s="240" t="s">
        <v>940</v>
      </c>
      <c r="C4" s="187" t="str">
        <f ca="1">E4</f>
        <v>{"dossier":p.DossierName1,"klient":`${p.FamilyName1}, ${p.ManFirstName1}`,"geplantVon":"14.11.2025","geplantBis":"21.11.2025","eFB":500,"begruendung":"Ein wichtiger Grund","totalNeu":2882}</v>
      </c>
      <c r="D4" s="187" t="s">
        <v>28</v>
      </c>
      <c r="E4" s="187" t="str">
        <f ca="1">F4&amp;G4&amp;H4&amp;I4&amp;J4&amp;K4&amp;L4&amp;M4&amp;N4&amp;O4&amp;P4&amp;Q4&amp;R4&amp;S4&amp;T4&amp;U4&amp;V4&amp;W4&amp;X4&amp;Y4&amp;Z4&amp;AA4&amp;AB4&amp;AC4&amp;AD4</f>
        <v>{"dossier":p.DossierName1,"klient":`${p.FamilyName1}, ${p.ManFirstName1}`,"geplantVon":"14.11.2025","geplantBis":"21.11.2025","eFB":500,"begruendung":"Ein wichtiger Grund","totalNeu":2882}</v>
      </c>
      <c r="F4" s="264" t="s">
        <v>159</v>
      </c>
      <c r="G4" s="187" t="s">
        <v>449</v>
      </c>
      <c r="H4" s="255" t="s">
        <v>769</v>
      </c>
      <c r="I4" s="24" t="s">
        <v>492</v>
      </c>
      <c r="J4" s="264" t="s">
        <v>941</v>
      </c>
      <c r="K4" s="24" t="str">
        <f ca="1">TEXT(TEXT(TODAY()+10,"DD")&amp;"."&amp;TEXT(TODAY()+10,"MM")&amp;"."&amp;TEXT(TODAY()+10,"YYYY"),"DD.MM.YYYY")</f>
        <v>14.11.2025</v>
      </c>
      <c r="L4" s="187" t="s">
        <v>531</v>
      </c>
      <c r="M4" s="24" t="str">
        <f ca="1">TEXT(TEXT(TODAY()+17,"DD")&amp;"."&amp;TEXT(TODAY()+17,"MM")&amp;"."&amp;TEXT(TODAY()+17,"YYYY"),"DD.MM.YYYY")</f>
        <v>21.11.2025</v>
      </c>
      <c r="N4" s="187" t="s">
        <v>942</v>
      </c>
      <c r="O4" s="542">
        <v>500</v>
      </c>
      <c r="P4" s="187" t="s">
        <v>943</v>
      </c>
      <c r="Q4" s="187" t="s">
        <v>944</v>
      </c>
      <c r="R4" s="187" t="s">
        <v>945</v>
      </c>
      <c r="S4" s="542">
        <v>2882</v>
      </c>
      <c r="T4" s="187" t="s">
        <v>109</v>
      </c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187">
        <v>10965950</v>
      </c>
      <c r="AJ4" s="187"/>
      <c r="AK4" s="187">
        <v>0</v>
      </c>
      <c r="AL4" s="187">
        <v>0</v>
      </c>
      <c r="AM4" s="24">
        <v>0</v>
      </c>
      <c r="AN4" s="24">
        <v>0</v>
      </c>
      <c r="AO4" s="2">
        <v>9474</v>
      </c>
      <c r="AP4" s="156">
        <f t="shared" si="0"/>
        <v>1</v>
      </c>
      <c r="AQ4" s="2">
        <v>10184</v>
      </c>
      <c r="AR4" s="156">
        <f t="shared" si="0"/>
        <v>1.0749419463795651</v>
      </c>
      <c r="AS4" s="2">
        <v>0</v>
      </c>
      <c r="AT4" s="156">
        <f t="shared" si="0"/>
        <v>0</v>
      </c>
      <c r="AU4" s="532">
        <v>0</v>
      </c>
      <c r="AV4" s="156">
        <f t="shared" si="0"/>
        <v>0</v>
      </c>
      <c r="AW4" s="869">
        <v>0</v>
      </c>
      <c r="AX4" s="870" t="s">
        <v>1316</v>
      </c>
      <c r="AY4" s="993">
        <v>0</v>
      </c>
      <c r="AZ4" s="994" t="s">
        <v>1321</v>
      </c>
      <c r="BA4" s="10">
        <v>9852</v>
      </c>
      <c r="BC4" s="10">
        <v>9999</v>
      </c>
      <c r="BE4" s="10">
        <v>7158</v>
      </c>
      <c r="BG4" s="10">
        <v>8316</v>
      </c>
      <c r="BI4" s="10">
        <v>6910</v>
      </c>
      <c r="BK4" s="2165">
        <v>0</v>
      </c>
      <c r="BL4" s="2166" t="s">
        <v>1413</v>
      </c>
      <c r="BM4" s="2346">
        <v>0</v>
      </c>
      <c r="BN4" s="2347" t="s">
        <v>1428</v>
      </c>
      <c r="BO4" s="10">
        <v>12337</v>
      </c>
      <c r="BQ4" s="10">
        <v>18680</v>
      </c>
      <c r="BS4" s="2854">
        <v>0</v>
      </c>
      <c r="BT4" s="2855" t="s">
        <v>1467</v>
      </c>
      <c r="BU4" s="3038">
        <v>0</v>
      </c>
      <c r="BV4" s="3039" t="s">
        <v>1485</v>
      </c>
      <c r="BW4" s="3226">
        <v>0</v>
      </c>
      <c r="BX4" s="3227" t="s">
        <v>1499</v>
      </c>
      <c r="BY4" s="3400">
        <v>0</v>
      </c>
      <c r="BZ4" s="3401" t="s">
        <v>1512</v>
      </c>
      <c r="CA4" s="3590">
        <v>0</v>
      </c>
      <c r="CB4" s="3591" t="s">
        <v>1541</v>
      </c>
      <c r="CC4" s="3882">
        <v>0</v>
      </c>
      <c r="CD4" s="3883" t="s">
        <v>1687</v>
      </c>
      <c r="CE4" s="4101">
        <v>0</v>
      </c>
      <c r="CF4" s="4102" t="s">
        <v>1738</v>
      </c>
    </row>
    <row r="5" spans="1:84" ht="15" customHeight="1" thickBot="1">
      <c r="M5" s="175" t="str">
        <f ca="1">"31.12."&amp;YEAR(TODAY()+90)</f>
        <v>31.12.2026</v>
      </c>
      <c r="AP5" s="156"/>
      <c r="AR5" s="156"/>
      <c r="AT5" s="156"/>
      <c r="AV5" s="156"/>
    </row>
    <row r="6" spans="1:84">
      <c r="AL6" s="2">
        <v>394</v>
      </c>
      <c r="AM6" s="2">
        <v>323</v>
      </c>
      <c r="AP6" s="296"/>
      <c r="AR6" s="296"/>
      <c r="AT6" s="296"/>
      <c r="AV6" s="296"/>
    </row>
    <row r="7" spans="1:84" ht="14.25" customHeight="1">
      <c r="C7" s="2" t="s">
        <v>1553</v>
      </c>
    </row>
  </sheetData>
  <conditionalFormatting sqref="AP2:AP140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R2:AR140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T2:AT140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V2:AV140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D7AD-28F5-4099-BC09-5CB68C616E15}">
  <sheetPr>
    <tabColor rgb="FFFF0000"/>
  </sheetPr>
  <dimension ref="A1:AN9"/>
  <sheetViews>
    <sheetView zoomScale="115" zoomScaleNormal="115" workbookViewId="0">
      <pane xSplit="2" ySplit="1" topLeftCell="C2" activePane="bottomRight" state="frozen"/>
      <selection activeCell="B23" sqref="B23"/>
      <selection pane="topRight" activeCell="B23" sqref="B23"/>
      <selection pane="bottomLeft" activeCell="B23" sqref="B23"/>
      <selection pane="bottomRight" activeCell="M7" sqref="M7"/>
    </sheetView>
  </sheetViews>
  <sheetFormatPr defaultColWidth="9.140625" defaultRowHeight="14.25" customHeight="1"/>
  <cols>
    <col min="1" max="1" width="4.85546875" style="1" customWidth="1"/>
    <col min="2" max="2" width="45.5703125" style="2" customWidth="1"/>
    <col min="3" max="3" width="137.4257812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9" width="6.7109375" style="2" customWidth="1"/>
    <col min="10" max="10" width="33.28515625" style="2" customWidth="1"/>
    <col min="11" max="11" width="12.140625" style="2" customWidth="1"/>
    <col min="12" max="12" width="27.85546875" style="2" customWidth="1"/>
    <col min="13" max="13" width="5.42578125" style="2" customWidth="1"/>
    <col min="14" max="14" width="9.140625" style="2" customWidth="1"/>
    <col min="15" max="15" width="22.5703125" style="2" customWidth="1"/>
    <col min="16" max="16" width="13.5703125" style="2" customWidth="1"/>
    <col min="17" max="17" width="24.5703125" style="2" customWidth="1"/>
    <col min="18" max="20" width="9.140625" style="2" customWidth="1"/>
    <col min="21" max="21" width="26.5703125" style="2" customWidth="1"/>
    <col min="22" max="34" width="9.140625" style="2" customWidth="1"/>
    <col min="35" max="35" width="8.85546875" style="2" customWidth="1"/>
    <col min="36" max="36" width="9.140625" style="2"/>
    <col min="37" max="37" width="20" style="2" customWidth="1"/>
    <col min="38" max="38" width="50" style="2" customWidth="1"/>
    <col min="39" max="39" width="20" style="2" customWidth="1"/>
    <col min="40" max="40" width="50" style="2" customWidth="1"/>
    <col min="41" max="16384" width="9.140625" style="2"/>
  </cols>
  <sheetData>
    <row r="1" spans="1:40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2*60*1000*SpeedFaktor</f>
        <v>120000</v>
      </c>
      <c r="H1" s="2">
        <v>10</v>
      </c>
      <c r="AH1" s="2" t="s">
        <v>5</v>
      </c>
      <c r="AI1" s="2" t="s">
        <v>657</v>
      </c>
      <c r="AK1" s="3884" t="s">
        <v>1666</v>
      </c>
      <c r="AL1" s="3885" t="s">
        <v>572</v>
      </c>
      <c r="AM1" s="4103" t="s">
        <v>1717</v>
      </c>
      <c r="AN1" s="4104" t="s">
        <v>572</v>
      </c>
    </row>
    <row r="2" spans="1:40" s="10" customFormat="1" ht="14.25" customHeight="1">
      <c r="A2" s="727">
        <v>1</v>
      </c>
      <c r="B2" s="727" t="s">
        <v>21</v>
      </c>
      <c r="C2" s="745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1341</v>
      </c>
      <c r="AK2" s="10">
        <v>934</v>
      </c>
      <c r="AM2" s="10">
        <v>402</v>
      </c>
      <c r="AN2" s="10" t="s">
        <v>1718</v>
      </c>
    </row>
    <row r="3" spans="1:40" s="10" customFormat="1" ht="14.25" customHeight="1">
      <c r="A3" s="727">
        <v>2</v>
      </c>
      <c r="B3" s="727" t="s">
        <v>25</v>
      </c>
      <c r="C3" s="745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8629</v>
      </c>
      <c r="AK3" s="10">
        <v>8293</v>
      </c>
      <c r="AM3" s="10">
        <v>8281</v>
      </c>
      <c r="AN3" s="10" t="s">
        <v>1718</v>
      </c>
    </row>
    <row r="4" spans="1:40" s="10" customFormat="1" ht="14.25" customHeight="1">
      <c r="A4" s="727">
        <v>3</v>
      </c>
      <c r="B4" s="727" t="s">
        <v>1655</v>
      </c>
      <c r="C4" s="745" t="str">
        <f>E4</f>
        <v>{"dossier":p.DossierName3,"checkAusgabenTotal":3382,"checkWeitereAbzuege":"-500","checkZusammenfassung":2882}</v>
      </c>
      <c r="D4" s="2" t="s">
        <v>28</v>
      </c>
      <c r="E4" s="12" t="str">
        <f>F4&amp;G4&amp;H4&amp;I4&amp;J4&amp;K4&amp;L4&amp;M4&amp;N4&amp;O4&amp;P4&amp;Q4&amp;R4&amp;S4&amp;T4&amp;U4&amp;V4&amp;W4&amp;X4&amp;Y4&amp;Z4&amp;AA4&amp;AB4&amp;AC4&amp;AD4</f>
        <v>{"dossier":p.DossierName3,"checkAusgabenTotal":3382,"checkWeitereAbzuege":"-500","checkZusammenfassung":2882}</v>
      </c>
      <c r="F4" s="2" t="s">
        <v>159</v>
      </c>
      <c r="G4" s="2" t="s">
        <v>321</v>
      </c>
      <c r="H4" s="2" t="s">
        <v>1656</v>
      </c>
      <c r="I4" s="2">
        <v>3382</v>
      </c>
      <c r="J4" s="2" t="s">
        <v>1657</v>
      </c>
      <c r="K4" s="4191">
        <v>-500</v>
      </c>
      <c r="L4" s="2" t="s">
        <v>1658</v>
      </c>
      <c r="M4" s="2">
        <v>2882</v>
      </c>
      <c r="N4" s="2" t="s">
        <v>109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>
        <v>17744</v>
      </c>
      <c r="AK4" s="3886">
        <v>0</v>
      </c>
      <c r="AL4" s="3887" t="s">
        <v>1686</v>
      </c>
      <c r="AM4" s="4105">
        <v>0</v>
      </c>
      <c r="AN4" s="4106" t="s">
        <v>1737</v>
      </c>
    </row>
    <row r="5" spans="1:40"/>
    <row r="6" spans="1:40" s="1" customFormat="1" ht="28.5">
      <c r="B6" s="2"/>
      <c r="C6" s="2"/>
      <c r="D6" s="2"/>
      <c r="E6" s="3"/>
      <c r="F6" s="2"/>
      <c r="G6" s="51"/>
      <c r="H6" s="2" t="s">
        <v>1704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40" s="1" customFormat="1">
      <c r="B7" s="2"/>
      <c r="C7" s="2"/>
      <c r="D7" s="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40" s="1" customFormat="1">
      <c r="B8" s="2"/>
      <c r="C8" s="2"/>
      <c r="D8" s="2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40">
      <c r="P9" s="50" t="s">
        <v>928</v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92D050"/>
  </sheetPr>
  <dimension ref="A1:CL5"/>
  <sheetViews>
    <sheetView zoomScale="115" zoomScaleNormal="115" workbookViewId="0">
      <pane xSplit="2" ySplit="1" topLeftCell="AK2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4.25" customHeight="1"/>
  <cols>
    <col min="1" max="1" width="4.85546875" style="1" customWidth="1"/>
    <col min="2" max="2" width="30.85546875" style="2" customWidth="1"/>
    <col min="3" max="3" width="137.4257812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9" width="36.7109375" style="2" customWidth="1"/>
    <col min="10" max="10" width="10.140625" style="2" customWidth="1"/>
    <col min="11" max="11" width="36.5703125" style="2" customWidth="1"/>
    <col min="12" max="12" width="9.140625" style="2" customWidth="1"/>
    <col min="13" max="13" width="10.7109375" style="2" customWidth="1"/>
    <col min="14" max="14" width="9.140625" style="2" customWidth="1"/>
    <col min="15" max="15" width="22.5703125" style="2" customWidth="1"/>
    <col min="16" max="16" width="13.5703125" style="2" customWidth="1"/>
    <col min="17" max="17" width="24.5703125" style="2" customWidth="1"/>
    <col min="18" max="34" width="9.140625" style="2" customWidth="1"/>
    <col min="35" max="37" width="10.42578125" style="2" customWidth="1"/>
    <col min="38" max="38" width="10.85546875" style="2" customWidth="1"/>
    <col min="39" max="39" width="8.42578125" style="12" customWidth="1"/>
    <col min="40" max="40" width="10.85546875" style="2" customWidth="1"/>
    <col min="41" max="41" width="8.42578125" style="12" customWidth="1"/>
    <col min="42" max="42" width="8.42578125" style="2" customWidth="1"/>
    <col min="43" max="43" width="8.42578125" style="12" customWidth="1"/>
    <col min="44" max="44" width="8.42578125" style="2" customWidth="1"/>
    <col min="45" max="46" width="8.42578125" style="12" customWidth="1"/>
    <col min="47" max="47" width="10.7109375" style="2" customWidth="1"/>
    <col min="48" max="48" width="8.42578125" style="12" customWidth="1"/>
    <col min="49" max="49" width="11" style="2" customWidth="1"/>
    <col min="50" max="50" width="8.42578125" style="12" customWidth="1"/>
    <col min="51" max="51" width="10.5703125" style="2" customWidth="1"/>
    <col min="52" max="52" width="8.42578125" style="12" customWidth="1"/>
    <col min="53" max="53" width="20" style="2" customWidth="1"/>
    <col min="54" max="54" width="8.42578125" style="1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16384" width="9.140625" style="2"/>
  </cols>
  <sheetData>
    <row r="1" spans="1:90" ht="13.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14*60*1000*SpeedFaktor</f>
        <v>840000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10</v>
      </c>
      <c r="AM1" s="24" t="s">
        <v>8</v>
      </c>
      <c r="AN1" s="2" t="s">
        <v>11</v>
      </c>
      <c r="AO1" s="24" t="s">
        <v>8</v>
      </c>
      <c r="AP1" s="2" t="s">
        <v>12</v>
      </c>
      <c r="AQ1" s="24" t="s">
        <v>8</v>
      </c>
      <c r="AR1" s="2" t="s">
        <v>13</v>
      </c>
      <c r="AS1" s="24" t="s">
        <v>8</v>
      </c>
      <c r="AT1" s="24" t="s">
        <v>8</v>
      </c>
      <c r="AU1" s="96" t="s">
        <v>17</v>
      </c>
      <c r="AV1" s="24" t="s">
        <v>8</v>
      </c>
      <c r="AW1" s="2" t="s">
        <v>1285</v>
      </c>
      <c r="AX1" s="24" t="s">
        <v>8</v>
      </c>
      <c r="AY1" s="2" t="s">
        <v>1286</v>
      </c>
      <c r="AZ1" s="24" t="s">
        <v>8</v>
      </c>
      <c r="BA1" s="533" t="s">
        <v>1303</v>
      </c>
      <c r="BB1" s="24" t="s">
        <v>8</v>
      </c>
      <c r="BC1" s="871" t="s">
        <v>1311</v>
      </c>
      <c r="BD1" s="872" t="s">
        <v>572</v>
      </c>
      <c r="BE1" s="995" t="s">
        <v>1318</v>
      </c>
      <c r="BF1" s="996" t="s">
        <v>572</v>
      </c>
      <c r="BG1" s="1141" t="s">
        <v>1324</v>
      </c>
      <c r="BH1" s="1142" t="s">
        <v>572</v>
      </c>
      <c r="BI1" s="1344" t="s">
        <v>1341</v>
      </c>
      <c r="BJ1" s="1345" t="s">
        <v>572</v>
      </c>
      <c r="BK1" s="1598" t="s">
        <v>1363</v>
      </c>
      <c r="BL1" s="1599" t="s">
        <v>572</v>
      </c>
      <c r="BM1" s="1738" t="s">
        <v>1368</v>
      </c>
      <c r="BN1" s="1739" t="s">
        <v>572</v>
      </c>
      <c r="BO1" s="1879" t="s">
        <v>1372</v>
      </c>
      <c r="BP1" s="1880" t="s">
        <v>572</v>
      </c>
      <c r="BQ1" s="2167" t="s">
        <v>1397</v>
      </c>
      <c r="BR1" s="2168" t="s">
        <v>572</v>
      </c>
      <c r="BS1" s="2348" t="s">
        <v>1421</v>
      </c>
      <c r="BT1" s="2349" t="s">
        <v>572</v>
      </c>
      <c r="BU1" s="2504" t="s">
        <v>1434</v>
      </c>
      <c r="BV1" s="2505" t="s">
        <v>572</v>
      </c>
      <c r="BW1" s="2667" t="s">
        <v>1442</v>
      </c>
      <c r="BX1" s="2668" t="s">
        <v>572</v>
      </c>
      <c r="BY1" s="2856" t="s">
        <v>1460</v>
      </c>
      <c r="BZ1" s="2857" t="s">
        <v>572</v>
      </c>
      <c r="CA1" s="3040" t="s">
        <v>1472</v>
      </c>
      <c r="CB1" s="3041" t="s">
        <v>572</v>
      </c>
      <c r="CC1" s="3228" t="s">
        <v>1492</v>
      </c>
      <c r="CD1" s="3229" t="s">
        <v>572</v>
      </c>
      <c r="CE1" s="3402" t="s">
        <v>1503</v>
      </c>
      <c r="CF1" s="3403" t="s">
        <v>572</v>
      </c>
      <c r="CG1" s="3592" t="s">
        <v>1519</v>
      </c>
      <c r="CH1" s="3593" t="s">
        <v>572</v>
      </c>
      <c r="CI1" s="3888" t="s">
        <v>1666</v>
      </c>
      <c r="CJ1" s="3889" t="s">
        <v>572</v>
      </c>
      <c r="CK1" s="4107" t="s">
        <v>1717</v>
      </c>
      <c r="CL1" s="4108" t="s">
        <v>572</v>
      </c>
    </row>
    <row r="2" spans="1:90" s="10" customFormat="1" ht="14.25" customHeight="1">
      <c r="A2" s="122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1352</v>
      </c>
      <c r="AJ2" s="2">
        <v>1862</v>
      </c>
      <c r="AK2" s="2">
        <v>1980</v>
      </c>
      <c r="AL2" s="2">
        <v>1579</v>
      </c>
      <c r="AM2" s="156">
        <f>AL2/($AI2)</f>
        <v>1.1678994082840237</v>
      </c>
      <c r="AN2" s="2">
        <v>2222</v>
      </c>
      <c r="AO2" s="156">
        <f>AN2/($AI2)</f>
        <v>1.6434911242603549</v>
      </c>
      <c r="AP2" s="2">
        <v>1800</v>
      </c>
      <c r="AQ2" s="156">
        <f>AP2/($AI2)</f>
        <v>1.331360946745562</v>
      </c>
      <c r="AR2" s="2">
        <v>1529</v>
      </c>
      <c r="AS2" s="156">
        <f>AR2/($AI2)</f>
        <v>1.1309171597633136</v>
      </c>
      <c r="AT2" s="156">
        <f>AS2/($AI2)</f>
        <v>8.3647718917404857E-4</v>
      </c>
      <c r="AU2" s="2">
        <v>1418</v>
      </c>
      <c r="AV2" s="156">
        <f>AU2/($AI2)</f>
        <v>1.0488165680473374</v>
      </c>
      <c r="AW2" s="2">
        <v>1369</v>
      </c>
      <c r="AX2" s="156">
        <f>AW2/($AI2)</f>
        <v>1.0125739644970415</v>
      </c>
      <c r="AY2" s="2">
        <v>571</v>
      </c>
      <c r="AZ2" s="156">
        <f>AY2/($AI2)</f>
        <v>0.4223372781065089</v>
      </c>
      <c r="BA2" s="10">
        <v>1035</v>
      </c>
      <c r="BB2" s="156">
        <f>BA2/($AI2)</f>
        <v>0.76553254437869822</v>
      </c>
      <c r="BC2" s="10">
        <v>1389</v>
      </c>
      <c r="BE2" s="10">
        <v>959</v>
      </c>
      <c r="BG2" s="10">
        <v>1163</v>
      </c>
      <c r="BI2" s="10">
        <v>1275</v>
      </c>
      <c r="BK2" s="10">
        <v>1162</v>
      </c>
      <c r="BM2" s="10">
        <v>1272</v>
      </c>
      <c r="BO2" s="10">
        <v>1188</v>
      </c>
      <c r="BQ2" s="10">
        <v>1653</v>
      </c>
      <c r="BS2" s="10">
        <v>1592</v>
      </c>
      <c r="BU2" s="10">
        <v>1677</v>
      </c>
      <c r="BW2" s="10">
        <v>1124</v>
      </c>
      <c r="BY2" s="10">
        <v>1119</v>
      </c>
      <c r="CA2" s="10">
        <v>1665</v>
      </c>
      <c r="CC2" s="10">
        <v>1733</v>
      </c>
      <c r="CE2" s="10">
        <v>1121</v>
      </c>
      <c r="CG2" s="10">
        <v>1150</v>
      </c>
      <c r="CI2" s="10">
        <v>892</v>
      </c>
      <c r="CK2" s="10">
        <v>461</v>
      </c>
      <c r="CL2" s="10" t="s">
        <v>1718</v>
      </c>
    </row>
    <row r="3" spans="1:90" s="10" customFormat="1" ht="14.25" customHeight="1" thickBot="1">
      <c r="A3" s="122">
        <v>2</v>
      </c>
      <c r="B3" s="122" t="s">
        <v>25</v>
      </c>
      <c r="C3" s="120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11871</v>
      </c>
      <c r="AJ3" s="2">
        <v>7120</v>
      </c>
      <c r="AK3" s="2">
        <v>6868</v>
      </c>
      <c r="AL3" s="2">
        <v>9452</v>
      </c>
      <c r="AM3" s="156">
        <f t="shared" ref="AM3" si="0">AL3/($AI3)</f>
        <v>0.79622609721169235</v>
      </c>
      <c r="AN3" s="2">
        <v>8890</v>
      </c>
      <c r="AO3" s="156">
        <f t="shared" ref="AO3:AQ4" si="1">AN3/($AI3)</f>
        <v>0.74888383455479746</v>
      </c>
      <c r="AP3" s="2">
        <v>9536</v>
      </c>
      <c r="AQ3" s="156">
        <f t="shared" si="1"/>
        <v>0.80330216493976914</v>
      </c>
      <c r="AR3" s="2">
        <v>8506</v>
      </c>
      <c r="AS3" s="156">
        <f t="shared" ref="AS3:AT4" si="2">AR3/($AI3)</f>
        <v>0.71653609636930338</v>
      </c>
      <c r="AT3" s="156">
        <f t="shared" si="2"/>
        <v>6.036021366096398E-5</v>
      </c>
      <c r="AU3" s="2">
        <v>7556</v>
      </c>
      <c r="AV3" s="156">
        <f t="shared" ref="AV3:BB4" si="3">AU3/($AI3)</f>
        <v>0.63650913992081548</v>
      </c>
      <c r="AW3" s="2">
        <v>7454</v>
      </c>
      <c r="AX3" s="156">
        <f t="shared" si="3"/>
        <v>0.62791677196529361</v>
      </c>
      <c r="AY3" s="2">
        <v>5129</v>
      </c>
      <c r="AZ3" s="156">
        <f t="shared" si="3"/>
        <v>0.43206132592030999</v>
      </c>
      <c r="BA3" s="10">
        <v>7937</v>
      </c>
      <c r="BB3" s="156">
        <f t="shared" si="3"/>
        <v>0.66860416140173529</v>
      </c>
      <c r="BC3" s="10">
        <v>10317</v>
      </c>
      <c r="BE3" s="10">
        <v>7730</v>
      </c>
      <c r="BG3" s="10">
        <v>7298</v>
      </c>
      <c r="BI3" s="10">
        <v>7258</v>
      </c>
      <c r="BK3" s="10">
        <v>6884</v>
      </c>
      <c r="BM3" s="10">
        <v>6814</v>
      </c>
      <c r="BO3" s="10">
        <v>7307</v>
      </c>
      <c r="BQ3" s="10">
        <v>7080</v>
      </c>
      <c r="BS3" s="10">
        <v>6589</v>
      </c>
      <c r="BU3" s="10">
        <v>6430</v>
      </c>
      <c r="BW3" s="10">
        <v>7381</v>
      </c>
      <c r="BY3" s="10">
        <v>8846</v>
      </c>
      <c r="CA3" s="10">
        <v>7873</v>
      </c>
      <c r="CC3" s="10">
        <v>11235</v>
      </c>
      <c r="CE3" s="10">
        <v>8760</v>
      </c>
      <c r="CG3" s="10">
        <v>8563</v>
      </c>
      <c r="CI3" s="10">
        <v>7386</v>
      </c>
      <c r="CK3" s="10">
        <v>6717</v>
      </c>
      <c r="CL3" s="10" t="s">
        <v>1718</v>
      </c>
    </row>
    <row r="4" spans="1:90" s="304" customFormat="1" ht="33.75" customHeight="1" thickBot="1">
      <c r="A4" s="312">
        <v>4</v>
      </c>
      <c r="B4" s="307" t="s">
        <v>946</v>
      </c>
      <c r="C4" s="329" t="str">
        <f ca="1">E4</f>
        <v>{"dossier":p.DossierName1,"betrifft":`${p.FamilyName1}, ${p.ManFirstName1}`,"gueltigAb":"04.11.2025","Bemerkung":"Eine wichtige Bemerkung","document":"c:/temp/Ermittlung.docx"}</v>
      </c>
      <c r="D4" s="289" t="s">
        <v>28</v>
      </c>
      <c r="E4" s="289" t="str">
        <f ca="1">F4&amp;G4&amp;H4&amp;I4&amp;J4&amp;K4&amp;L4&amp;M4&amp;N4&amp;O4&amp;P4&amp;Q4&amp;R4&amp;S4&amp;T4&amp;U4&amp;V4&amp;W4&amp;X4&amp;Y4&amp;Z4&amp;AA4&amp;AB4&amp;AC4&amp;AD4&amp;AE4&amp;AF4&amp;AG4</f>
        <v>{"dossier":p.DossierName1,"betrifft":`${p.FamilyName1}, ${p.ManFirstName1}`,"gueltigAb":"04.11.2025","Bemerkung":"Eine wichtige Bemerkung","document":"c:/temp/Ermittlung.docx"}</v>
      </c>
      <c r="F4" s="390" t="s">
        <v>159</v>
      </c>
      <c r="G4" s="289" t="s">
        <v>449</v>
      </c>
      <c r="H4" s="289" t="s">
        <v>947</v>
      </c>
      <c r="I4" s="289" t="s">
        <v>492</v>
      </c>
      <c r="J4" s="390" t="s">
        <v>948</v>
      </c>
      <c r="K4" s="376" t="str">
        <f ca="1">TEXT(TEXT(TODAY(),"DD")&amp;"."&amp;TEXT(TODAY(),"MM")&amp;"."&amp;TEXT(TODAY(),"YYYY"),"DD.MM.YYYY")</f>
        <v>04.11.2025</v>
      </c>
      <c r="L4" s="289" t="s">
        <v>359</v>
      </c>
      <c r="M4" s="289" t="s">
        <v>949</v>
      </c>
      <c r="N4" s="289" t="s">
        <v>950</v>
      </c>
      <c r="O4" s="289" t="s">
        <v>951</v>
      </c>
      <c r="P4" s="289" t="s">
        <v>37</v>
      </c>
      <c r="Q4" s="289"/>
      <c r="R4" s="289"/>
      <c r="S4" s="289"/>
      <c r="T4" s="289"/>
      <c r="U4" s="289"/>
      <c r="V4" s="289"/>
      <c r="W4" s="289"/>
      <c r="X4" s="289"/>
      <c r="Y4" s="289"/>
      <c r="Z4" s="289"/>
      <c r="AA4" s="289"/>
      <c r="AB4" s="289"/>
      <c r="AC4" s="289"/>
      <c r="AD4" s="289"/>
      <c r="AE4" s="289"/>
      <c r="AF4" s="289"/>
      <c r="AG4" s="289"/>
      <c r="AH4" s="289"/>
      <c r="AI4" s="289">
        <v>13262</v>
      </c>
      <c r="AJ4" s="289">
        <v>13886</v>
      </c>
      <c r="AK4" s="289">
        <v>14045</v>
      </c>
      <c r="AL4" s="289">
        <v>14585</v>
      </c>
      <c r="AM4" s="290">
        <f t="shared" ref="AM4" si="4">AL4/($AI4)</f>
        <v>1.0997587090936511</v>
      </c>
      <c r="AN4" s="289">
        <v>14880</v>
      </c>
      <c r="AO4" s="290">
        <f t="shared" si="1"/>
        <v>1.1220027145226965</v>
      </c>
      <c r="AP4" s="289">
        <v>14242</v>
      </c>
      <c r="AQ4" s="290">
        <f t="shared" si="1"/>
        <v>1.0738953400693712</v>
      </c>
      <c r="AR4" s="289">
        <v>13221</v>
      </c>
      <c r="AS4" s="290">
        <f t="shared" si="2"/>
        <v>0.99690846026240387</v>
      </c>
      <c r="AT4" s="290">
        <f t="shared" si="2"/>
        <v>7.5170295601146425E-5</v>
      </c>
      <c r="AU4" s="291">
        <v>9504</v>
      </c>
      <c r="AV4" s="290">
        <f t="shared" si="3"/>
        <v>0.71663399185643195</v>
      </c>
      <c r="AW4" s="291">
        <v>0</v>
      </c>
      <c r="AX4" s="290">
        <f t="shared" si="3"/>
        <v>0</v>
      </c>
      <c r="AY4" s="291">
        <v>0</v>
      </c>
      <c r="AZ4" s="290">
        <f t="shared" si="3"/>
        <v>0</v>
      </c>
      <c r="BA4" s="304">
        <v>10973</v>
      </c>
      <c r="BB4" s="290">
        <f t="shared" si="3"/>
        <v>0.82740159855225459</v>
      </c>
      <c r="BC4" s="304">
        <v>12654</v>
      </c>
      <c r="BE4" s="304">
        <v>10413</v>
      </c>
      <c r="BG4" s="304">
        <v>10565</v>
      </c>
      <c r="BI4" s="304">
        <v>10416</v>
      </c>
      <c r="BK4" s="304">
        <v>7645</v>
      </c>
      <c r="BM4" s="304">
        <v>7443</v>
      </c>
      <c r="BO4" s="304">
        <v>7357</v>
      </c>
      <c r="BQ4" s="304">
        <v>19398</v>
      </c>
      <c r="BS4" s="304">
        <v>18698</v>
      </c>
      <c r="BU4" s="304">
        <v>11519</v>
      </c>
      <c r="BW4" s="304">
        <v>13672</v>
      </c>
      <c r="BY4" s="304">
        <v>16803</v>
      </c>
      <c r="CA4" s="304">
        <v>11928</v>
      </c>
      <c r="CC4" s="304">
        <v>13306</v>
      </c>
      <c r="CE4" s="304">
        <v>12626</v>
      </c>
      <c r="CG4" s="304">
        <v>12113</v>
      </c>
      <c r="CI4" s="304">
        <v>16464</v>
      </c>
      <c r="CK4" s="304">
        <v>14632</v>
      </c>
      <c r="CL4" s="304" t="s">
        <v>1718</v>
      </c>
    </row>
    <row r="5" spans="1:90"/>
  </sheetData>
  <conditionalFormatting sqref="AM2:AM146 AO2:AO146 AQ2:AQ146 AS2:AT146 AV2:AV146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X2:AX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2:AZ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92D050"/>
  </sheetPr>
  <dimension ref="A1:CR5"/>
  <sheetViews>
    <sheetView zoomScaleNormal="100" workbookViewId="0">
      <pane xSplit="2" ySplit="1" topLeftCell="AX2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4.25" customHeight="1"/>
  <cols>
    <col min="1" max="1" width="9.140625" style="1" customWidth="1"/>
    <col min="2" max="2" width="43" style="2" customWidth="1"/>
    <col min="3" max="3" width="184.8554687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22.5703125" style="2" customWidth="1"/>
    <col min="17" max="17" width="13.5703125" style="2" customWidth="1"/>
    <col min="18" max="18" width="24.5703125" style="2" customWidth="1"/>
    <col min="19" max="25" width="9.140625" style="2" customWidth="1"/>
    <col min="26" max="26" width="10.42578125" style="2" customWidth="1"/>
    <col min="27" max="27" width="9.140625" style="2" customWidth="1"/>
    <col min="28" max="28" width="10.42578125" style="2" customWidth="1"/>
    <col min="29" max="34" width="9.140625" style="2" customWidth="1"/>
    <col min="35" max="35" width="30" style="2" customWidth="1"/>
    <col min="36" max="36" width="50" style="2" customWidth="1"/>
    <col min="37" max="37" width="9.7109375" style="2" customWidth="1"/>
    <col min="38" max="42" width="9.85546875" style="2" customWidth="1"/>
    <col min="43" max="43" width="9.85546875" style="12" customWidth="1"/>
    <col min="44" max="44" width="9.85546875" style="2" customWidth="1"/>
    <col min="45" max="45" width="9.85546875" style="12" customWidth="1"/>
    <col min="46" max="46" width="9.85546875" style="2" customWidth="1"/>
    <col min="47" max="47" width="9.85546875" style="12" customWidth="1"/>
    <col min="48" max="48" width="10.7109375" style="2" customWidth="1"/>
    <col min="49" max="49" width="9.85546875" style="12" customWidth="1"/>
    <col min="50" max="50" width="10.5703125" style="2" customWidth="1"/>
    <col min="51" max="51" width="9.85546875" style="12" customWidth="1"/>
    <col min="52" max="52" width="11.42578125" style="2" customWidth="1"/>
    <col min="53" max="53" width="9.7109375" style="12" customWidth="1"/>
    <col min="54" max="54" width="9.7109375" style="2" customWidth="1"/>
    <col min="55" max="55" width="9.7109375" style="12" customWidth="1"/>
    <col min="56" max="56" width="9.7109375" style="2" customWidth="1"/>
    <col min="57" max="57" width="9.7109375" style="12" customWidth="1"/>
    <col min="58" max="59" width="9.7109375" style="2" customWidth="1"/>
    <col min="60" max="60" width="9.7109375" style="1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95" width="20" style="2" customWidth="1"/>
    <col min="96" max="96" width="50" style="2" customWidth="1"/>
    <col min="97" max="16384" width="9.140625" style="2"/>
  </cols>
  <sheetData>
    <row r="1" spans="1:96" ht="17.2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14*60*1000*SpeedFaktor</f>
        <v>840000</v>
      </c>
      <c r="H1" s="2">
        <v>10</v>
      </c>
      <c r="AH1" s="2" t="s">
        <v>5</v>
      </c>
      <c r="AI1" s="2" t="s">
        <v>657</v>
      </c>
      <c r="AJ1" s="2" t="s">
        <v>938</v>
      </c>
      <c r="AK1" s="2" t="s">
        <v>676</v>
      </c>
      <c r="AL1" s="2" t="s">
        <v>658</v>
      </c>
      <c r="AM1" s="2" t="s">
        <v>489</v>
      </c>
      <c r="AN1" s="2" t="s">
        <v>10</v>
      </c>
      <c r="AO1" s="2" t="s">
        <v>677</v>
      </c>
      <c r="AP1" s="2" t="s">
        <v>11</v>
      </c>
      <c r="AQ1" s="24" t="s">
        <v>8</v>
      </c>
      <c r="AR1" s="2" t="s">
        <v>12</v>
      </c>
      <c r="AS1" s="24" t="s">
        <v>8</v>
      </c>
      <c r="AT1" s="2" t="s">
        <v>13</v>
      </c>
      <c r="AU1" s="24" t="s">
        <v>8</v>
      </c>
      <c r="AV1" s="2" t="s">
        <v>65</v>
      </c>
      <c r="AW1" s="24" t="s">
        <v>8</v>
      </c>
      <c r="AX1" s="10" t="s">
        <v>15</v>
      </c>
      <c r="AY1" s="186" t="s">
        <v>8</v>
      </c>
      <c r="AZ1" s="10" t="s">
        <v>17</v>
      </c>
      <c r="BA1" s="186" t="s">
        <v>8</v>
      </c>
      <c r="BB1" s="10" t="s">
        <v>1285</v>
      </c>
      <c r="BC1" s="186" t="s">
        <v>8</v>
      </c>
      <c r="BD1" s="10" t="s">
        <v>1286</v>
      </c>
      <c r="BE1" s="186" t="s">
        <v>8</v>
      </c>
      <c r="BF1" s="10"/>
      <c r="BG1" s="762" t="s">
        <v>1303</v>
      </c>
      <c r="BH1" s="186" t="s">
        <v>8</v>
      </c>
      <c r="BI1" s="873" t="s">
        <v>1311</v>
      </c>
      <c r="BJ1" s="874" t="s">
        <v>572</v>
      </c>
      <c r="BK1" s="997" t="s">
        <v>1318</v>
      </c>
      <c r="BL1" s="998" t="s">
        <v>572</v>
      </c>
      <c r="BM1" s="1143" t="s">
        <v>1324</v>
      </c>
      <c r="BN1" s="1144" t="s">
        <v>572</v>
      </c>
      <c r="BO1" s="1346" t="s">
        <v>1341</v>
      </c>
      <c r="BP1" s="1347" t="s">
        <v>572</v>
      </c>
      <c r="BQ1" s="1600" t="s">
        <v>1363</v>
      </c>
      <c r="BR1" s="1601" t="s">
        <v>572</v>
      </c>
      <c r="BS1" s="1740" t="s">
        <v>1368</v>
      </c>
      <c r="BT1" s="1741" t="s">
        <v>572</v>
      </c>
      <c r="BU1" s="1881" t="s">
        <v>1372</v>
      </c>
      <c r="BV1" s="1882" t="s">
        <v>572</v>
      </c>
      <c r="BW1" s="2169" t="s">
        <v>1397</v>
      </c>
      <c r="BX1" s="2170" t="s">
        <v>572</v>
      </c>
      <c r="BY1" s="2350" t="s">
        <v>1421</v>
      </c>
      <c r="BZ1" s="2351" t="s">
        <v>572</v>
      </c>
      <c r="CA1" s="2506" t="s">
        <v>1434</v>
      </c>
      <c r="CB1" s="2507" t="s">
        <v>572</v>
      </c>
      <c r="CC1" s="2669" t="s">
        <v>1442</v>
      </c>
      <c r="CD1" s="2670" t="s">
        <v>572</v>
      </c>
      <c r="CE1" s="2858" t="s">
        <v>1460</v>
      </c>
      <c r="CF1" s="2859" t="s">
        <v>572</v>
      </c>
      <c r="CG1" s="3042" t="s">
        <v>1472</v>
      </c>
      <c r="CH1" s="3043" t="s">
        <v>572</v>
      </c>
      <c r="CI1" s="3230" t="s">
        <v>1492</v>
      </c>
      <c r="CJ1" s="3231" t="s">
        <v>572</v>
      </c>
      <c r="CK1" s="3404" t="s">
        <v>1503</v>
      </c>
      <c r="CL1" s="3405" t="s">
        <v>572</v>
      </c>
      <c r="CM1" s="3594" t="s">
        <v>1519</v>
      </c>
      <c r="CN1" s="3595" t="s">
        <v>572</v>
      </c>
      <c r="CO1" s="3890" t="s">
        <v>1666</v>
      </c>
      <c r="CP1" s="3891" t="s">
        <v>572</v>
      </c>
      <c r="CQ1" s="4109" t="s">
        <v>1717</v>
      </c>
      <c r="CR1" s="4110" t="s">
        <v>572</v>
      </c>
    </row>
    <row r="2" spans="1:96" s="717" customFormat="1" ht="14.25" customHeight="1">
      <c r="A2" s="760">
        <v>1</v>
      </c>
      <c r="B2" s="121" t="s">
        <v>21</v>
      </c>
      <c r="C2" s="760" t="str">
        <f>'001a'!B59</f>
        <v>{"url":p.aventisURL}</v>
      </c>
      <c r="AI2" s="717">
        <v>1913</v>
      </c>
      <c r="AK2" s="717">
        <v>2030</v>
      </c>
      <c r="AL2" s="717">
        <v>2042</v>
      </c>
      <c r="AM2" s="717">
        <v>1965</v>
      </c>
      <c r="AN2" s="717">
        <v>1645</v>
      </c>
      <c r="AP2" s="717">
        <v>1663</v>
      </c>
      <c r="AQ2" s="752">
        <f>AP2/($AI2)</f>
        <v>0.86931521170935699</v>
      </c>
      <c r="AR2" s="717">
        <v>1951</v>
      </c>
      <c r="AS2" s="752">
        <f>AR2/($AI2)</f>
        <v>1.0198640878201777</v>
      </c>
      <c r="AT2" s="717">
        <v>2219</v>
      </c>
      <c r="AU2" s="752">
        <f>AT2/($AI2)</f>
        <v>1.159958180867747</v>
      </c>
      <c r="AV2" s="717">
        <v>1384</v>
      </c>
      <c r="AW2" s="752">
        <f>AV2/($AI2)</f>
        <v>0.72347098797699949</v>
      </c>
      <c r="AX2" s="717">
        <v>1340</v>
      </c>
      <c r="AY2" s="752">
        <f>AX2/($AI2)</f>
        <v>0.70047046523784628</v>
      </c>
      <c r="AZ2" s="717">
        <v>1144</v>
      </c>
      <c r="BA2" s="752">
        <f>AZ2/($AI2)</f>
        <v>0.59801359121798225</v>
      </c>
      <c r="BB2" s="717">
        <v>1187</v>
      </c>
      <c r="BC2" s="752">
        <f>BB2/($AI2)</f>
        <v>0.62049137480397287</v>
      </c>
      <c r="BD2" s="717">
        <v>568</v>
      </c>
      <c r="BE2" s="752">
        <f>BD2/($AI2)</f>
        <v>0.29691583899634083</v>
      </c>
      <c r="BG2" s="717">
        <v>1177</v>
      </c>
      <c r="BH2" s="752">
        <f>BG2/($AI2)</f>
        <v>0.6152639832723471</v>
      </c>
      <c r="BI2" s="717">
        <v>1541</v>
      </c>
      <c r="BK2" s="717">
        <v>1195</v>
      </c>
      <c r="BM2" s="717">
        <v>1152</v>
      </c>
      <c r="BO2" s="717">
        <v>1181</v>
      </c>
      <c r="BQ2" s="717">
        <v>1212</v>
      </c>
      <c r="BS2" s="717">
        <v>1287</v>
      </c>
      <c r="BU2" s="717">
        <v>1207</v>
      </c>
      <c r="BW2" s="717">
        <v>1622</v>
      </c>
      <c r="BY2" s="717">
        <v>1787</v>
      </c>
      <c r="CA2" s="717">
        <v>2219</v>
      </c>
      <c r="CC2" s="717">
        <v>1102</v>
      </c>
      <c r="CE2" s="717">
        <v>1154</v>
      </c>
      <c r="CG2" s="717">
        <v>1533</v>
      </c>
      <c r="CI2" s="717">
        <v>1054</v>
      </c>
      <c r="CK2" s="717">
        <v>1254</v>
      </c>
      <c r="CM2" s="717">
        <v>1113</v>
      </c>
      <c r="CO2" s="717">
        <v>894</v>
      </c>
      <c r="CQ2" s="717">
        <v>409</v>
      </c>
      <c r="CR2" s="717" t="s">
        <v>1718</v>
      </c>
    </row>
    <row r="3" spans="1:96" s="730" customFormat="1" ht="14.25" customHeight="1">
      <c r="A3" s="761">
        <v>2</v>
      </c>
      <c r="B3" s="121" t="s">
        <v>25</v>
      </c>
      <c r="C3" s="760" t="s">
        <v>633</v>
      </c>
      <c r="D3" s="717"/>
      <c r="E3" s="717"/>
      <c r="F3" s="717"/>
      <c r="G3" s="717"/>
      <c r="H3" s="717"/>
      <c r="I3" s="717"/>
      <c r="J3" s="717"/>
      <c r="K3" s="717"/>
      <c r="L3" s="717"/>
      <c r="M3" s="717"/>
      <c r="N3" s="717"/>
      <c r="O3" s="717"/>
      <c r="P3" s="717"/>
      <c r="Q3" s="717"/>
      <c r="R3" s="717"/>
      <c r="S3" s="717"/>
      <c r="T3" s="717"/>
      <c r="U3" s="717"/>
      <c r="V3" s="717"/>
      <c r="W3" s="717"/>
      <c r="X3" s="717"/>
      <c r="Y3" s="717"/>
      <c r="Z3" s="717"/>
      <c r="AA3" s="717"/>
      <c r="AB3" s="717"/>
      <c r="AC3" s="717"/>
      <c r="AD3" s="717"/>
      <c r="AE3" s="717"/>
      <c r="AF3" s="717"/>
      <c r="AG3" s="717"/>
      <c r="AH3" s="717"/>
      <c r="AI3" s="717">
        <v>11871</v>
      </c>
      <c r="AJ3" s="717"/>
      <c r="AK3" s="717">
        <v>7120</v>
      </c>
      <c r="AL3" s="717">
        <v>6868</v>
      </c>
      <c r="AM3" s="717">
        <v>9904</v>
      </c>
      <c r="AN3" s="717">
        <v>10036</v>
      </c>
      <c r="AO3" s="717"/>
      <c r="AP3" s="717">
        <v>9356</v>
      </c>
      <c r="AQ3" s="752">
        <f t="shared" ref="AQ3:AQ5" si="0">AP3/($AI3)</f>
        <v>0.7881391626653188</v>
      </c>
      <c r="AR3" s="717">
        <v>8921</v>
      </c>
      <c r="AS3" s="752">
        <f t="shared" ref="AS3:AS5" si="1">AR3/($AI3)</f>
        <v>0.75149524050206384</v>
      </c>
      <c r="AT3" s="717">
        <v>9567</v>
      </c>
      <c r="AU3" s="752">
        <f t="shared" ref="AU3:BE5" si="2">AT3/($AI3)</f>
        <v>0.80591357088703564</v>
      </c>
      <c r="AV3" s="717">
        <v>9888</v>
      </c>
      <c r="AW3" s="752">
        <f t="shared" si="2"/>
        <v>0.83295425827647207</v>
      </c>
      <c r="AX3" s="717">
        <v>7500</v>
      </c>
      <c r="AY3" s="752">
        <f t="shared" si="2"/>
        <v>0.63179176143543092</v>
      </c>
      <c r="AZ3" s="717">
        <v>6990</v>
      </c>
      <c r="BA3" s="752">
        <f t="shared" si="2"/>
        <v>0.58882992165782155</v>
      </c>
      <c r="BB3" s="717">
        <v>7666</v>
      </c>
      <c r="BC3" s="752">
        <f t="shared" si="2"/>
        <v>0.64577541908853509</v>
      </c>
      <c r="BD3" s="717">
        <v>4997</v>
      </c>
      <c r="BE3" s="752">
        <f t="shared" si="2"/>
        <v>0.42094179091904643</v>
      </c>
      <c r="BG3" s="730">
        <v>7108</v>
      </c>
      <c r="BH3" s="752">
        <f t="shared" ref="BH3:BH5" si="3">BG3/($AI3)</f>
        <v>0.598770112037739</v>
      </c>
      <c r="BI3" s="730">
        <v>9406</v>
      </c>
      <c r="BK3" s="730">
        <v>7124</v>
      </c>
      <c r="BM3" s="730">
        <v>7353</v>
      </c>
      <c r="BO3" s="730">
        <v>7285</v>
      </c>
      <c r="BQ3" s="730">
        <v>7017</v>
      </c>
      <c r="BS3" s="730">
        <v>6980</v>
      </c>
      <c r="BU3" s="730">
        <v>7224</v>
      </c>
      <c r="BW3" s="730">
        <v>6903</v>
      </c>
      <c r="BY3" s="730">
        <v>6838</v>
      </c>
      <c r="CA3" s="730">
        <v>6422</v>
      </c>
      <c r="CC3" s="730">
        <v>7100</v>
      </c>
      <c r="CE3" s="730">
        <v>8267</v>
      </c>
      <c r="CG3" s="730">
        <v>8513</v>
      </c>
      <c r="CI3" s="730">
        <v>8540</v>
      </c>
      <c r="CK3" s="730">
        <v>9092</v>
      </c>
      <c r="CM3" s="730">
        <v>8112</v>
      </c>
      <c r="CO3" s="730">
        <v>11631</v>
      </c>
      <c r="CQ3" s="730">
        <v>5482</v>
      </c>
      <c r="CR3" s="730" t="s">
        <v>1718</v>
      </c>
    </row>
    <row r="4" spans="1:96" s="730" customFormat="1" ht="21.75" customHeight="1" thickBot="1">
      <c r="A4" s="760">
        <v>4</v>
      </c>
      <c r="B4" s="121" t="s">
        <v>139</v>
      </c>
      <c r="C4" s="761" t="str">
        <f>G4&amp;H4&amp;I4&amp;J4</f>
        <v>{"searchDossierOrKlient":p.DossierName1,"resultType":"Dossiers"}</v>
      </c>
      <c r="D4" s="717"/>
      <c r="E4" s="717"/>
      <c r="F4" s="717"/>
      <c r="G4" s="758" t="s">
        <v>140</v>
      </c>
      <c r="H4" s="717" t="s">
        <v>449</v>
      </c>
      <c r="I4" s="758" t="s">
        <v>623</v>
      </c>
      <c r="J4" s="717"/>
      <c r="K4" s="758"/>
      <c r="L4" s="717"/>
      <c r="M4" s="758"/>
      <c r="N4" s="717"/>
      <c r="O4" s="758"/>
      <c r="P4" s="717"/>
      <c r="Q4" s="758"/>
      <c r="R4" s="717"/>
      <c r="S4" s="758"/>
      <c r="T4" s="717"/>
      <c r="U4" s="759"/>
      <c r="V4" s="717"/>
      <c r="W4" s="759"/>
      <c r="X4" s="717"/>
      <c r="Y4" s="759"/>
      <c r="Z4" s="717"/>
      <c r="AA4" s="717"/>
      <c r="AB4" s="717"/>
      <c r="AC4" s="717"/>
      <c r="AD4" s="717" t="s">
        <v>953</v>
      </c>
      <c r="AE4" s="717"/>
      <c r="AF4" s="717"/>
      <c r="AG4" s="717"/>
      <c r="AH4" s="717"/>
      <c r="AI4" s="717">
        <v>11819</v>
      </c>
      <c r="AJ4" s="717" t="s">
        <v>954</v>
      </c>
      <c r="AK4" s="717">
        <v>11819</v>
      </c>
      <c r="AL4" s="717">
        <v>11830</v>
      </c>
      <c r="AM4" s="717">
        <v>11371</v>
      </c>
      <c r="AN4" s="717">
        <v>10838</v>
      </c>
      <c r="AO4" s="717"/>
      <c r="AP4" s="717">
        <v>10910</v>
      </c>
      <c r="AQ4" s="752">
        <f t="shared" si="0"/>
        <v>0.92308993992723576</v>
      </c>
      <c r="AR4" s="717">
        <v>11033</v>
      </c>
      <c r="AS4" s="752">
        <f t="shared" si="1"/>
        <v>0.93349691175226335</v>
      </c>
      <c r="AT4" s="717">
        <v>10547</v>
      </c>
      <c r="AU4" s="752">
        <f t="shared" si="2"/>
        <v>0.8923766816143498</v>
      </c>
      <c r="AV4" s="717">
        <v>2506</v>
      </c>
      <c r="AW4" s="752">
        <f t="shared" si="2"/>
        <v>0.21203147474405618</v>
      </c>
      <c r="AX4" s="717">
        <v>2724</v>
      </c>
      <c r="AY4" s="752">
        <f t="shared" si="2"/>
        <v>0.23047635163719435</v>
      </c>
      <c r="AZ4" s="717">
        <v>5105</v>
      </c>
      <c r="BA4" s="752">
        <f t="shared" si="2"/>
        <v>0.43193163550215752</v>
      </c>
      <c r="BB4" s="717">
        <v>5333</v>
      </c>
      <c r="BC4" s="752">
        <f t="shared" si="2"/>
        <v>0.45122260766562317</v>
      </c>
      <c r="BD4" s="717">
        <v>5196</v>
      </c>
      <c r="BE4" s="752">
        <f t="shared" si="2"/>
        <v>0.43963110246213721</v>
      </c>
      <c r="BG4" s="730">
        <v>5082</v>
      </c>
      <c r="BH4" s="752">
        <f t="shared" si="3"/>
        <v>0.42998561638040445</v>
      </c>
      <c r="BI4" s="730">
        <v>5748</v>
      </c>
      <c r="BK4" s="730">
        <v>5360</v>
      </c>
      <c r="BM4" s="730">
        <v>5313</v>
      </c>
      <c r="BO4" s="730">
        <v>5298</v>
      </c>
      <c r="BQ4" s="730">
        <v>2460</v>
      </c>
      <c r="BS4" s="730">
        <v>2620</v>
      </c>
      <c r="BU4" s="730">
        <v>2908</v>
      </c>
      <c r="BW4" s="730">
        <v>6444</v>
      </c>
      <c r="BY4" s="730">
        <v>5319</v>
      </c>
      <c r="CA4" s="730">
        <v>5437</v>
      </c>
      <c r="CC4" s="730">
        <v>8604</v>
      </c>
      <c r="CE4" s="730">
        <v>4637</v>
      </c>
      <c r="CG4" s="730">
        <v>4599</v>
      </c>
      <c r="CI4" s="730">
        <v>4679</v>
      </c>
      <c r="CK4" s="730">
        <v>4666</v>
      </c>
      <c r="CM4" s="730">
        <v>4569</v>
      </c>
      <c r="CO4" s="730">
        <v>4888</v>
      </c>
      <c r="CQ4" s="730">
        <v>4693</v>
      </c>
      <c r="CR4" s="730" t="s">
        <v>1718</v>
      </c>
    </row>
    <row r="5" spans="1:96" s="730" customFormat="1" ht="27" customHeight="1">
      <c r="A5" s="716">
        <v>5</v>
      </c>
      <c r="B5" s="186" t="s">
        <v>955</v>
      </c>
      <c r="C5" s="716" t="str">
        <f ca="1">E5</f>
        <v>{"titel":"Ein Titel einer Beschwerde 001","zustaendig":"Adrian Messerli","beschFuehrer":`${p.FamilyName1}, ${p.WomanFirstName1}`,"vName":"Hausiwald","vVorname":"Paul","vStrasseInklNr":"Strasse 12","vOrt":"4556 Bolken","beschwerdeVon":"4.11.2025","grund":"Hypothetisches Einkommen","anfechtDatumEnscheid":"4.11.2025","zustellungDatumEnscheid":"4.11.2025","documente":""}</v>
      </c>
      <c r="D5" s="716" t="s">
        <v>28</v>
      </c>
      <c r="E5" s="716" t="str">
        <f ca="1">F5&amp;G5&amp;H5&amp;I5&amp;J5&amp;K5&amp;L5&amp;M5&amp;N5&amp;O5&amp;P5&amp;Q5&amp;R5&amp;S5&amp;T5&amp;U5&amp;V5&amp;W5&amp;X5&amp;Y5&amp;Z5&amp;AA5&amp;AB5&amp;AC5&amp;AD5&amp;AE5&amp;AF5&amp;AG5&amp;AH5</f>
        <v>{"titel":"Ein Titel einer Beschwerde 001","zustaendig":"Adrian Messerli","beschFuehrer":`${p.FamilyName1}, ${p.WomanFirstName1}`,"vName":"Hausiwald","vVorname":"Paul","vStrasseInklNr":"Strasse 12","vOrt":"4556 Bolken","beschwerdeVon":"4.11.2025","grund":"Hypothetisches Einkommen","anfechtDatumEnscheid":"4.11.2025","zustellungDatumEnscheid":"4.11.2025","documente":""}</v>
      </c>
      <c r="F5" s="755"/>
      <c r="G5" s="755"/>
      <c r="H5" s="716" t="s">
        <v>374</v>
      </c>
      <c r="I5" s="716" t="s">
        <v>956</v>
      </c>
      <c r="J5" s="716" t="s">
        <v>957</v>
      </c>
      <c r="K5" s="716" t="s">
        <v>958</v>
      </c>
      <c r="L5" s="716" t="s">
        <v>959</v>
      </c>
      <c r="M5" s="716" t="s">
        <v>960</v>
      </c>
      <c r="N5" s="716" t="s">
        <v>961</v>
      </c>
      <c r="O5" s="756" t="s">
        <v>962</v>
      </c>
      <c r="P5" s="757" t="s">
        <v>963</v>
      </c>
      <c r="Q5" s="716" t="s">
        <v>964</v>
      </c>
      <c r="R5" s="716" t="s">
        <v>965</v>
      </c>
      <c r="S5" s="716" t="s">
        <v>966</v>
      </c>
      <c r="T5" s="716" t="s">
        <v>967</v>
      </c>
      <c r="U5" s="716" t="s">
        <v>968</v>
      </c>
      <c r="V5" s="756" t="s">
        <v>969</v>
      </c>
      <c r="W5" s="716" t="str">
        <f ca="1">DAY(TODAY())&amp;"."&amp;MONTH(TODAY())&amp;"."&amp;YEAR(TODAY())</f>
        <v>4.11.2025</v>
      </c>
      <c r="X5" s="716" t="s">
        <v>970</v>
      </c>
      <c r="Y5" s="716" t="s">
        <v>971</v>
      </c>
      <c r="Z5" s="716" t="s">
        <v>972</v>
      </c>
      <c r="AA5" s="716" t="str">
        <f ca="1">W5</f>
        <v>4.11.2025</v>
      </c>
      <c r="AB5" s="716" t="s">
        <v>973</v>
      </c>
      <c r="AC5" s="716" t="str">
        <f ca="1">AA5</f>
        <v>4.11.2025</v>
      </c>
      <c r="AD5" s="716" t="s">
        <v>974</v>
      </c>
      <c r="AE5" s="716" t="s">
        <v>37</v>
      </c>
      <c r="AF5" s="716"/>
      <c r="AG5" s="716"/>
      <c r="AH5" s="716"/>
      <c r="AI5" s="716">
        <v>8740</v>
      </c>
      <c r="AJ5" s="716"/>
      <c r="AK5" s="716">
        <v>8740</v>
      </c>
      <c r="AL5" s="716">
        <v>8830</v>
      </c>
      <c r="AM5" s="716">
        <v>9626</v>
      </c>
      <c r="AN5" s="716">
        <v>7938</v>
      </c>
      <c r="AO5" s="716"/>
      <c r="AP5" s="716">
        <v>7861</v>
      </c>
      <c r="AQ5" s="752">
        <f t="shared" si="0"/>
        <v>0.8994279176201373</v>
      </c>
      <c r="AR5" s="716">
        <v>8034</v>
      </c>
      <c r="AS5" s="752">
        <f t="shared" si="1"/>
        <v>0.91922196796338673</v>
      </c>
      <c r="AT5" s="716">
        <v>7513</v>
      </c>
      <c r="AU5" s="752">
        <f t="shared" si="2"/>
        <v>0.85961098398169333</v>
      </c>
      <c r="AV5" s="716">
        <v>8148</v>
      </c>
      <c r="AW5" s="752">
        <f t="shared" si="2"/>
        <v>0.93226544622425633</v>
      </c>
      <c r="AX5" s="717">
        <v>7382</v>
      </c>
      <c r="AY5" s="752">
        <f t="shared" si="2"/>
        <v>0.84462242562929057</v>
      </c>
      <c r="AZ5" s="717">
        <v>6650</v>
      </c>
      <c r="BA5" s="752">
        <f t="shared" si="2"/>
        <v>0.76086956521739135</v>
      </c>
      <c r="BB5" s="717">
        <v>6446</v>
      </c>
      <c r="BC5" s="752">
        <f t="shared" si="2"/>
        <v>0.73752860411899313</v>
      </c>
      <c r="BD5" s="717">
        <v>6121</v>
      </c>
      <c r="BE5" s="752">
        <f t="shared" si="2"/>
        <v>0.70034324942791759</v>
      </c>
      <c r="BG5" s="730">
        <v>6476</v>
      </c>
      <c r="BH5" s="752">
        <f t="shared" si="3"/>
        <v>0.74096109839816937</v>
      </c>
      <c r="BI5" s="730">
        <v>10127</v>
      </c>
      <c r="BK5" s="730">
        <v>6789</v>
      </c>
      <c r="BM5" s="730">
        <v>6560</v>
      </c>
      <c r="BO5" s="730">
        <v>6082</v>
      </c>
      <c r="BQ5" s="730">
        <v>6128</v>
      </c>
      <c r="BS5" s="730">
        <v>7331</v>
      </c>
      <c r="BU5" s="730">
        <v>6837</v>
      </c>
      <c r="BW5" s="730">
        <v>9102</v>
      </c>
      <c r="BY5" s="730">
        <v>7133</v>
      </c>
      <c r="CA5" s="730">
        <v>6408</v>
      </c>
      <c r="CC5" s="730">
        <v>7083</v>
      </c>
      <c r="CE5" s="730">
        <v>7163</v>
      </c>
      <c r="CG5" s="730">
        <v>6168</v>
      </c>
      <c r="CI5" s="730">
        <v>6448</v>
      </c>
      <c r="CK5" s="730">
        <v>7005</v>
      </c>
      <c r="CM5" s="730">
        <v>6312</v>
      </c>
      <c r="CO5" s="730">
        <v>10235</v>
      </c>
      <c r="CQ5" s="730">
        <v>6192</v>
      </c>
      <c r="CR5" s="730" t="s">
        <v>1718</v>
      </c>
    </row>
  </sheetData>
  <conditionalFormatting sqref="AQ2:AQ145 AS2:AS145 AU2:AU145 AW2:AW145 AY2:AY145 BA2:BA145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45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145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H2:BH145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92D050"/>
  </sheetPr>
  <dimension ref="A1:CP5"/>
  <sheetViews>
    <sheetView zoomScaleNormal="100" workbookViewId="0">
      <pane xSplit="2" ySplit="1" topLeftCell="C2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4.25" customHeight="1"/>
  <cols>
    <col min="1" max="1" width="9.140625" style="1" customWidth="1"/>
    <col min="2" max="2" width="43" style="2" customWidth="1"/>
    <col min="3" max="3" width="184.8554687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10.7109375" style="2" customWidth="1"/>
    <col min="17" max="17" width="9.140625" style="2" customWidth="1"/>
    <col min="18" max="18" width="22.5703125" style="2" customWidth="1"/>
    <col min="19" max="19" width="13.5703125" style="2" customWidth="1"/>
    <col min="20" max="20" width="24.5703125" style="2" customWidth="1"/>
    <col min="21" max="34" width="9.140625" style="2" customWidth="1"/>
    <col min="35" max="36" width="9.7109375" style="2" customWidth="1"/>
    <col min="37" max="38" width="10" style="2" customWidth="1"/>
    <col min="39" max="39" width="9.85546875" style="12" customWidth="1"/>
    <col min="40" max="40" width="10" style="2" customWidth="1"/>
    <col min="41" max="41" width="9.85546875" style="12" customWidth="1"/>
    <col min="42" max="42" width="10" style="2" customWidth="1"/>
    <col min="43" max="43" width="10" style="12" customWidth="1"/>
    <col min="44" max="44" width="10" style="2" customWidth="1"/>
    <col min="45" max="45" width="9" style="12" customWidth="1"/>
    <col min="46" max="46" width="9" style="2" customWidth="1"/>
    <col min="47" max="47" width="9" style="12" customWidth="1"/>
    <col min="48" max="48" width="9" style="2" customWidth="1"/>
    <col min="49" max="49" width="9" style="12" customWidth="1"/>
    <col min="50" max="50" width="9" style="2" customWidth="1"/>
    <col min="51" max="51" width="9" style="12" customWidth="1"/>
    <col min="52" max="52" width="9" style="2" customWidth="1"/>
    <col min="53" max="53" width="9" style="12" customWidth="1"/>
    <col min="54" max="54" width="9" style="2" customWidth="1"/>
    <col min="55" max="55" width="9" style="12" customWidth="1"/>
    <col min="56" max="56" width="10.85546875" style="2" customWidth="1"/>
    <col min="57" max="57" width="9" style="12" customWidth="1"/>
    <col min="58" max="58" width="9.140625" style="2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14*60*1000*SpeedFaktor</f>
        <v>840000</v>
      </c>
      <c r="H1" s="2">
        <v>10</v>
      </c>
      <c r="AH1" s="2" t="s">
        <v>5</v>
      </c>
      <c r="AI1" s="2" t="s">
        <v>676</v>
      </c>
      <c r="AJ1" s="2" t="s">
        <v>658</v>
      </c>
      <c r="AK1" s="2" t="s">
        <v>489</v>
      </c>
      <c r="AL1" s="2" t="s">
        <v>10</v>
      </c>
      <c r="AM1" s="24" t="s">
        <v>8</v>
      </c>
      <c r="AN1" s="2" t="s">
        <v>11</v>
      </c>
      <c r="AO1" s="24" t="s">
        <v>8</v>
      </c>
      <c r="AP1" s="2" t="s">
        <v>12</v>
      </c>
      <c r="AQ1" s="763" t="s">
        <v>8</v>
      </c>
      <c r="AR1" s="764" t="s">
        <v>13</v>
      </c>
      <c r="AS1" s="763" t="s">
        <v>8</v>
      </c>
      <c r="AT1" s="764" t="s">
        <v>65</v>
      </c>
      <c r="AU1" s="763" t="s">
        <v>8</v>
      </c>
      <c r="AV1" s="764" t="s">
        <v>15</v>
      </c>
      <c r="AW1" s="763" t="s">
        <v>8</v>
      </c>
      <c r="AX1" s="764" t="s">
        <v>17</v>
      </c>
      <c r="AY1" s="763" t="s">
        <v>8</v>
      </c>
      <c r="AZ1" s="764" t="s">
        <v>1285</v>
      </c>
      <c r="BA1" s="763" t="s">
        <v>8</v>
      </c>
      <c r="BB1" s="764" t="s">
        <v>1286</v>
      </c>
      <c r="BC1" s="763" t="s">
        <v>8</v>
      </c>
      <c r="BD1" s="765" t="s">
        <v>1303</v>
      </c>
      <c r="BE1" s="763" t="s">
        <v>8</v>
      </c>
      <c r="BG1" s="875" t="s">
        <v>1311</v>
      </c>
      <c r="BH1" s="876" t="s">
        <v>572</v>
      </c>
      <c r="BI1" s="999" t="s">
        <v>1318</v>
      </c>
      <c r="BJ1" s="1000" t="s">
        <v>572</v>
      </c>
      <c r="BK1" s="1145" t="s">
        <v>1324</v>
      </c>
      <c r="BL1" s="1146" t="s">
        <v>572</v>
      </c>
      <c r="BM1" s="1348" t="s">
        <v>1341</v>
      </c>
      <c r="BN1" s="1349" t="s">
        <v>572</v>
      </c>
      <c r="BO1" s="1602" t="s">
        <v>1363</v>
      </c>
      <c r="BP1" s="1603" t="s">
        <v>572</v>
      </c>
      <c r="BQ1" s="1742" t="s">
        <v>1368</v>
      </c>
      <c r="BR1" s="1743" t="s">
        <v>572</v>
      </c>
      <c r="BS1" s="1883" t="s">
        <v>1372</v>
      </c>
      <c r="BT1" s="1884" t="s">
        <v>572</v>
      </c>
      <c r="BU1" s="2171" t="s">
        <v>1397</v>
      </c>
      <c r="BV1" s="2172" t="s">
        <v>572</v>
      </c>
      <c r="BW1" s="2352" t="s">
        <v>1421</v>
      </c>
      <c r="BX1" s="2353" t="s">
        <v>572</v>
      </c>
      <c r="BY1" s="2508" t="s">
        <v>1434</v>
      </c>
      <c r="BZ1" s="2509" t="s">
        <v>572</v>
      </c>
      <c r="CA1" s="2671" t="s">
        <v>1442</v>
      </c>
      <c r="CB1" s="2672" t="s">
        <v>572</v>
      </c>
      <c r="CC1" s="2860" t="s">
        <v>1460</v>
      </c>
      <c r="CD1" s="2861" t="s">
        <v>572</v>
      </c>
      <c r="CE1" s="3044" t="s">
        <v>1472</v>
      </c>
      <c r="CF1" s="3045" t="s">
        <v>572</v>
      </c>
      <c r="CG1" s="3232" t="s">
        <v>1492</v>
      </c>
      <c r="CH1" s="3233" t="s">
        <v>572</v>
      </c>
      <c r="CI1" s="3406" t="s">
        <v>1503</v>
      </c>
      <c r="CJ1" s="3407" t="s">
        <v>572</v>
      </c>
      <c r="CK1" s="3596" t="s">
        <v>1519</v>
      </c>
      <c r="CL1" s="3597" t="s">
        <v>572</v>
      </c>
      <c r="CM1" s="3892" t="s">
        <v>1666</v>
      </c>
      <c r="CN1" s="3893" t="s">
        <v>572</v>
      </c>
      <c r="CO1" s="4111" t="s">
        <v>1717</v>
      </c>
      <c r="CP1" s="4112" t="s">
        <v>572</v>
      </c>
    </row>
    <row r="2" spans="1:94" ht="14.25" customHeight="1">
      <c r="A2" s="119">
        <v>1</v>
      </c>
      <c r="B2" s="122" t="s">
        <v>21</v>
      </c>
      <c r="C2" s="590" t="str">
        <f>'001a'!B59</f>
        <v>{"url":p.aventisURL}</v>
      </c>
      <c r="AI2" s="2">
        <v>2082</v>
      </c>
      <c r="AJ2" s="2">
        <v>2116</v>
      </c>
      <c r="AK2" s="2">
        <v>1914</v>
      </c>
      <c r="AL2" s="2">
        <v>1487</v>
      </c>
      <c r="AM2" s="156">
        <f>AL2/($AI2)</f>
        <v>0.71421709894332375</v>
      </c>
      <c r="AN2" s="2">
        <v>1494</v>
      </c>
      <c r="AO2" s="156">
        <f>AN2/($AI2)</f>
        <v>0.71757925072046114</v>
      </c>
      <c r="AP2" s="2">
        <v>1857</v>
      </c>
      <c r="AQ2" s="156">
        <f>AP2/($AI2)</f>
        <v>0.89193083573487031</v>
      </c>
      <c r="AR2" s="2">
        <v>1648</v>
      </c>
      <c r="AS2" s="156">
        <f>AR2/($AI2)</f>
        <v>0.79154658981748316</v>
      </c>
      <c r="AT2" s="2">
        <v>1648</v>
      </c>
      <c r="AU2" s="156">
        <f>AT2/($AI2)</f>
        <v>0.79154658981748316</v>
      </c>
      <c r="AV2" s="2">
        <v>1131</v>
      </c>
      <c r="AW2" s="156">
        <f>AV2/($AI2)</f>
        <v>0.54322766570605185</v>
      </c>
      <c r="AX2" s="2">
        <v>1350</v>
      </c>
      <c r="AY2" s="156">
        <f>AX2/($AI2)</f>
        <v>0.64841498559077815</v>
      </c>
      <c r="AZ2" s="2">
        <v>1275</v>
      </c>
      <c r="BA2" s="156">
        <f>AZ2/($AI2)</f>
        <v>0.61239193083573484</v>
      </c>
      <c r="BB2" s="2">
        <v>557</v>
      </c>
      <c r="BC2" s="156">
        <f>BB2/($AI2)</f>
        <v>0.26753121998078772</v>
      </c>
      <c r="BD2" s="2">
        <v>1167</v>
      </c>
      <c r="BE2" s="156">
        <f>BD2/($AI2)</f>
        <v>0.56051873198847257</v>
      </c>
      <c r="BG2" s="2">
        <v>1469</v>
      </c>
      <c r="BI2" s="2">
        <v>1159</v>
      </c>
      <c r="BK2" s="2">
        <v>1284</v>
      </c>
      <c r="BM2" s="2">
        <v>1259</v>
      </c>
      <c r="BO2" s="2">
        <v>1172</v>
      </c>
      <c r="BQ2" s="2">
        <v>1144</v>
      </c>
      <c r="BS2" s="2">
        <v>1156</v>
      </c>
      <c r="BU2" s="2">
        <v>1595</v>
      </c>
      <c r="BW2" s="2">
        <v>1674</v>
      </c>
      <c r="BY2" s="2">
        <v>1609</v>
      </c>
      <c r="CA2" s="2">
        <v>1095</v>
      </c>
      <c r="CC2" s="2">
        <v>1129</v>
      </c>
      <c r="CE2" s="2">
        <v>1604</v>
      </c>
      <c r="CG2" s="2">
        <v>1072</v>
      </c>
      <c r="CI2" s="2">
        <v>1074</v>
      </c>
      <c r="CK2" s="2">
        <v>1059</v>
      </c>
      <c r="CM2" s="2">
        <v>869</v>
      </c>
      <c r="CO2" s="2">
        <v>365</v>
      </c>
      <c r="CP2" s="2" t="s">
        <v>1718</v>
      </c>
    </row>
    <row r="3" spans="1:94" ht="14.25" customHeight="1">
      <c r="A3" s="119">
        <v>2</v>
      </c>
      <c r="B3" s="122" t="s">
        <v>25</v>
      </c>
      <c r="C3" s="606" t="s">
        <v>952</v>
      </c>
      <c r="AI3" s="2">
        <v>6879</v>
      </c>
      <c r="AJ3" s="2">
        <v>6591</v>
      </c>
      <c r="AK3" s="2">
        <v>12693</v>
      </c>
      <c r="AL3" s="2">
        <v>9382</v>
      </c>
      <c r="AM3" s="156">
        <f t="shared" ref="AM3:AM5" si="0">AL3/($AI3)</f>
        <v>1.3638610263119639</v>
      </c>
      <c r="AN3" s="2">
        <v>8907</v>
      </c>
      <c r="AO3" s="156">
        <f t="shared" ref="AO3:AO5" si="1">AN3/($AI3)</f>
        <v>1.2948102921936329</v>
      </c>
      <c r="AP3" s="2">
        <v>9424</v>
      </c>
      <c r="AQ3" s="156">
        <f t="shared" ref="AQ3:AQ5" si="2">AP3/($AI3)</f>
        <v>1.36996656490769</v>
      </c>
      <c r="AR3" s="2">
        <v>8587</v>
      </c>
      <c r="AS3" s="156">
        <f t="shared" ref="AS3:BC5" si="3">AR3/($AI3)</f>
        <v>1.2482919028928623</v>
      </c>
      <c r="AT3" s="2">
        <v>9397</v>
      </c>
      <c r="AU3" s="156">
        <f t="shared" si="3"/>
        <v>1.3660415758104376</v>
      </c>
      <c r="AV3" s="2">
        <v>8885</v>
      </c>
      <c r="AW3" s="156">
        <f t="shared" si="3"/>
        <v>1.2916121529292048</v>
      </c>
      <c r="AX3" s="2">
        <v>7386</v>
      </c>
      <c r="AY3" s="156">
        <f t="shared" si="3"/>
        <v>1.0737025730484082</v>
      </c>
      <c r="AZ3" s="2">
        <v>7447</v>
      </c>
      <c r="BA3" s="156">
        <f t="shared" si="3"/>
        <v>1.0825701410088675</v>
      </c>
      <c r="BB3" s="2">
        <v>5883</v>
      </c>
      <c r="BC3" s="156">
        <f t="shared" si="3"/>
        <v>0.85521151330135192</v>
      </c>
      <c r="BD3" s="2">
        <v>7061</v>
      </c>
      <c r="BE3" s="156">
        <f t="shared" ref="BE3:BE5" si="4">BD3/($AI3)</f>
        <v>1.0264573339148133</v>
      </c>
      <c r="BG3" s="2">
        <v>9422</v>
      </c>
      <c r="BI3" s="2">
        <v>7565</v>
      </c>
      <c r="BK3" s="2">
        <v>7177</v>
      </c>
      <c r="BM3" s="2">
        <v>6964</v>
      </c>
      <c r="BO3" s="2">
        <v>6934</v>
      </c>
      <c r="BQ3" s="2">
        <v>7295</v>
      </c>
      <c r="BS3" s="2">
        <v>8274</v>
      </c>
      <c r="BU3" s="2">
        <v>7428</v>
      </c>
      <c r="BW3" s="2">
        <v>6547</v>
      </c>
      <c r="BY3" s="2">
        <v>6795</v>
      </c>
      <c r="CA3" s="2">
        <v>7410</v>
      </c>
      <c r="CC3" s="2">
        <v>7818</v>
      </c>
      <c r="CE3" s="2">
        <v>7408</v>
      </c>
      <c r="CG3" s="2">
        <v>8321</v>
      </c>
      <c r="CI3" s="2">
        <v>10097</v>
      </c>
      <c r="CK3" s="2">
        <v>8019</v>
      </c>
      <c r="CM3" s="2">
        <v>7417</v>
      </c>
      <c r="CO3" s="2">
        <v>6595</v>
      </c>
      <c r="CP3" s="2" t="s">
        <v>1718</v>
      </c>
    </row>
    <row r="4" spans="1:94" ht="17.25" customHeight="1" thickBot="1">
      <c r="A4" s="119">
        <v>3</v>
      </c>
      <c r="B4" s="122" t="s">
        <v>139</v>
      </c>
      <c r="C4" s="606" t="str">
        <f>E4</f>
        <v>{"searchDossierOrKlient":p.DossierName1,"resultType":"Dossiers"}</v>
      </c>
      <c r="E4" s="3" t="str">
        <f>F4&amp;G4&amp;H4&amp;I4&amp;J4&amp;K4&amp;L4&amp;M4&amp;N4&amp;Q4&amp;R4&amp;S4&amp;T4&amp;U4&amp;V4&amp;W4&amp;X4&amp;Y4</f>
        <v>{"searchDossierOrKlient":p.DossierName1,"resultType":"Dossiers"}</v>
      </c>
      <c r="F4" s="2" t="s">
        <v>140</v>
      </c>
      <c r="G4" s="2" t="s">
        <v>449</v>
      </c>
      <c r="H4" s="2" t="s">
        <v>623</v>
      </c>
      <c r="AI4" s="2">
        <v>11851</v>
      </c>
      <c r="AJ4" s="2">
        <v>11818</v>
      </c>
      <c r="AK4" s="2">
        <v>11145</v>
      </c>
      <c r="AL4" s="2">
        <v>10810</v>
      </c>
      <c r="AM4" s="156">
        <f t="shared" si="0"/>
        <v>0.91215931145051055</v>
      </c>
      <c r="AN4" s="2">
        <v>10921</v>
      </c>
      <c r="AO4" s="156">
        <f t="shared" si="1"/>
        <v>0.92152560965319386</v>
      </c>
      <c r="AP4" s="2">
        <v>10997</v>
      </c>
      <c r="AQ4" s="156">
        <f t="shared" si="2"/>
        <v>0.92793857058476081</v>
      </c>
      <c r="AR4" s="2">
        <v>10538</v>
      </c>
      <c r="AS4" s="156">
        <f t="shared" si="3"/>
        <v>0.88920766180069188</v>
      </c>
      <c r="AT4" s="2">
        <v>2427</v>
      </c>
      <c r="AU4" s="156">
        <f t="shared" si="3"/>
        <v>0.2047928444856974</v>
      </c>
      <c r="AV4" s="2">
        <v>2638</v>
      </c>
      <c r="AW4" s="156">
        <f t="shared" si="3"/>
        <v>0.22259724917728463</v>
      </c>
      <c r="AX4" s="2">
        <v>4956</v>
      </c>
      <c r="AY4" s="156">
        <f t="shared" si="3"/>
        <v>0.41819255759007679</v>
      </c>
      <c r="AZ4" s="2">
        <v>5070</v>
      </c>
      <c r="BA4" s="156">
        <f t="shared" si="3"/>
        <v>0.42781199898742722</v>
      </c>
      <c r="BB4" s="2">
        <v>4770</v>
      </c>
      <c r="BC4" s="156">
        <f t="shared" si="3"/>
        <v>0.40249767952071558</v>
      </c>
      <c r="BD4" s="2">
        <v>4954</v>
      </c>
      <c r="BE4" s="156">
        <f t="shared" si="4"/>
        <v>0.41802379546029872</v>
      </c>
      <c r="BG4" s="2">
        <v>5296</v>
      </c>
      <c r="BI4" s="2">
        <v>5008</v>
      </c>
      <c r="BK4" s="2">
        <v>5168</v>
      </c>
      <c r="BM4" s="2">
        <v>5213</v>
      </c>
      <c r="BO4" s="2">
        <v>2120</v>
      </c>
      <c r="BQ4" s="2">
        <v>2157</v>
      </c>
      <c r="BS4" s="2">
        <v>2699</v>
      </c>
      <c r="BU4" s="2">
        <v>6714</v>
      </c>
      <c r="BW4" s="2">
        <v>5162</v>
      </c>
      <c r="BY4" s="2">
        <v>3236</v>
      </c>
      <c r="CA4" s="2">
        <v>8156</v>
      </c>
      <c r="CC4" s="2">
        <v>4426</v>
      </c>
      <c r="CE4" s="2">
        <v>4523</v>
      </c>
      <c r="CG4" s="2">
        <v>4644</v>
      </c>
      <c r="CI4" s="2">
        <v>4383</v>
      </c>
      <c r="CK4" s="2">
        <v>4289</v>
      </c>
      <c r="CM4" s="2">
        <v>4832</v>
      </c>
      <c r="CO4" s="2">
        <v>4673</v>
      </c>
      <c r="CP4" s="2" t="s">
        <v>1718</v>
      </c>
    </row>
    <row r="5" spans="1:94" s="53" customFormat="1" ht="45.75" customHeight="1" thickBot="1">
      <c r="A5" s="21">
        <v>4</v>
      </c>
      <c r="B5" s="248" t="s">
        <v>975</v>
      </c>
      <c r="C5" s="24" t="str">
        <f ca="1">E5</f>
        <v>{"titel":"Ein Titel einer Beschwerde 001","instanz":"Staatsrat","status":"In Beurteilung","stellungNahme":"In Beurteilung ist doch toll","beschwerdenummer":"1233","datumVom":"4.11.2025","artDerEntsch":"Angenommen","dokument1":"C:/temp/test.txt","zugestVom":"4.11.2025","entscheidOk":"x","weiterzug":"4.11.2025","beschwerdeDoc":"C:/temp/test.txt","grund":"wichtiger Grund"}</v>
      </c>
      <c r="D5" s="24" t="s">
        <v>263</v>
      </c>
      <c r="E5" s="24" t="str">
        <f ca="1">F5&amp;G5&amp;H5&amp;I5&amp;J5&amp;K5&amp;L5&amp;M5&amp;N5&amp;O5&amp;P5&amp;Q5&amp;R5&amp;S5&amp;T5&amp;U5&amp;V5&amp;W5&amp;X5&amp;Y5&amp;Z5&amp;AA5&amp;AB5&amp;AC5&amp;AD5&amp;AE5&amp;AF5&amp;AG5&amp;AH5</f>
        <v>{"titel":"Ein Titel einer Beschwerde 001","instanz":"Staatsrat","status":"In Beurteilung","stellungNahme":"In Beurteilung ist doch toll","beschwerdenummer":"1233","datumVom":"4.11.2025","artDerEntsch":"Angenommen","dokument1":"C:/temp/test.txt","zugestVom":"4.11.2025","entscheidOk":"x","weiterzug":"4.11.2025","beschwerdeDoc":"C:/temp/test.txt","grund":"wichtiger Grund"}</v>
      </c>
      <c r="F5" s="248" t="s">
        <v>976</v>
      </c>
      <c r="G5" s="345"/>
      <c r="H5" s="280" t="s">
        <v>977</v>
      </c>
      <c r="I5" s="280" t="s">
        <v>956</v>
      </c>
      <c r="J5" s="280" t="s">
        <v>978</v>
      </c>
      <c r="K5" s="24" t="s">
        <v>979</v>
      </c>
      <c r="L5" s="280" t="s">
        <v>202</v>
      </c>
      <c r="M5" s="24" t="s">
        <v>980</v>
      </c>
      <c r="N5" s="280" t="s">
        <v>981</v>
      </c>
      <c r="O5" s="262" t="s">
        <v>982</v>
      </c>
      <c r="P5" s="280" t="s">
        <v>983</v>
      </c>
      <c r="Q5" s="262">
        <v>1233</v>
      </c>
      <c r="R5" s="392" t="s">
        <v>984</v>
      </c>
      <c r="S5" s="24" t="str">
        <f ca="1">'RV01'!W5</f>
        <v>4.11.2025</v>
      </c>
      <c r="T5" s="280" t="s">
        <v>985</v>
      </c>
      <c r="U5" s="24" t="s">
        <v>986</v>
      </c>
      <c r="V5" s="280" t="s">
        <v>987</v>
      </c>
      <c r="W5" s="24" t="s">
        <v>988</v>
      </c>
      <c r="X5" s="262" t="s">
        <v>989</v>
      </c>
      <c r="Y5" s="24" t="str">
        <f ca="1">S5</f>
        <v>4.11.2025</v>
      </c>
      <c r="Z5" s="24" t="s">
        <v>990</v>
      </c>
      <c r="AA5" s="24" t="s">
        <v>170</v>
      </c>
      <c r="AB5" s="24" t="s">
        <v>991</v>
      </c>
      <c r="AC5" s="24" t="str">
        <f ca="1">Y5</f>
        <v>4.11.2025</v>
      </c>
      <c r="AD5" s="24" t="s">
        <v>992</v>
      </c>
      <c r="AE5" s="24" t="s">
        <v>988</v>
      </c>
      <c r="AF5" s="24" t="s">
        <v>970</v>
      </c>
      <c r="AG5" s="24" t="s">
        <v>993</v>
      </c>
      <c r="AH5" s="24" t="s">
        <v>37</v>
      </c>
      <c r="AI5" s="24">
        <v>5491</v>
      </c>
      <c r="AJ5" s="24">
        <v>5515</v>
      </c>
      <c r="AK5" s="24">
        <v>7024</v>
      </c>
      <c r="AL5" s="24">
        <v>5576</v>
      </c>
      <c r="AM5" s="156">
        <f t="shared" si="0"/>
        <v>1.0154798761609907</v>
      </c>
      <c r="AN5" s="24">
        <v>5452</v>
      </c>
      <c r="AO5" s="156">
        <f t="shared" si="1"/>
        <v>0.9928974685849572</v>
      </c>
      <c r="AP5" s="24">
        <v>5563</v>
      </c>
      <c r="AQ5" s="156">
        <f t="shared" si="2"/>
        <v>1.0131123656893097</v>
      </c>
      <c r="AR5" s="24">
        <v>5223</v>
      </c>
      <c r="AS5" s="156">
        <f t="shared" si="3"/>
        <v>0.95119286104534695</v>
      </c>
      <c r="AT5" s="24">
        <v>5843</v>
      </c>
      <c r="AU5" s="156">
        <f t="shared" si="3"/>
        <v>1.0641048989255144</v>
      </c>
      <c r="AV5" s="2">
        <v>4242</v>
      </c>
      <c r="AW5" s="156">
        <f t="shared" si="3"/>
        <v>0.77253687852850117</v>
      </c>
      <c r="AX5" s="2">
        <v>4130</v>
      </c>
      <c r="AY5" s="156">
        <f t="shared" si="3"/>
        <v>0.75213986523401932</v>
      </c>
      <c r="AZ5" s="2">
        <v>4192</v>
      </c>
      <c r="BA5" s="156">
        <f t="shared" si="3"/>
        <v>0.76343106902203606</v>
      </c>
      <c r="BB5" s="2">
        <v>3982</v>
      </c>
      <c r="BC5" s="156">
        <f t="shared" si="3"/>
        <v>0.7251866690948825</v>
      </c>
      <c r="BD5" s="53">
        <v>4448</v>
      </c>
      <c r="BE5" s="156">
        <f t="shared" si="4"/>
        <v>0.81005281369513749</v>
      </c>
      <c r="BG5" s="53">
        <v>7234</v>
      </c>
      <c r="BI5" s="53">
        <v>4768</v>
      </c>
      <c r="BK5" s="53">
        <v>4464</v>
      </c>
      <c r="BM5" s="53">
        <v>4035</v>
      </c>
      <c r="BO5" s="53">
        <v>4353</v>
      </c>
      <c r="BQ5" s="53">
        <v>5326</v>
      </c>
      <c r="BS5" s="53">
        <v>4531</v>
      </c>
      <c r="BU5" s="53">
        <v>6842</v>
      </c>
      <c r="BW5" s="53">
        <v>3985</v>
      </c>
      <c r="BY5" s="53">
        <v>3615</v>
      </c>
      <c r="CA5" s="53">
        <v>4513</v>
      </c>
      <c r="CC5" s="53">
        <v>5272</v>
      </c>
      <c r="CE5" s="53">
        <v>3770</v>
      </c>
      <c r="CG5" s="53">
        <v>5637</v>
      </c>
      <c r="CI5" s="53">
        <v>5158</v>
      </c>
      <c r="CK5" s="53">
        <v>4531</v>
      </c>
      <c r="CM5" s="53">
        <v>3319</v>
      </c>
      <c r="CO5" s="53">
        <v>4611</v>
      </c>
      <c r="CP5" s="53" t="s">
        <v>1718</v>
      </c>
    </row>
  </sheetData>
  <conditionalFormatting sqref="AM2:AM146 AO2:AO146 AQ2:AQ146 AS2:AS146 AU2:AU146 AW2:AW146 AY2:AY146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92D050"/>
  </sheetPr>
  <dimension ref="A1:CQ7"/>
  <sheetViews>
    <sheetView zoomScaleNormal="100" workbookViewId="0">
      <pane xSplit="2" ySplit="1" topLeftCell="C4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4.25" customHeight="1"/>
  <cols>
    <col min="1" max="1" width="9.140625" style="1" customWidth="1"/>
    <col min="2" max="2" width="33.7109375" style="2" customWidth="1"/>
    <col min="3" max="3" width="125.7109375" style="2" customWidth="1"/>
    <col min="4" max="4" width="9.140625" style="2" customWidth="1"/>
    <col min="5" max="5" width="9.85546875" style="209" customWidth="1"/>
    <col min="6" max="6" width="9.85546875" style="254" customWidth="1"/>
    <col min="7" max="7" width="26.85546875" style="2" customWidth="1"/>
    <col min="8" max="8" width="40.7109375" style="2" customWidth="1"/>
    <col min="9" max="9" width="10.140625" style="2" customWidth="1"/>
    <col min="10" max="13" width="9.140625" style="2" customWidth="1"/>
    <col min="14" max="14" width="43.42578125" style="2" customWidth="1"/>
    <col min="15" max="16" width="9.140625" style="2" customWidth="1"/>
    <col min="17" max="17" width="13.5703125" style="2" customWidth="1"/>
    <col min="18" max="21" width="9.140625" style="2" customWidth="1"/>
    <col min="22" max="22" width="12.42578125" style="2" customWidth="1"/>
    <col min="23" max="37" width="9.140625" style="2" customWidth="1"/>
    <col min="38" max="39" width="9.85546875" style="3" customWidth="1"/>
    <col min="40" max="42" width="9.85546875" style="2" customWidth="1"/>
    <col min="43" max="43" width="9.7109375" style="12" customWidth="1"/>
    <col min="44" max="44" width="9.7109375" style="2" customWidth="1"/>
    <col min="45" max="45" width="9.7109375" style="12" customWidth="1"/>
    <col min="46" max="46" width="11.42578125" style="2" customWidth="1"/>
    <col min="47" max="47" width="11.42578125" style="12" customWidth="1"/>
    <col min="48" max="48" width="11.42578125" style="2" customWidth="1"/>
    <col min="49" max="49" width="11.42578125" style="12" customWidth="1"/>
    <col min="50" max="50" width="11.42578125" style="2" customWidth="1"/>
    <col min="51" max="51" width="11.42578125" style="12" customWidth="1"/>
    <col min="52" max="52" width="11.42578125" style="2" customWidth="1"/>
    <col min="53" max="53" width="11.42578125" style="12" customWidth="1"/>
    <col min="54" max="54" width="11.42578125" style="2" customWidth="1"/>
    <col min="55" max="55" width="11.42578125" style="12" customWidth="1"/>
    <col min="56" max="56" width="11.42578125" style="2" customWidth="1"/>
    <col min="57" max="57" width="11.42578125" style="12" customWidth="1"/>
    <col min="58" max="58" width="11.42578125" style="2" customWidth="1"/>
    <col min="59" max="59" width="11.42578125" style="12" customWidth="1"/>
    <col min="60" max="60" width="20" style="2" customWidth="1"/>
    <col min="61" max="61" width="50" style="2" customWidth="1"/>
    <col min="62" max="62" width="20" style="2" customWidth="1"/>
    <col min="63" max="63" width="50" style="2" customWidth="1"/>
    <col min="64" max="64" width="20" style="2" customWidth="1"/>
    <col min="65" max="65" width="50" style="2" customWidth="1"/>
    <col min="66" max="66" width="20" style="2" customWidth="1"/>
    <col min="67" max="67" width="50" style="2" customWidth="1"/>
    <col min="68" max="68" width="20" style="2" customWidth="1"/>
    <col min="69" max="69" width="50" style="2" customWidth="1"/>
    <col min="70" max="70" width="20" style="2" customWidth="1"/>
    <col min="71" max="71" width="50" style="2" customWidth="1"/>
    <col min="72" max="72" width="20" style="2" customWidth="1"/>
    <col min="73" max="73" width="50" style="2" customWidth="1"/>
    <col min="74" max="74" width="20" style="2" customWidth="1"/>
    <col min="75" max="75" width="50" style="2" customWidth="1"/>
    <col min="76" max="76" width="20" style="2" customWidth="1"/>
    <col min="77" max="77" width="50" style="2" customWidth="1"/>
    <col min="78" max="78" width="20" style="2" customWidth="1"/>
    <col min="79" max="79" width="50" style="2" customWidth="1"/>
    <col min="80" max="80" width="20" style="2" customWidth="1"/>
    <col min="81" max="81" width="50" style="2" customWidth="1"/>
    <col min="82" max="82" width="20" style="2" customWidth="1"/>
    <col min="83" max="83" width="50" style="2" customWidth="1"/>
    <col min="84" max="84" width="20" style="2" customWidth="1"/>
    <col min="85" max="85" width="50" style="2" customWidth="1"/>
    <col min="86" max="86" width="20" style="2" customWidth="1"/>
    <col min="87" max="87" width="50" style="2" customWidth="1"/>
    <col min="88" max="88" width="20" style="2" customWidth="1"/>
    <col min="89" max="89" width="50" style="2" customWidth="1"/>
    <col min="90" max="90" width="20" style="2" customWidth="1"/>
    <col min="91" max="91" width="50" style="2" customWidth="1"/>
    <col min="92" max="92" width="20" style="2" customWidth="1"/>
    <col min="93" max="93" width="50" style="2" customWidth="1"/>
    <col min="94" max="94" width="20" style="2" customWidth="1"/>
    <col min="95" max="95" width="50" style="2" customWidth="1"/>
    <col min="96" max="16384" width="9.140625" style="2"/>
  </cols>
  <sheetData>
    <row r="1" spans="1:95" ht="15" customHeight="1">
      <c r="A1" s="5" t="s">
        <v>0</v>
      </c>
      <c r="B1" s="39" t="s">
        <v>1</v>
      </c>
      <c r="C1" s="39" t="s">
        <v>2</v>
      </c>
      <c r="D1" s="39" t="s">
        <v>3</v>
      </c>
      <c r="E1" s="259"/>
      <c r="F1" s="254" t="s">
        <v>4</v>
      </c>
      <c r="G1" s="2558">
        <f>2*60*1000*SpeedFaktor</f>
        <v>120000</v>
      </c>
      <c r="H1" s="2">
        <v>10</v>
      </c>
      <c r="AK1" s="2" t="s">
        <v>5</v>
      </c>
      <c r="AL1" s="3" t="s">
        <v>676</v>
      </c>
      <c r="AM1" s="3" t="s">
        <v>658</v>
      </c>
      <c r="AN1" s="2" t="s">
        <v>10</v>
      </c>
      <c r="AO1" s="2" t="s">
        <v>677</v>
      </c>
      <c r="AP1" s="2" t="s">
        <v>11</v>
      </c>
      <c r="AQ1" s="24" t="s">
        <v>8</v>
      </c>
      <c r="AR1" s="2" t="s">
        <v>12</v>
      </c>
      <c r="AS1" s="24" t="s">
        <v>8</v>
      </c>
      <c r="AT1" s="2" t="s">
        <v>13</v>
      </c>
      <c r="AU1" s="24" t="s">
        <v>8</v>
      </c>
      <c r="AV1" s="2" t="s">
        <v>65</v>
      </c>
      <c r="AW1" s="24" t="s">
        <v>8</v>
      </c>
      <c r="AX1" s="2" t="s">
        <v>15</v>
      </c>
      <c r="AY1" s="24" t="s">
        <v>8</v>
      </c>
      <c r="AZ1" s="2" t="s">
        <v>17</v>
      </c>
      <c r="BA1" s="24" t="s">
        <v>8</v>
      </c>
      <c r="BB1" s="2" t="s">
        <v>1285</v>
      </c>
      <c r="BC1" s="24" t="s">
        <v>8</v>
      </c>
      <c r="BD1" s="2" t="s">
        <v>1286</v>
      </c>
      <c r="BE1" s="24" t="s">
        <v>8</v>
      </c>
      <c r="BF1" s="534" t="s">
        <v>1303</v>
      </c>
      <c r="BG1" s="24" t="s">
        <v>8</v>
      </c>
      <c r="BH1" s="877" t="s">
        <v>1317</v>
      </c>
      <c r="BI1" s="878" t="s">
        <v>572</v>
      </c>
      <c r="BJ1" s="1001" t="s">
        <v>1318</v>
      </c>
      <c r="BK1" s="1002" t="s">
        <v>572</v>
      </c>
      <c r="BL1" s="1147" t="s">
        <v>1324</v>
      </c>
      <c r="BM1" s="1148" t="s">
        <v>572</v>
      </c>
      <c r="BN1" s="1350" t="s">
        <v>1341</v>
      </c>
      <c r="BO1" s="1351" t="s">
        <v>572</v>
      </c>
      <c r="BP1" s="1604" t="s">
        <v>1363</v>
      </c>
      <c r="BQ1" s="1605" t="s">
        <v>572</v>
      </c>
      <c r="BR1" s="1744" t="s">
        <v>1368</v>
      </c>
      <c r="BS1" s="1745" t="s">
        <v>572</v>
      </c>
      <c r="BT1" s="1885" t="s">
        <v>1372</v>
      </c>
      <c r="BU1" s="1886" t="s">
        <v>572</v>
      </c>
      <c r="BV1" s="2173" t="s">
        <v>1397</v>
      </c>
      <c r="BW1" s="2174" t="s">
        <v>572</v>
      </c>
      <c r="BX1" s="2354" t="s">
        <v>1421</v>
      </c>
      <c r="BY1" s="2355" t="s">
        <v>572</v>
      </c>
      <c r="BZ1" s="2510" t="s">
        <v>1434</v>
      </c>
      <c r="CA1" s="2511" t="s">
        <v>572</v>
      </c>
      <c r="CB1" s="2673" t="s">
        <v>1442</v>
      </c>
      <c r="CC1" s="2674" t="s">
        <v>572</v>
      </c>
      <c r="CD1" s="2862" t="s">
        <v>1460</v>
      </c>
      <c r="CE1" s="2863" t="s">
        <v>572</v>
      </c>
      <c r="CF1" s="3046" t="s">
        <v>1472</v>
      </c>
      <c r="CG1" s="3047" t="s">
        <v>572</v>
      </c>
      <c r="CH1" s="3234" t="s">
        <v>1492</v>
      </c>
      <c r="CI1" s="3235" t="s">
        <v>572</v>
      </c>
      <c r="CJ1" s="3408" t="s">
        <v>1503</v>
      </c>
      <c r="CK1" s="3409" t="s">
        <v>572</v>
      </c>
      <c r="CL1" s="3598" t="s">
        <v>1519</v>
      </c>
      <c r="CM1" s="3599" t="s">
        <v>572</v>
      </c>
      <c r="CN1" s="3894" t="s">
        <v>1666</v>
      </c>
      <c r="CO1" s="3895" t="s">
        <v>572</v>
      </c>
      <c r="CP1" s="4113" t="s">
        <v>1717</v>
      </c>
      <c r="CQ1" s="4114" t="s">
        <v>572</v>
      </c>
    </row>
    <row r="2" spans="1:95" ht="15" customHeight="1">
      <c r="A2" s="119">
        <v>1</v>
      </c>
      <c r="B2" s="122" t="s">
        <v>21</v>
      </c>
      <c r="C2" s="122" t="str">
        <f>'001a'!B59</f>
        <v>{"url":p.aventisURL}</v>
      </c>
      <c r="G2" s="2" t="s">
        <v>603</v>
      </c>
      <c r="AL2" s="3">
        <v>2226</v>
      </c>
      <c r="AM2" s="3">
        <v>1883</v>
      </c>
      <c r="AN2" s="2">
        <v>1576</v>
      </c>
      <c r="AP2" s="2">
        <v>1606</v>
      </c>
      <c r="AQ2" s="156">
        <f>AP2/($AL2)</f>
        <v>0.72147349505840075</v>
      </c>
      <c r="AR2" s="2">
        <v>1595</v>
      </c>
      <c r="AS2" s="156">
        <f>AR2/($AL2)</f>
        <v>0.7165318957771788</v>
      </c>
      <c r="AT2" s="2">
        <v>1782</v>
      </c>
      <c r="AU2" s="156">
        <f>AT2/($AL2)</f>
        <v>0.80053908355795145</v>
      </c>
      <c r="AV2" s="2">
        <v>1497</v>
      </c>
      <c r="AW2" s="156">
        <f>AV2/($AL2)</f>
        <v>0.6725067385444744</v>
      </c>
      <c r="AX2" s="2">
        <v>1488</v>
      </c>
      <c r="AY2" s="156">
        <f>AX2/($AL2)</f>
        <v>0.66846361185983827</v>
      </c>
      <c r="AZ2" s="2">
        <v>1220</v>
      </c>
      <c r="BA2" s="156">
        <f>AZ2/($AL2)</f>
        <v>0.54806828391734053</v>
      </c>
      <c r="BB2" s="2">
        <v>1076</v>
      </c>
      <c r="BC2" s="156">
        <f>BB2/($AL2)</f>
        <v>0.48337825696316261</v>
      </c>
      <c r="BD2" s="2">
        <v>553</v>
      </c>
      <c r="BE2" s="156">
        <f>BD2/($AL2)</f>
        <v>0.24842767295597484</v>
      </c>
      <c r="BF2" s="2">
        <v>1116</v>
      </c>
      <c r="BG2" s="156">
        <f>BF2/($AL2)</f>
        <v>0.50134770889487867</v>
      </c>
      <c r="BH2" s="2">
        <v>1350</v>
      </c>
      <c r="BJ2" s="2">
        <v>1211</v>
      </c>
      <c r="BL2" s="2">
        <v>1213</v>
      </c>
      <c r="BN2" s="2">
        <v>1215</v>
      </c>
      <c r="BP2" s="2">
        <v>1163</v>
      </c>
      <c r="BR2" s="2">
        <v>1131</v>
      </c>
      <c r="BT2" s="2">
        <v>1228</v>
      </c>
      <c r="BV2" s="2">
        <v>1638</v>
      </c>
      <c r="BX2" s="2">
        <v>1746</v>
      </c>
      <c r="BZ2" s="2">
        <v>1664</v>
      </c>
      <c r="CB2" s="2">
        <v>1109</v>
      </c>
      <c r="CD2" s="2">
        <v>1212</v>
      </c>
      <c r="CF2" s="2">
        <v>1599</v>
      </c>
      <c r="CH2" s="2">
        <v>1148</v>
      </c>
      <c r="CJ2" s="2">
        <v>1150</v>
      </c>
      <c r="CL2" s="2">
        <v>1100</v>
      </c>
      <c r="CN2" s="2">
        <v>849</v>
      </c>
      <c r="CP2" s="2">
        <v>450</v>
      </c>
      <c r="CQ2" s="2" t="s">
        <v>1718</v>
      </c>
    </row>
    <row r="3" spans="1:95" ht="15" customHeight="1">
      <c r="A3" s="119">
        <v>2</v>
      </c>
      <c r="B3" s="122" t="s">
        <v>25</v>
      </c>
      <c r="C3" s="122" t="s">
        <v>633</v>
      </c>
      <c r="AL3" s="3">
        <v>6492</v>
      </c>
      <c r="AM3" s="3">
        <v>6661</v>
      </c>
      <c r="AN3" s="2">
        <v>9318</v>
      </c>
      <c r="AP3" s="2">
        <v>9372</v>
      </c>
      <c r="AQ3" s="156">
        <f t="shared" ref="AQ3:AS5" si="0">AP3/($AL3)</f>
        <v>1.4436229205175601</v>
      </c>
      <c r="AR3" s="2">
        <v>9163</v>
      </c>
      <c r="AS3" s="156">
        <f t="shared" si="0"/>
        <v>1.4114294516327788</v>
      </c>
      <c r="AT3" s="2">
        <v>8706</v>
      </c>
      <c r="AU3" s="156">
        <f t="shared" ref="AU3:BG3" si="1">AT3/($AL3)</f>
        <v>1.3410351201478743</v>
      </c>
      <c r="AV3" s="2">
        <v>12376</v>
      </c>
      <c r="AW3" s="156">
        <f t="shared" si="1"/>
        <v>1.9063462723351818</v>
      </c>
      <c r="AX3" s="2">
        <v>8713</v>
      </c>
      <c r="AY3" s="156">
        <f t="shared" si="1"/>
        <v>1.3421133703019101</v>
      </c>
      <c r="AZ3" s="2">
        <v>7474</v>
      </c>
      <c r="BA3" s="156">
        <f t="shared" si="1"/>
        <v>1.1512630930375847</v>
      </c>
      <c r="BB3" s="2">
        <v>7189</v>
      </c>
      <c r="BC3" s="156">
        <f t="shared" si="1"/>
        <v>1.1073629081947012</v>
      </c>
      <c r="BD3" s="2">
        <v>5275</v>
      </c>
      <c r="BE3" s="156">
        <f t="shared" si="1"/>
        <v>0.81253850893407276</v>
      </c>
      <c r="BF3" s="2">
        <v>7112</v>
      </c>
      <c r="BG3" s="156">
        <f t="shared" si="1"/>
        <v>1.095502156500308</v>
      </c>
      <c r="BH3" s="2">
        <v>9688</v>
      </c>
      <c r="BJ3" s="2">
        <v>7719</v>
      </c>
      <c r="BL3" s="2">
        <v>7016</v>
      </c>
      <c r="BN3" s="2">
        <v>7188</v>
      </c>
      <c r="BP3" s="2">
        <v>6933</v>
      </c>
      <c r="BR3" s="2">
        <v>7061</v>
      </c>
      <c r="BT3" s="2">
        <v>7173</v>
      </c>
      <c r="BV3" s="2">
        <v>6672</v>
      </c>
      <c r="BX3" s="2">
        <v>8935</v>
      </c>
      <c r="BZ3" s="2">
        <v>6503</v>
      </c>
      <c r="CB3" s="2">
        <v>6946</v>
      </c>
      <c r="CD3" s="2">
        <v>10615</v>
      </c>
      <c r="CF3" s="2">
        <v>8116</v>
      </c>
      <c r="CH3" s="2">
        <v>7680</v>
      </c>
      <c r="CJ3" s="2">
        <v>9439</v>
      </c>
      <c r="CL3" s="2">
        <v>8294</v>
      </c>
      <c r="CN3" s="2">
        <v>7150</v>
      </c>
      <c r="CP3" s="2">
        <v>6856</v>
      </c>
      <c r="CQ3" s="2" t="s">
        <v>1718</v>
      </c>
    </row>
    <row r="4" spans="1:95" ht="15" customHeight="1" thickBot="1">
      <c r="A4" s="119">
        <v>4</v>
      </c>
      <c r="B4" s="122" t="s">
        <v>139</v>
      </c>
      <c r="C4" s="122" t="str">
        <f>G4&amp;H4&amp;I4&amp;J4</f>
        <v>{"searchDossierOrKlient":p.DossierName1,"resultType":"Dossiers"}</v>
      </c>
      <c r="G4" s="2" t="s">
        <v>140</v>
      </c>
      <c r="H4" s="267" t="s">
        <v>449</v>
      </c>
      <c r="I4" s="2" t="s">
        <v>623</v>
      </c>
      <c r="AL4" s="3">
        <v>11890</v>
      </c>
      <c r="AM4" s="3">
        <v>11909</v>
      </c>
      <c r="AN4" s="2">
        <v>10892</v>
      </c>
      <c r="AP4" s="2">
        <v>10944</v>
      </c>
      <c r="AQ4" s="156">
        <f t="shared" si="0"/>
        <v>0.92043734230445751</v>
      </c>
      <c r="AR4" s="2">
        <v>11011</v>
      </c>
      <c r="AS4" s="156">
        <f t="shared" si="0"/>
        <v>0.92607232968881414</v>
      </c>
      <c r="AT4" s="2">
        <v>10587</v>
      </c>
      <c r="AU4" s="156">
        <f t="shared" ref="AU4:BG4" si="2">AT4/($AL4)</f>
        <v>0.89041211101766193</v>
      </c>
      <c r="AV4" s="2">
        <v>2544</v>
      </c>
      <c r="AW4" s="156">
        <f t="shared" si="2"/>
        <v>0.21396131202691338</v>
      </c>
      <c r="AX4" s="2">
        <v>2816</v>
      </c>
      <c r="AY4" s="156">
        <f t="shared" si="2"/>
        <v>0.23683767872161479</v>
      </c>
      <c r="AZ4" s="2">
        <v>5053</v>
      </c>
      <c r="BA4" s="156">
        <f t="shared" si="2"/>
        <v>0.42497897392767031</v>
      </c>
      <c r="BB4" s="2">
        <v>5142</v>
      </c>
      <c r="BC4" s="156">
        <f t="shared" si="2"/>
        <v>0.43246425567703956</v>
      </c>
      <c r="BD4" s="2">
        <v>5093</v>
      </c>
      <c r="BE4" s="156">
        <f t="shared" si="2"/>
        <v>0.42834314550042052</v>
      </c>
      <c r="BF4" s="2">
        <v>5203</v>
      </c>
      <c r="BG4" s="156">
        <f t="shared" si="2"/>
        <v>0.4375946173254836</v>
      </c>
      <c r="BH4" s="2">
        <v>5395</v>
      </c>
      <c r="BJ4" s="2">
        <v>5164</v>
      </c>
      <c r="BL4" s="2">
        <v>5353</v>
      </c>
      <c r="BN4" s="2">
        <v>5327</v>
      </c>
      <c r="BP4" s="2">
        <v>2575</v>
      </c>
      <c r="BR4" s="2">
        <v>2639</v>
      </c>
      <c r="BT4" s="2">
        <v>3238</v>
      </c>
      <c r="BV4" s="2">
        <v>6894</v>
      </c>
      <c r="BX4" s="2">
        <v>4976</v>
      </c>
      <c r="BZ4" s="2">
        <v>5410</v>
      </c>
      <c r="CB4" s="2">
        <v>8080</v>
      </c>
      <c r="CD4" s="2">
        <v>4456</v>
      </c>
      <c r="CF4" s="2">
        <v>4554</v>
      </c>
      <c r="CH4" s="2">
        <v>4521</v>
      </c>
      <c r="CJ4" s="2">
        <v>4746</v>
      </c>
      <c r="CL4" s="2">
        <v>4957</v>
      </c>
      <c r="CN4" s="2">
        <v>4915</v>
      </c>
      <c r="CP4" s="2">
        <v>4660</v>
      </c>
      <c r="CQ4" s="2" t="s">
        <v>1718</v>
      </c>
    </row>
    <row r="5" spans="1:95" s="12" customFormat="1" ht="80.25" customHeight="1">
      <c r="A5" s="393">
        <v>5</v>
      </c>
      <c r="B5" s="240" t="s">
        <v>994</v>
      </c>
      <c r="C5" s="394" t="str">
        <f ca="1">E5</f>
        <v>{"verfahren":"Auflagen","status1":"Laufend","erstelltDurch":"Bern Sozialarbeiterin 1A","betroffenPersonen":`${p.FamilyName1}, ${p.ManFirstName1}`,"titel":"Ohne Jobsuche werden Zahlungen gekürzt","zugeteiltAn":"Bern Sozialarbeiterin 1A","erstelltAm":"04.11.2025","frist":"24.11.2025","status2":"in Vorbereitung","ausgangslage":"Freier Text Augangslage","auflagen":"Auflagen","entscheid":"Entscheid Text","sanktionen":"Sanktionen Text","weitereSanktionen":"Weitere Sanktionen Text"}</v>
      </c>
      <c r="D5" s="24" t="s">
        <v>28</v>
      </c>
      <c r="E5" s="268" t="str">
        <f ca="1">G5&amp;H5&amp;I5&amp;J5&amp;K5&amp;L5&amp;M5&amp;N5&amp;O5&amp;P5&amp;Q5&amp;R5&amp;S5&amp;T5&amp;U5&amp;V5&amp;W5&amp;X5&amp;Y5&amp;Z5&amp;AA5&amp;AB5&amp;AC5&amp;AD5&amp;AE5&amp;AF5&amp;AG5&amp;AH5&amp;AI5&amp;AK5</f>
        <v>{"verfahren":"Auflagen","status1":"Laufend","erstelltDurch":"Bern Sozialarbeiterin 1A","betroffenPersonen":`${p.FamilyName1}, ${p.ManFirstName1}`,"titel":"Ohne Jobsuche werden Zahlungen gekürzt","zugeteiltAn":"Bern Sozialarbeiterin 1A","erstelltAm":"04.11.2025","frist":"24.11.2025","status2":"in Vorbereitung","ausgangslage":"Freier Text Augangslage","auflagen":"Auflagen","entscheid":"Entscheid Text","sanktionen":"Sanktionen Text","weitereSanktionen":"Weitere Sanktionen Text"}</v>
      </c>
      <c r="F5" s="269"/>
      <c r="G5" s="255" t="s">
        <v>995</v>
      </c>
      <c r="H5" s="24" t="s">
        <v>996</v>
      </c>
      <c r="I5" s="24" t="s">
        <v>997</v>
      </c>
      <c r="J5" s="24" t="s">
        <v>998</v>
      </c>
      <c r="K5" s="24" t="s">
        <v>999</v>
      </c>
      <c r="L5" s="24" t="s">
        <v>116</v>
      </c>
      <c r="M5" s="24" t="s">
        <v>1000</v>
      </c>
      <c r="N5" s="24" t="s">
        <v>492</v>
      </c>
      <c r="O5" s="24" t="s">
        <v>1001</v>
      </c>
      <c r="P5" s="24" t="s">
        <v>1002</v>
      </c>
      <c r="Q5" s="24" t="s">
        <v>1003</v>
      </c>
      <c r="R5" s="24" t="s">
        <v>116</v>
      </c>
      <c r="S5" s="24" t="s">
        <v>376</v>
      </c>
      <c r="T5" s="232" t="str">
        <f ca="1">TEXT(TEXT(TODAY(),"DD")&amp;"."&amp;TEXT(TODAY(),"MM")&amp;"."&amp;TEXT(TODAY(),"YYYY"),"DD.MM.YYYY")</f>
        <v>04.11.2025</v>
      </c>
      <c r="U5" s="24" t="s">
        <v>1004</v>
      </c>
      <c r="V5" s="232" t="str">
        <f ca="1">TEXT(TEXT(TODAY()+20,"DD")&amp;"."&amp;TEXT(TODAY()+20,"MM")&amp;"."&amp;TEXT(TODAY()+20,"YYYY"),"DD.MM.YYYY")</f>
        <v>24.11.2025</v>
      </c>
      <c r="W5" s="24" t="s">
        <v>1005</v>
      </c>
      <c r="X5" s="24" t="s">
        <v>1006</v>
      </c>
      <c r="Y5" s="24" t="s">
        <v>1007</v>
      </c>
      <c r="Z5" s="24" t="s">
        <v>1008</v>
      </c>
      <c r="AA5" s="24" t="s">
        <v>1009</v>
      </c>
      <c r="AB5" s="24" t="s">
        <v>996</v>
      </c>
      <c r="AC5" s="24" t="s">
        <v>1010</v>
      </c>
      <c r="AD5" s="24" t="s">
        <v>1011</v>
      </c>
      <c r="AE5" s="24" t="s">
        <v>1012</v>
      </c>
      <c r="AF5" s="24" t="s">
        <v>1013</v>
      </c>
      <c r="AG5" s="24" t="s">
        <v>1014</v>
      </c>
      <c r="AH5" s="24" t="s">
        <v>1015</v>
      </c>
      <c r="AI5" s="24" t="s">
        <v>37</v>
      </c>
      <c r="AJ5" s="24"/>
      <c r="AK5" s="24"/>
      <c r="AL5" s="231">
        <v>12605</v>
      </c>
      <c r="AM5" s="231">
        <v>12569</v>
      </c>
      <c r="AN5" s="24">
        <v>12398</v>
      </c>
      <c r="AO5" s="24"/>
      <c r="AP5" s="24">
        <v>11907</v>
      </c>
      <c r="AQ5" s="156">
        <f t="shared" si="0"/>
        <v>0.94462514875049586</v>
      </c>
      <c r="AR5" s="24">
        <v>12209</v>
      </c>
      <c r="AS5" s="156">
        <f t="shared" si="0"/>
        <v>0.96858389527965094</v>
      </c>
      <c r="AT5" s="24">
        <v>11696</v>
      </c>
      <c r="AU5" s="156">
        <f t="shared" ref="AU5:BG5" si="3">AT5/($AL5)</f>
        <v>0.92788575961919872</v>
      </c>
      <c r="AV5" s="24">
        <v>12204</v>
      </c>
      <c r="AW5" s="156">
        <f t="shared" si="3"/>
        <v>0.96818722729075768</v>
      </c>
      <c r="AX5" s="2">
        <v>10580</v>
      </c>
      <c r="AY5" s="156">
        <f t="shared" si="3"/>
        <v>0.83934946449821501</v>
      </c>
      <c r="AZ5" s="2">
        <v>5314</v>
      </c>
      <c r="BA5" s="156">
        <f t="shared" si="3"/>
        <v>0.42157873859579531</v>
      </c>
      <c r="BB5" s="2">
        <v>5739</v>
      </c>
      <c r="BC5" s="156">
        <f t="shared" si="3"/>
        <v>0.45529551765172549</v>
      </c>
      <c r="BD5" s="2">
        <v>4579</v>
      </c>
      <c r="BE5" s="156">
        <f t="shared" si="3"/>
        <v>0.36326854422848076</v>
      </c>
      <c r="BF5" s="12">
        <v>6563</v>
      </c>
      <c r="BG5" s="156">
        <f t="shared" si="3"/>
        <v>0.52066640222134075</v>
      </c>
      <c r="BH5" s="12">
        <v>9284</v>
      </c>
      <c r="BJ5" s="12">
        <v>6465</v>
      </c>
      <c r="BL5" s="12">
        <v>6685</v>
      </c>
      <c r="BN5" s="12">
        <v>6058</v>
      </c>
      <c r="BP5" s="12">
        <v>7035</v>
      </c>
      <c r="BR5" s="12">
        <v>7690</v>
      </c>
      <c r="BT5" s="12">
        <v>8517</v>
      </c>
      <c r="BV5" s="2175">
        <v>0</v>
      </c>
      <c r="BW5" s="2176" t="s">
        <v>1437</v>
      </c>
      <c r="BX5" s="2356">
        <v>0</v>
      </c>
      <c r="BY5" s="2357" t="s">
        <v>1437</v>
      </c>
      <c r="BZ5" s="2512">
        <v>0</v>
      </c>
      <c r="CA5" s="2513" t="s">
        <v>1437</v>
      </c>
      <c r="CB5" s="2675">
        <v>0</v>
      </c>
      <c r="CC5" s="2676" t="s">
        <v>1468</v>
      </c>
      <c r="CD5" s="2864">
        <v>0</v>
      </c>
      <c r="CE5" s="2865" t="s">
        <v>1468</v>
      </c>
      <c r="CF5" s="3048">
        <v>0</v>
      </c>
      <c r="CG5" s="3049" t="s">
        <v>1486</v>
      </c>
      <c r="CH5" s="12">
        <v>11555</v>
      </c>
      <c r="CJ5" s="12">
        <v>11819</v>
      </c>
      <c r="CL5" s="12">
        <v>11657</v>
      </c>
      <c r="CN5" s="12">
        <v>10605</v>
      </c>
      <c r="CP5" s="12">
        <v>10281</v>
      </c>
      <c r="CQ5" s="12" t="s">
        <v>1718</v>
      </c>
    </row>
    <row r="6" spans="1:95">
      <c r="AQ6" s="156"/>
      <c r="AS6" s="156"/>
      <c r="AU6" s="156"/>
      <c r="AW6" s="156"/>
      <c r="AY6" s="156"/>
      <c r="BA6" s="156"/>
      <c r="BC6" s="156"/>
      <c r="BE6" s="156"/>
      <c r="BG6" s="156"/>
    </row>
    <row r="7" spans="1:95" ht="15" customHeight="1">
      <c r="C7" s="51" t="s">
        <v>1016</v>
      </c>
      <c r="AQ7" s="156"/>
      <c r="AS7" s="156"/>
      <c r="AU7" s="156"/>
      <c r="AW7" s="156"/>
      <c r="AY7" s="156"/>
      <c r="BA7" s="156"/>
      <c r="BC7" s="156"/>
      <c r="BE7" s="156"/>
      <c r="BG7" s="156"/>
    </row>
  </sheetData>
  <conditionalFormatting sqref="AQ2:AQ146 AS2:AS146 AU2:AU146 AW2:AW146 AY2:AY146 BA2:BA146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G2:BG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orientation="portrait" useFirstPageNumber="1" horizontalDpi="4294967295" verticalDpi="429496729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92D050"/>
  </sheetPr>
  <dimension ref="A1:CR6"/>
  <sheetViews>
    <sheetView zoomScaleNormal="100" workbookViewId="0">
      <pane xSplit="2" ySplit="1" topLeftCell="D2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4.25" customHeight="1"/>
  <cols>
    <col min="1" max="1" width="9.140625" style="1" customWidth="1"/>
    <col min="2" max="2" width="42.5703125" style="2" customWidth="1"/>
    <col min="3" max="3" width="179.85546875" style="2" customWidth="1"/>
    <col min="4" max="4" width="9.140625" style="2" customWidth="1"/>
    <col min="5" max="5" width="9.85546875" style="209" customWidth="1"/>
    <col min="6" max="6" width="9.85546875" style="254" customWidth="1"/>
    <col min="7" max="7" width="26.85546875" style="2" customWidth="1"/>
    <col min="8" max="8" width="40.7109375" style="2" customWidth="1"/>
    <col min="9" max="9" width="10.140625" style="2" customWidth="1"/>
    <col min="10" max="11" width="9.140625" style="2" customWidth="1"/>
    <col min="12" max="12" width="13.5703125" style="2" customWidth="1"/>
    <col min="13" max="16" width="9.140625" style="2" customWidth="1"/>
    <col min="17" max="17" width="12.42578125" style="2" customWidth="1"/>
    <col min="18" max="35" width="9.140625" style="2" customWidth="1"/>
    <col min="36" max="36" width="30" style="2" customWidth="1"/>
    <col min="37" max="37" width="50" style="2" customWidth="1"/>
    <col min="38" max="38" width="9.140625" style="2" customWidth="1"/>
    <col min="39" max="40" width="30" style="2" customWidth="1"/>
    <col min="41" max="41" width="9.7109375" style="2" customWidth="1"/>
    <col min="42" max="42" width="9.7109375" style="12" customWidth="1"/>
    <col min="43" max="43" width="9.7109375" style="2" customWidth="1"/>
    <col min="44" max="44" width="9.7109375" style="12" customWidth="1"/>
    <col min="45" max="45" width="9.7109375" style="2" customWidth="1"/>
    <col min="46" max="46" width="9.7109375" style="12" customWidth="1"/>
    <col min="47" max="47" width="10.5703125" style="2" customWidth="1"/>
    <col min="48" max="48" width="10.5703125" style="12" customWidth="1"/>
    <col min="49" max="49" width="10.5703125" style="2" customWidth="1"/>
    <col min="50" max="50" width="10.5703125" style="12" customWidth="1"/>
    <col min="51" max="51" width="10.5703125" style="2" customWidth="1"/>
    <col min="52" max="52" width="10.5703125" style="12" customWidth="1"/>
    <col min="53" max="53" width="10.5703125" style="2" customWidth="1"/>
    <col min="54" max="54" width="10.5703125" style="12" customWidth="1"/>
    <col min="55" max="55" width="10.5703125" style="2" customWidth="1"/>
    <col min="56" max="56" width="10.5703125" style="12" customWidth="1"/>
    <col min="57" max="57" width="10.5703125" style="2" customWidth="1"/>
    <col min="58" max="58" width="10.5703125" style="12" customWidth="1"/>
    <col min="59" max="59" width="10.5703125" style="2" customWidth="1"/>
    <col min="60" max="60" width="10.5703125" style="1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95" width="20" style="2" customWidth="1"/>
    <col min="96" max="96" width="50" style="2" customWidth="1"/>
    <col min="97" max="16384" width="9.140625" style="2"/>
  </cols>
  <sheetData>
    <row r="1" spans="1:96" ht="15" customHeight="1">
      <c r="A1" s="5" t="s">
        <v>0</v>
      </c>
      <c r="B1" s="39" t="s">
        <v>1</v>
      </c>
      <c r="C1" s="39" t="s">
        <v>2</v>
      </c>
      <c r="D1" s="39" t="s">
        <v>3</v>
      </c>
      <c r="E1" s="259"/>
      <c r="F1" s="254" t="s">
        <v>4</v>
      </c>
      <c r="G1" s="2558">
        <f>2*60*1000*SpeedFaktor</f>
        <v>120000</v>
      </c>
      <c r="H1" s="2">
        <v>10</v>
      </c>
      <c r="AL1" s="2" t="s">
        <v>5</v>
      </c>
      <c r="AM1" s="2" t="s">
        <v>1017</v>
      </c>
      <c r="AN1" s="2" t="s">
        <v>489</v>
      </c>
      <c r="AO1" s="2" t="s">
        <v>10</v>
      </c>
      <c r="AP1" s="24" t="s">
        <v>8</v>
      </c>
      <c r="AQ1" s="2" t="s">
        <v>11</v>
      </c>
      <c r="AR1" s="24" t="s">
        <v>8</v>
      </c>
      <c r="AS1" s="2" t="s">
        <v>12</v>
      </c>
      <c r="AT1" s="763" t="s">
        <v>8</v>
      </c>
      <c r="AU1" s="764" t="s">
        <v>13</v>
      </c>
      <c r="AV1" s="763" t="s">
        <v>8</v>
      </c>
      <c r="AW1" s="764" t="s">
        <v>65</v>
      </c>
      <c r="AX1" s="763" t="s">
        <v>8</v>
      </c>
      <c r="AY1" s="764" t="s">
        <v>15</v>
      </c>
      <c r="AZ1" s="763" t="s">
        <v>8</v>
      </c>
      <c r="BA1" s="720" t="s">
        <v>17</v>
      </c>
      <c r="BB1" s="763" t="s">
        <v>8</v>
      </c>
      <c r="BC1" s="764" t="s">
        <v>1285</v>
      </c>
      <c r="BD1" s="763" t="s">
        <v>8</v>
      </c>
      <c r="BE1" s="764" t="s">
        <v>1286</v>
      </c>
      <c r="BF1" s="763" t="s">
        <v>8</v>
      </c>
      <c r="BG1" s="766" t="s">
        <v>1303</v>
      </c>
      <c r="BH1" s="763" t="s">
        <v>8</v>
      </c>
      <c r="BI1" s="879" t="s">
        <v>1317</v>
      </c>
      <c r="BJ1" s="880" t="s">
        <v>572</v>
      </c>
      <c r="BK1" s="1003" t="s">
        <v>1318</v>
      </c>
      <c r="BL1" s="1004" t="s">
        <v>572</v>
      </c>
      <c r="BM1" s="1149" t="s">
        <v>1324</v>
      </c>
      <c r="BN1" s="1150" t="s">
        <v>572</v>
      </c>
      <c r="BO1" s="1352" t="s">
        <v>1341</v>
      </c>
      <c r="BP1" s="1353" t="s">
        <v>572</v>
      </c>
      <c r="BQ1" s="1606" t="s">
        <v>1363</v>
      </c>
      <c r="BR1" s="1607" t="s">
        <v>572</v>
      </c>
      <c r="BS1" s="1746" t="s">
        <v>1368</v>
      </c>
      <c r="BT1" s="1747" t="s">
        <v>572</v>
      </c>
      <c r="BU1" s="1887" t="s">
        <v>1372</v>
      </c>
      <c r="BV1" s="1888" t="s">
        <v>572</v>
      </c>
      <c r="BW1" s="2177" t="s">
        <v>1397</v>
      </c>
      <c r="BX1" s="2178" t="s">
        <v>572</v>
      </c>
      <c r="BY1" s="2358" t="s">
        <v>1421</v>
      </c>
      <c r="BZ1" s="2359" t="s">
        <v>572</v>
      </c>
      <c r="CA1" s="2514" t="s">
        <v>1434</v>
      </c>
      <c r="CB1" s="2515" t="s">
        <v>572</v>
      </c>
      <c r="CC1" s="2677" t="s">
        <v>1442</v>
      </c>
      <c r="CD1" s="2678" t="s">
        <v>572</v>
      </c>
      <c r="CE1" s="2866" t="s">
        <v>1460</v>
      </c>
      <c r="CF1" s="2867" t="s">
        <v>572</v>
      </c>
      <c r="CG1" s="3050" t="s">
        <v>1472</v>
      </c>
      <c r="CH1" s="3051" t="s">
        <v>572</v>
      </c>
      <c r="CI1" s="3236" t="s">
        <v>1492</v>
      </c>
      <c r="CJ1" s="3237" t="s">
        <v>572</v>
      </c>
      <c r="CK1" s="3410" t="s">
        <v>1503</v>
      </c>
      <c r="CL1" s="3411" t="s">
        <v>572</v>
      </c>
      <c r="CM1" s="3600" t="s">
        <v>1519</v>
      </c>
      <c r="CN1" s="3601" t="s">
        <v>572</v>
      </c>
      <c r="CO1" s="3896" t="s">
        <v>1666</v>
      </c>
      <c r="CP1" s="3897" t="s">
        <v>572</v>
      </c>
      <c r="CQ1" s="4115" t="s">
        <v>1717</v>
      </c>
      <c r="CR1" s="4116" t="s">
        <v>572</v>
      </c>
    </row>
    <row r="2" spans="1:96" ht="15" customHeight="1">
      <c r="A2" s="119">
        <v>1</v>
      </c>
      <c r="B2" s="122" t="s">
        <v>21</v>
      </c>
      <c r="C2" s="122" t="str">
        <f>'001a'!B59</f>
        <v>{"url":p.aventisURL}</v>
      </c>
      <c r="G2" s="2" t="s">
        <v>603</v>
      </c>
      <c r="AM2" s="2">
        <v>2535</v>
      </c>
      <c r="AN2" s="2">
        <v>2363</v>
      </c>
      <c r="AO2" s="2">
        <v>1566</v>
      </c>
      <c r="AP2" s="156">
        <f>AO2/($AM2)</f>
        <v>0.61775147928994079</v>
      </c>
      <c r="AQ2" s="2">
        <v>1501</v>
      </c>
      <c r="AR2" s="156">
        <f>AQ2/($AM2)</f>
        <v>0.59211045364891524</v>
      </c>
      <c r="AS2" s="2">
        <v>1633</v>
      </c>
      <c r="AT2" s="156">
        <f>AS2/($AM2)</f>
        <v>0.64418145956607498</v>
      </c>
      <c r="AU2" s="2">
        <v>1492</v>
      </c>
      <c r="AV2" s="156">
        <f>AU2/($AM2)</f>
        <v>0.58856015779092707</v>
      </c>
      <c r="AW2" s="2">
        <v>1684</v>
      </c>
      <c r="AX2" s="156">
        <f>AW2/($AM2)</f>
        <v>0.66429980276134126</v>
      </c>
      <c r="AY2" s="2">
        <v>1176</v>
      </c>
      <c r="AZ2" s="156">
        <f>AY2/($AM2)</f>
        <v>0.46390532544378699</v>
      </c>
      <c r="BA2" s="2">
        <v>1768</v>
      </c>
      <c r="BB2" s="156">
        <f>BA2/($AM2)</f>
        <v>0.6974358974358974</v>
      </c>
      <c r="BC2" s="2">
        <v>1367</v>
      </c>
      <c r="BD2" s="156">
        <f>BC2/($AM2)</f>
        <v>0.53925049309664697</v>
      </c>
      <c r="BE2" s="2">
        <v>612</v>
      </c>
      <c r="BF2" s="156">
        <f>BE2/($AM2)</f>
        <v>0.24142011834319527</v>
      </c>
      <c r="BG2" s="2">
        <v>1200</v>
      </c>
      <c r="BH2" s="156">
        <f>BG2/($AM2)</f>
        <v>0.47337278106508873</v>
      </c>
      <c r="BI2" s="2">
        <v>1470</v>
      </c>
      <c r="BK2" s="2">
        <v>1189</v>
      </c>
      <c r="BM2" s="2">
        <v>1195</v>
      </c>
      <c r="BO2" s="2">
        <v>1185</v>
      </c>
      <c r="BQ2" s="2">
        <v>1192</v>
      </c>
      <c r="BS2" s="2">
        <v>1202</v>
      </c>
      <c r="BU2" s="2">
        <v>1175</v>
      </c>
      <c r="BW2" s="2">
        <v>1723</v>
      </c>
      <c r="BY2" s="2">
        <v>2112</v>
      </c>
      <c r="CA2" s="2">
        <v>1526</v>
      </c>
      <c r="CC2" s="2">
        <v>1189</v>
      </c>
      <c r="CE2" s="2">
        <v>1270</v>
      </c>
      <c r="CG2" s="2">
        <v>1611</v>
      </c>
      <c r="CI2" s="2">
        <v>1151</v>
      </c>
      <c r="CK2" s="2">
        <v>11140</v>
      </c>
      <c r="CM2" s="2">
        <v>1129</v>
      </c>
      <c r="CO2" s="2">
        <v>866</v>
      </c>
      <c r="CQ2" s="2">
        <v>373</v>
      </c>
      <c r="CR2" s="2" t="s">
        <v>1718</v>
      </c>
    </row>
    <row r="3" spans="1:96" ht="15" customHeight="1">
      <c r="A3" s="119">
        <v>2</v>
      </c>
      <c r="B3" s="122" t="s">
        <v>25</v>
      </c>
      <c r="C3" s="122" t="s">
        <v>633</v>
      </c>
      <c r="AM3" s="2">
        <v>6558</v>
      </c>
      <c r="AN3" s="2">
        <v>15566</v>
      </c>
      <c r="AO3" s="2">
        <v>9462</v>
      </c>
      <c r="AP3" s="156">
        <f t="shared" ref="AP3:AR5" si="0">AO3/($AM3)</f>
        <v>1.4428179322964318</v>
      </c>
      <c r="AQ3" s="2">
        <v>9281</v>
      </c>
      <c r="AR3" s="156">
        <f t="shared" si="0"/>
        <v>1.4152180542848429</v>
      </c>
      <c r="AS3" s="2">
        <v>9328</v>
      </c>
      <c r="AT3" s="156">
        <f t="shared" ref="AT3" si="1">AS3/($AM3)</f>
        <v>1.4223848734370235</v>
      </c>
      <c r="AU3" s="2">
        <v>8623</v>
      </c>
      <c r="AV3" s="156">
        <f t="shared" ref="AV3:BH3" si="2">AU3/($AM3)</f>
        <v>1.3148825861543154</v>
      </c>
      <c r="AW3" s="2">
        <v>10045</v>
      </c>
      <c r="AX3" s="156">
        <f t="shared" si="2"/>
        <v>1.5317169868862459</v>
      </c>
      <c r="AY3" s="2">
        <v>11885</v>
      </c>
      <c r="AZ3" s="156">
        <f t="shared" si="2"/>
        <v>1.8122903324184203</v>
      </c>
      <c r="BA3" s="2">
        <v>7394</v>
      </c>
      <c r="BB3" s="156">
        <f t="shared" si="2"/>
        <v>1.127477889600488</v>
      </c>
      <c r="BC3" s="2">
        <v>7508</v>
      </c>
      <c r="BD3" s="156">
        <f t="shared" si="2"/>
        <v>1.1448612381823726</v>
      </c>
      <c r="BE3" s="2">
        <v>5338</v>
      </c>
      <c r="BF3" s="156">
        <f t="shared" si="2"/>
        <v>0.81396767307105822</v>
      </c>
      <c r="BG3" s="2">
        <v>6913</v>
      </c>
      <c r="BH3" s="156">
        <f t="shared" si="2"/>
        <v>1.0541323574260446</v>
      </c>
      <c r="BI3" s="2">
        <v>9683</v>
      </c>
      <c r="BK3" s="2">
        <v>7495</v>
      </c>
      <c r="BM3" s="2">
        <v>6942</v>
      </c>
      <c r="BO3" s="2">
        <v>6989</v>
      </c>
      <c r="BQ3" s="2">
        <v>6876</v>
      </c>
      <c r="BS3" s="2">
        <v>6843</v>
      </c>
      <c r="BU3" s="2">
        <v>7248</v>
      </c>
      <c r="BW3" s="2">
        <v>6624</v>
      </c>
      <c r="BY3" s="2">
        <v>9673</v>
      </c>
      <c r="CA3" s="2">
        <v>6754</v>
      </c>
      <c r="CC3" s="2">
        <v>8015</v>
      </c>
      <c r="CE3" s="2">
        <v>9082</v>
      </c>
      <c r="CG3" s="2">
        <v>7753</v>
      </c>
      <c r="CI3" s="2">
        <v>7893</v>
      </c>
      <c r="CK3" s="2">
        <v>8849</v>
      </c>
      <c r="CM3" s="2">
        <v>8017</v>
      </c>
      <c r="CO3" s="2">
        <v>7886</v>
      </c>
      <c r="CQ3" s="2">
        <v>5247</v>
      </c>
      <c r="CR3" s="2" t="s">
        <v>1718</v>
      </c>
    </row>
    <row r="4" spans="1:96" ht="15" customHeight="1" thickBot="1">
      <c r="A4" s="119">
        <v>4</v>
      </c>
      <c r="B4" s="122" t="s">
        <v>139</v>
      </c>
      <c r="C4" s="122" t="str">
        <f>G4&amp;H4&amp;I4&amp;J4</f>
        <v>{"searchDossierOrKlient":p.DossierName1,"resultType":"Dossiers"}</v>
      </c>
      <c r="G4" s="2" t="s">
        <v>140</v>
      </c>
      <c r="H4" s="267" t="s">
        <v>449</v>
      </c>
      <c r="I4" s="2" t="s">
        <v>623</v>
      </c>
      <c r="AM4" s="2">
        <v>12017</v>
      </c>
      <c r="AN4" s="2">
        <v>12216</v>
      </c>
      <c r="AO4" s="2">
        <v>10795</v>
      </c>
      <c r="AP4" s="156">
        <f t="shared" si="0"/>
        <v>0.89831072647083299</v>
      </c>
      <c r="AQ4" s="2">
        <v>10922</v>
      </c>
      <c r="AR4" s="156">
        <f t="shared" si="0"/>
        <v>0.90887908795872518</v>
      </c>
      <c r="AS4" s="2">
        <v>10944</v>
      </c>
      <c r="AT4" s="156">
        <f t="shared" ref="AT4" si="3">AS4/($AM4)</f>
        <v>0.91070982774402931</v>
      </c>
      <c r="AU4" s="2">
        <v>10599</v>
      </c>
      <c r="AV4" s="156">
        <f t="shared" ref="AV4:BH4" si="4">AU4/($AM4)</f>
        <v>0.88200049929266877</v>
      </c>
      <c r="AW4" s="2">
        <v>2513</v>
      </c>
      <c r="AX4" s="156">
        <f t="shared" si="4"/>
        <v>0.20912041274860615</v>
      </c>
      <c r="AY4" s="2">
        <v>2708</v>
      </c>
      <c r="AZ4" s="156">
        <f t="shared" si="4"/>
        <v>0.22534742448198386</v>
      </c>
      <c r="BA4" s="2">
        <v>5148</v>
      </c>
      <c r="BB4" s="156">
        <f t="shared" si="4"/>
        <v>0.42839310976117168</v>
      </c>
      <c r="BC4" s="2">
        <v>5046</v>
      </c>
      <c r="BD4" s="156">
        <f t="shared" si="4"/>
        <v>0.41990513439294336</v>
      </c>
      <c r="BE4" s="2">
        <v>4947</v>
      </c>
      <c r="BF4" s="156">
        <f t="shared" si="4"/>
        <v>0.41166680535907463</v>
      </c>
      <c r="BG4" s="2">
        <v>5160</v>
      </c>
      <c r="BH4" s="156">
        <f t="shared" si="4"/>
        <v>0.4293916950986103</v>
      </c>
      <c r="BI4" s="2">
        <v>5485</v>
      </c>
      <c r="BK4" s="2">
        <v>5131</v>
      </c>
      <c r="BM4" s="2">
        <v>5390</v>
      </c>
      <c r="BO4" s="2">
        <v>5326</v>
      </c>
      <c r="BQ4" s="2">
        <v>2526</v>
      </c>
      <c r="BS4" s="2">
        <v>2565</v>
      </c>
      <c r="BU4" s="2">
        <v>2842</v>
      </c>
      <c r="BW4" s="2">
        <v>5315</v>
      </c>
      <c r="BY4" s="2">
        <v>5822</v>
      </c>
      <c r="CA4" s="2">
        <v>5939</v>
      </c>
      <c r="CC4" s="2">
        <v>8239</v>
      </c>
      <c r="CE4" s="2">
        <v>4648</v>
      </c>
      <c r="CG4" s="2">
        <v>5713</v>
      </c>
      <c r="CI4" s="2">
        <v>5012</v>
      </c>
      <c r="CK4" s="2">
        <v>5304</v>
      </c>
      <c r="CM4" s="2">
        <v>4639</v>
      </c>
      <c r="CO4" s="2">
        <v>4931</v>
      </c>
      <c r="CQ4" s="2">
        <v>4655</v>
      </c>
      <c r="CR4" s="2" t="s">
        <v>1718</v>
      </c>
    </row>
    <row r="5" spans="1:96" ht="31.5" customHeight="1">
      <c r="A5" s="21">
        <v>5</v>
      </c>
      <c r="B5" s="242" t="s">
        <v>1018</v>
      </c>
      <c r="C5" s="394" t="str">
        <f ca="1">E5</f>
        <v>{"seit":"04.11.2025","titelForSelect":"Ohne Jobsuche werden Zahlungen gekürzt","typeOfNextStep":"Leistungskürzung","titel":"Eine Leistungkuerzung ist möglich ","sanktionVon":"04.11.2025","erstelltAm":"04.11.2025","sanktionBis":"03.01.2026","status":"In Vorbereitung","zugeteiltAn":"Bern Sozialarbeiterin 1A","ausgangslage":"Keine bekannt","auflagen":"Es gibt wichtige Auflagen","entscheid":"Kein Entscheid","sanktionen":"sehr wichtige Sanktion","weitereSanktionen":"sehr wichtige weitere Sanktion","document":"C:/temp/Bankverbindung.docx"}</v>
      </c>
      <c r="D5" s="24" t="s">
        <v>28</v>
      </c>
      <c r="E5" s="268" t="str">
        <f ca="1">G5&amp;H5&amp;I5&amp;J5&amp;K5&amp;L5&amp;M5&amp;N5&amp;O5&amp;P5&amp;Q5&amp;R5&amp;S5&amp;T5&amp;U5&amp;V5&amp;W5&amp;X5&amp;Y5&amp;Z5&amp;AA5&amp;AB5&amp;AC5&amp;AD5&amp;AE5&amp;AF5&amp;AG5&amp;AH5&amp;AI5&amp;AJ5&amp;AK5</f>
        <v>{"seit":"04.11.2025","titelForSelect":"Ohne Jobsuche werden Zahlungen gekürzt","typeOfNextStep":"Leistungskürzung","titel":"Eine Leistungkuerzung ist möglich ","sanktionVon":"04.11.2025","erstelltAm":"04.11.2025","sanktionBis":"03.01.2026","status":"In Vorbereitung","zugeteiltAn":"Bern Sozialarbeiterin 1A","ausgangslage":"Keine bekannt","auflagen":"Es gibt wichtige Auflagen","entscheid":"Kein Entscheid","sanktionen":"sehr wichtige Sanktion","weitereSanktionen":"sehr wichtige weitere Sanktion","document":"C:/temp/Bankverbindung.docx"}</v>
      </c>
      <c r="F5" s="269"/>
      <c r="G5" s="395" t="s">
        <v>1019</v>
      </c>
      <c r="H5" s="265" t="str">
        <f ca="1">'RV02'!T5</f>
        <v>04.11.2025</v>
      </c>
      <c r="I5" s="270" t="s">
        <v>1020</v>
      </c>
      <c r="J5" s="24" t="str">
        <f>'RV02'!P5</f>
        <v>Ohne Jobsuche werden Zahlungen gekürzt</v>
      </c>
      <c r="K5" s="24" t="s">
        <v>1021</v>
      </c>
      <c r="L5" s="24" t="s">
        <v>1022</v>
      </c>
      <c r="M5" s="270" t="s">
        <v>442</v>
      </c>
      <c r="N5" s="24" t="s">
        <v>1023</v>
      </c>
      <c r="O5" s="270" t="s">
        <v>1024</v>
      </c>
      <c r="P5" s="232" t="str">
        <f ca="1">TEXT(TEXT(TODAY(),"DD")&amp;"."&amp;TEXT(TODAY(),"MM")&amp;"."&amp;TEXT(TODAY(),"YYYY"),"DD.MM.YYYY")</f>
        <v>04.11.2025</v>
      </c>
      <c r="Q5" s="270" t="s">
        <v>376</v>
      </c>
      <c r="R5" s="232" t="str">
        <f ca="1">TEXT(TEXT(TODAY(),"DD")&amp;"."&amp;TEXT(TODAY(),"MM")&amp;"."&amp;TEXT(TODAY(),"YYYY"),"DD.MM.YYYY")</f>
        <v>04.11.2025</v>
      </c>
      <c r="S5" s="396" t="s">
        <v>1025</v>
      </c>
      <c r="T5" s="232" t="str">
        <f ca="1">TEXT(TEXT(TODAY()+60,"DD")&amp;"."&amp;TEXT(TODAY()+60,"MM")&amp;"."&amp;TEXT(TODAY()+60,"YYYY"),"DD.MM.YYYY")</f>
        <v>03.01.2026</v>
      </c>
      <c r="U5" s="396" t="s">
        <v>202</v>
      </c>
      <c r="V5" s="24" t="s">
        <v>1026</v>
      </c>
      <c r="W5" s="270" t="s">
        <v>1003</v>
      </c>
      <c r="X5" s="24" t="s">
        <v>116</v>
      </c>
      <c r="Y5" s="270" t="s">
        <v>1007</v>
      </c>
      <c r="Z5" s="24" t="s">
        <v>1027</v>
      </c>
      <c r="AA5" s="270" t="s">
        <v>1009</v>
      </c>
      <c r="AB5" s="24" t="s">
        <v>1028</v>
      </c>
      <c r="AC5" s="270" t="s">
        <v>1010</v>
      </c>
      <c r="AD5" s="24" t="s">
        <v>1029</v>
      </c>
      <c r="AE5" s="270" t="s">
        <v>1012</v>
      </c>
      <c r="AF5" s="24" t="s">
        <v>1030</v>
      </c>
      <c r="AG5" s="270" t="s">
        <v>1014</v>
      </c>
      <c r="AH5" s="24" t="s">
        <v>1031</v>
      </c>
      <c r="AI5" s="397" t="s">
        <v>950</v>
      </c>
      <c r="AJ5" s="24" t="s">
        <v>1032</v>
      </c>
      <c r="AK5" s="24" t="s">
        <v>37</v>
      </c>
      <c r="AL5" s="24"/>
      <c r="AM5" s="24">
        <v>13346</v>
      </c>
      <c r="AN5" s="24">
        <v>0</v>
      </c>
      <c r="AO5" s="24">
        <v>0</v>
      </c>
      <c r="AP5" s="156">
        <f t="shared" si="0"/>
        <v>0</v>
      </c>
      <c r="AQ5" s="24">
        <v>0</v>
      </c>
      <c r="AR5" s="156">
        <f t="shared" si="0"/>
        <v>0</v>
      </c>
      <c r="AS5" s="24">
        <v>0</v>
      </c>
      <c r="AT5" s="156">
        <f t="shared" ref="AT5" si="5">AS5/($AM5)</f>
        <v>0</v>
      </c>
      <c r="AU5" s="24">
        <v>13346</v>
      </c>
      <c r="AV5" s="156">
        <f t="shared" ref="AV5:BH5" si="6">AU5/($AM5)</f>
        <v>1</v>
      </c>
      <c r="AW5" s="24">
        <v>13642</v>
      </c>
      <c r="AX5" s="156">
        <f t="shared" si="6"/>
        <v>1.0221789300164843</v>
      </c>
      <c r="AY5" s="2">
        <v>13996</v>
      </c>
      <c r="AZ5" s="156">
        <f t="shared" si="6"/>
        <v>1.0487037314551177</v>
      </c>
      <c r="BA5" s="2">
        <v>4889</v>
      </c>
      <c r="BB5" s="156">
        <f t="shared" si="6"/>
        <v>0.36632698936010788</v>
      </c>
      <c r="BC5" s="2">
        <v>4973</v>
      </c>
      <c r="BD5" s="156">
        <f t="shared" si="6"/>
        <v>0.37262101004046155</v>
      </c>
      <c r="BE5" s="2">
        <v>4192</v>
      </c>
      <c r="BF5" s="156">
        <f t="shared" si="6"/>
        <v>0.31410160347669713</v>
      </c>
      <c r="BG5" s="2">
        <v>6186</v>
      </c>
      <c r="BH5" s="156">
        <f t="shared" si="6"/>
        <v>0.46350966581747338</v>
      </c>
      <c r="BI5" s="2">
        <v>9237</v>
      </c>
      <c r="BK5" s="2">
        <v>6418</v>
      </c>
      <c r="BM5" s="2">
        <v>5714</v>
      </c>
      <c r="BO5" s="2">
        <v>5608</v>
      </c>
      <c r="BQ5" s="2">
        <v>6324</v>
      </c>
      <c r="BS5" s="2">
        <v>6082</v>
      </c>
      <c r="BU5" s="2">
        <v>6019</v>
      </c>
      <c r="BW5" s="2179">
        <v>0</v>
      </c>
      <c r="BX5" s="2180" t="s">
        <v>1414</v>
      </c>
      <c r="BY5" s="2360">
        <v>0</v>
      </c>
      <c r="BZ5" s="2361" t="s">
        <v>1438</v>
      </c>
      <c r="CA5" s="2516">
        <v>0</v>
      </c>
      <c r="CB5" s="2517" t="s">
        <v>1438</v>
      </c>
      <c r="CC5" s="2679">
        <v>0</v>
      </c>
      <c r="CD5" s="2680" t="s">
        <v>1449</v>
      </c>
      <c r="CE5" s="2868">
        <v>0</v>
      </c>
      <c r="CF5" s="2869" t="s">
        <v>1469</v>
      </c>
      <c r="CG5" s="3052">
        <v>0</v>
      </c>
      <c r="CH5" s="3053" t="s">
        <v>1487</v>
      </c>
      <c r="CI5" s="2">
        <v>8607</v>
      </c>
      <c r="CK5" s="2">
        <v>8021</v>
      </c>
      <c r="CM5" s="2">
        <v>6558</v>
      </c>
      <c r="CO5" s="2">
        <v>4372</v>
      </c>
      <c r="CQ5" s="2">
        <v>3026</v>
      </c>
      <c r="CR5" s="2" t="s">
        <v>1718</v>
      </c>
    </row>
    <row r="6" spans="1:96">
      <c r="AP6" s="156"/>
      <c r="AR6" s="156"/>
      <c r="AT6" s="156"/>
      <c r="AV6" s="156"/>
      <c r="AX6" s="156"/>
      <c r="AZ6" s="156"/>
      <c r="BB6" s="156"/>
      <c r="BD6" s="156"/>
      <c r="BF6" s="156"/>
      <c r="BH6" s="156"/>
    </row>
  </sheetData>
  <conditionalFormatting sqref="AP2:AP140 AR2:AR140 AT2:AT140 AV2:AV140 AX2:AX140 AZ2:AZ140 BB2:BB140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140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140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H2:BH140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orientation="portrait" useFirstPageNumber="1" horizontalDpi="4294967295" verticalDpi="429496729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92D050"/>
  </sheetPr>
  <dimension ref="A1:CP8"/>
  <sheetViews>
    <sheetView zoomScaleNormal="100" workbookViewId="0">
      <pane xSplit="2" ySplit="1" topLeftCell="D2" activePane="bottomRight" state="frozen"/>
      <selection activeCell="B23" sqref="B23"/>
      <selection pane="topRight" activeCell="B23" sqref="B23"/>
      <selection pane="bottomLeft" activeCell="B23" sqref="B23"/>
      <selection pane="bottomRight" activeCell="G12" sqref="G12"/>
    </sheetView>
  </sheetViews>
  <sheetFormatPr defaultColWidth="9.140625" defaultRowHeight="14.25" customHeight="1"/>
  <cols>
    <col min="1" max="1" width="9.140625" style="2" customWidth="1"/>
    <col min="2" max="2" width="42.5703125" style="2" customWidth="1"/>
    <col min="3" max="3" width="168.85546875" style="2" customWidth="1"/>
    <col min="4" max="4" width="9.140625" style="2" customWidth="1"/>
    <col min="5" max="5" width="7.85546875" style="3" customWidth="1"/>
    <col min="6" max="6" width="9.85546875" style="2" customWidth="1"/>
    <col min="7" max="7" width="56.42578125" style="2" customWidth="1"/>
    <col min="8" max="8" width="9.140625" style="2" customWidth="1"/>
    <col min="9" max="9" width="10.140625" style="2" customWidth="1"/>
    <col min="10" max="10" width="9.140625" style="2" customWidth="1"/>
    <col min="11" max="11" width="42.28515625" style="2" customWidth="1"/>
    <col min="12" max="34" width="9.140625" style="2" customWidth="1"/>
    <col min="35" max="40" width="10.140625" style="2" customWidth="1"/>
    <col min="41" max="41" width="10.140625" style="12" customWidth="1"/>
    <col min="42" max="42" width="10.140625" style="2" customWidth="1"/>
    <col min="43" max="43" width="10.140625" style="12" customWidth="1"/>
    <col min="44" max="44" width="10.140625" style="2" customWidth="1"/>
    <col min="45" max="45" width="10.140625" style="12" customWidth="1"/>
    <col min="46" max="46" width="9.42578125" style="2" customWidth="1"/>
    <col min="47" max="47" width="9.42578125" style="12" customWidth="1"/>
    <col min="48" max="48" width="9.42578125" style="2" customWidth="1"/>
    <col min="49" max="49" width="9.42578125" style="12" customWidth="1"/>
    <col min="50" max="50" width="9.42578125" style="2" customWidth="1"/>
    <col min="51" max="51" width="9.42578125" style="12" customWidth="1"/>
    <col min="52" max="52" width="9.42578125" style="2" customWidth="1"/>
    <col min="53" max="53" width="9.42578125" style="12" customWidth="1"/>
    <col min="54" max="54" width="9.42578125" style="2" customWidth="1"/>
    <col min="55" max="55" width="9.42578125" style="12" customWidth="1"/>
    <col min="56" max="56" width="9.42578125" style="2" customWidth="1"/>
    <col min="57" max="57" width="9.42578125" style="12" customWidth="1"/>
    <col min="58" max="58" width="9.140625" style="2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15" customHeight="1">
      <c r="A1" s="239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5*60*1000*SpeedFaktor</f>
        <v>300000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10</v>
      </c>
      <c r="AM1" s="764" t="s">
        <v>677</v>
      </c>
      <c r="AN1" s="764" t="s">
        <v>11</v>
      </c>
      <c r="AO1" s="763" t="s">
        <v>8</v>
      </c>
      <c r="AP1" s="764" t="s">
        <v>12</v>
      </c>
      <c r="AQ1" s="763" t="s">
        <v>8</v>
      </c>
      <c r="AR1" s="764" t="s">
        <v>13</v>
      </c>
      <c r="AS1" s="763" t="s">
        <v>8</v>
      </c>
      <c r="AT1" s="764" t="s">
        <v>65</v>
      </c>
      <c r="AU1" s="763" t="s">
        <v>8</v>
      </c>
      <c r="AV1" s="764" t="s">
        <v>15</v>
      </c>
      <c r="AW1" s="763" t="s">
        <v>8</v>
      </c>
      <c r="AX1" s="720" t="s">
        <v>645</v>
      </c>
      <c r="AY1" s="763" t="s">
        <v>8</v>
      </c>
      <c r="AZ1" s="764" t="s">
        <v>1285</v>
      </c>
      <c r="BA1" s="763" t="s">
        <v>8</v>
      </c>
      <c r="BB1" s="764" t="s">
        <v>1286</v>
      </c>
      <c r="BC1" s="763" t="s">
        <v>8</v>
      </c>
      <c r="BD1" s="767" t="s">
        <v>1303</v>
      </c>
      <c r="BE1" s="763" t="s">
        <v>8</v>
      </c>
      <c r="BG1" s="881" t="s">
        <v>1317</v>
      </c>
      <c r="BH1" s="882" t="s">
        <v>572</v>
      </c>
      <c r="BI1" s="1005" t="s">
        <v>1318</v>
      </c>
      <c r="BJ1" s="1006" t="s">
        <v>572</v>
      </c>
      <c r="BK1" s="1151" t="s">
        <v>1324</v>
      </c>
      <c r="BL1" s="1152" t="s">
        <v>572</v>
      </c>
      <c r="BM1" s="1354" t="s">
        <v>1341</v>
      </c>
      <c r="BN1" s="1355" t="s">
        <v>572</v>
      </c>
      <c r="BO1" s="1608" t="s">
        <v>1363</v>
      </c>
      <c r="BP1" s="1609" t="s">
        <v>572</v>
      </c>
      <c r="BQ1" s="1748" t="s">
        <v>1368</v>
      </c>
      <c r="BR1" s="1749" t="s">
        <v>572</v>
      </c>
      <c r="BS1" s="1889" t="s">
        <v>1372</v>
      </c>
      <c r="BT1" s="1890" t="s">
        <v>572</v>
      </c>
      <c r="BU1" s="2181" t="s">
        <v>1397</v>
      </c>
      <c r="BV1" s="2182" t="s">
        <v>572</v>
      </c>
      <c r="BW1" s="2362" t="s">
        <v>1421</v>
      </c>
      <c r="BX1" s="2363" t="s">
        <v>572</v>
      </c>
      <c r="BY1" s="2518" t="s">
        <v>1434</v>
      </c>
      <c r="BZ1" s="2519" t="s">
        <v>572</v>
      </c>
      <c r="CA1" s="2681" t="s">
        <v>1442</v>
      </c>
      <c r="CB1" s="2682" t="s">
        <v>572</v>
      </c>
      <c r="CC1" s="2870" t="s">
        <v>1460</v>
      </c>
      <c r="CD1" s="2871" t="s">
        <v>572</v>
      </c>
      <c r="CE1" s="3054" t="s">
        <v>1472</v>
      </c>
      <c r="CF1" s="3055" t="s">
        <v>572</v>
      </c>
      <c r="CG1" s="3238" t="s">
        <v>1492</v>
      </c>
      <c r="CH1" s="3239" t="s">
        <v>572</v>
      </c>
      <c r="CI1" s="3412" t="s">
        <v>1503</v>
      </c>
      <c r="CJ1" s="3413" t="s">
        <v>572</v>
      </c>
      <c r="CK1" s="3602" t="s">
        <v>1519</v>
      </c>
      <c r="CL1" s="3603" t="s">
        <v>572</v>
      </c>
      <c r="CM1" s="3898" t="s">
        <v>1666</v>
      </c>
      <c r="CN1" s="3899" t="s">
        <v>572</v>
      </c>
      <c r="CO1" s="4117" t="s">
        <v>1717</v>
      </c>
      <c r="CP1" s="4118" t="s">
        <v>572</v>
      </c>
    </row>
    <row r="2" spans="1:94" s="10" customFormat="1" ht="15" customHeight="1">
      <c r="A2" s="119">
        <v>1</v>
      </c>
      <c r="B2" s="122" t="s">
        <v>21</v>
      </c>
      <c r="C2" s="590" t="str">
        <f>'001a'!B59</f>
        <v>{"url":p.aventisURL}</v>
      </c>
      <c r="D2" s="13"/>
      <c r="E2" s="45" t="str">
        <f>F2&amp;G2&amp;H2&amp;I2&amp;J2&amp;K2&amp;L2&amp;M2&amp;N2&amp;O2&amp;P2&amp;Q2&amp;R2&amp;S2&amp;T2&amp;U2&amp;V2&amp;W2&amp;X2</f>
        <v>{"url":"https://dev.aventis.swiss"}</v>
      </c>
      <c r="F2" s="152" t="s">
        <v>67</v>
      </c>
      <c r="G2" s="153" t="s">
        <v>68</v>
      </c>
      <c r="H2" s="152" t="s">
        <v>37</v>
      </c>
      <c r="I2" s="13"/>
      <c r="J2" s="152"/>
      <c r="K2" s="13"/>
      <c r="L2" s="152"/>
      <c r="M2" s="13"/>
      <c r="N2" s="152"/>
      <c r="O2" s="13"/>
      <c r="P2" s="152"/>
      <c r="Q2" s="13"/>
      <c r="R2" s="152"/>
      <c r="S2" s="13"/>
      <c r="T2" s="152"/>
      <c r="U2" s="13"/>
      <c r="V2" s="152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>
        <v>1110</v>
      </c>
      <c r="AJ2" s="13">
        <v>2111</v>
      </c>
      <c r="AK2" s="13">
        <v>1999</v>
      </c>
      <c r="AL2" s="13">
        <v>1702</v>
      </c>
      <c r="AM2" s="13"/>
      <c r="AN2" s="13">
        <v>1530</v>
      </c>
      <c r="AO2" s="156">
        <f>AN2/($AI2)</f>
        <v>1.3783783783783783</v>
      </c>
      <c r="AP2" s="13">
        <v>1718</v>
      </c>
      <c r="AQ2" s="156">
        <f>AP2/($AI2)</f>
        <v>1.5477477477477477</v>
      </c>
      <c r="AR2" s="13">
        <v>1834</v>
      </c>
      <c r="AS2" s="156">
        <f>AR2/($AI2)</f>
        <v>1.6522522522522523</v>
      </c>
      <c r="AT2" s="13">
        <v>1739</v>
      </c>
      <c r="AU2" s="156">
        <f>AT2/($AI2)</f>
        <v>1.5666666666666667</v>
      </c>
      <c r="AV2" s="2">
        <v>954</v>
      </c>
      <c r="AW2" s="156">
        <f>AV2/($AI2)</f>
        <v>0.85945945945945945</v>
      </c>
      <c r="AX2" s="2">
        <v>1304</v>
      </c>
      <c r="AY2" s="156">
        <f>AX2/($AI2)</f>
        <v>1.1747747747747748</v>
      </c>
      <c r="AZ2" s="2">
        <v>1051</v>
      </c>
      <c r="BA2" s="156">
        <f>AZ2/($AI2)</f>
        <v>0.94684684684684683</v>
      </c>
      <c r="BB2" s="2">
        <v>567</v>
      </c>
      <c r="BC2" s="156">
        <f>BB2/($AI2)</f>
        <v>0.51081081081081081</v>
      </c>
      <c r="BD2" s="10">
        <v>1156</v>
      </c>
      <c r="BE2" s="156">
        <f>BD2/($AI2)</f>
        <v>1.0414414414414415</v>
      </c>
      <c r="BG2" s="10">
        <v>1329</v>
      </c>
      <c r="BI2" s="10">
        <v>1162</v>
      </c>
      <c r="BK2" s="10">
        <v>1193</v>
      </c>
      <c r="BM2" s="10">
        <v>1318</v>
      </c>
      <c r="BO2" s="10">
        <v>1226</v>
      </c>
      <c r="BQ2" s="10">
        <v>1139</v>
      </c>
      <c r="BS2" s="10">
        <v>1288</v>
      </c>
      <c r="BU2" s="10">
        <v>1668</v>
      </c>
      <c r="BW2" s="10">
        <v>1163</v>
      </c>
      <c r="BY2" s="10">
        <v>1679</v>
      </c>
      <c r="CA2" s="10">
        <v>1176</v>
      </c>
      <c r="CC2" s="10">
        <v>1157</v>
      </c>
      <c r="CE2" s="10">
        <v>1151</v>
      </c>
      <c r="CG2" s="10">
        <v>1650</v>
      </c>
      <c r="CI2" s="10">
        <v>1181</v>
      </c>
      <c r="CK2" s="10">
        <v>1082</v>
      </c>
      <c r="CM2" s="10">
        <v>1024</v>
      </c>
      <c r="CO2" s="10">
        <v>408</v>
      </c>
      <c r="CP2" s="10" t="s">
        <v>1718</v>
      </c>
    </row>
    <row r="3" spans="1:94">
      <c r="A3" s="119">
        <v>2</v>
      </c>
      <c r="B3" s="122" t="s">
        <v>25</v>
      </c>
      <c r="C3" s="122" t="s">
        <v>633</v>
      </c>
      <c r="AI3" s="2">
        <v>7045</v>
      </c>
      <c r="AJ3" s="2">
        <v>6713</v>
      </c>
      <c r="AK3" s="2">
        <v>6814</v>
      </c>
      <c r="AL3" s="2">
        <v>9586</v>
      </c>
      <c r="AN3" s="2">
        <v>9780</v>
      </c>
      <c r="AO3" s="156">
        <f t="shared" ref="AO3" si="0">AN3/($AI3)</f>
        <v>1.3882185947480483</v>
      </c>
      <c r="AP3" s="2">
        <v>10003</v>
      </c>
      <c r="AQ3" s="156">
        <f t="shared" ref="AQ3:BE8" si="1">AP3/($AI3)</f>
        <v>1.4198722498225691</v>
      </c>
      <c r="AR3" s="2">
        <v>8787</v>
      </c>
      <c r="AS3" s="156">
        <f t="shared" si="1"/>
        <v>1.2472675656493968</v>
      </c>
      <c r="AT3" s="2">
        <v>9598</v>
      </c>
      <c r="AU3" s="156">
        <f t="shared" si="1"/>
        <v>1.3623846699787083</v>
      </c>
      <c r="AV3" s="2">
        <v>7600</v>
      </c>
      <c r="AW3" s="156">
        <f t="shared" si="1"/>
        <v>1.0787792760823278</v>
      </c>
      <c r="AX3" s="2">
        <v>7583</v>
      </c>
      <c r="AY3" s="156">
        <f t="shared" si="1"/>
        <v>1.0763662171753017</v>
      </c>
      <c r="AZ3" s="2">
        <v>7173</v>
      </c>
      <c r="BA3" s="156">
        <f t="shared" si="1"/>
        <v>1.0181689141234918</v>
      </c>
      <c r="BB3" s="2">
        <v>6113</v>
      </c>
      <c r="BC3" s="156">
        <f t="shared" si="1"/>
        <v>0.86770759403832509</v>
      </c>
      <c r="BD3" s="2">
        <v>6711</v>
      </c>
      <c r="BE3" s="156">
        <f t="shared" si="1"/>
        <v>0.9525904897090135</v>
      </c>
      <c r="BG3" s="2">
        <v>9784</v>
      </c>
      <c r="BI3" s="2">
        <v>8043</v>
      </c>
      <c r="BK3" s="2">
        <v>6913</v>
      </c>
      <c r="BM3" s="2">
        <v>6806</v>
      </c>
      <c r="BO3" s="2">
        <v>6872</v>
      </c>
      <c r="BQ3" s="2">
        <v>7306</v>
      </c>
      <c r="BS3" s="2">
        <v>7401</v>
      </c>
      <c r="BU3" s="2">
        <v>7460</v>
      </c>
      <c r="BW3" s="2">
        <v>7490</v>
      </c>
      <c r="BY3" s="2">
        <v>6669</v>
      </c>
      <c r="CA3" s="2">
        <v>7922</v>
      </c>
      <c r="CC3" s="2">
        <v>8918</v>
      </c>
      <c r="CE3" s="2">
        <v>8606</v>
      </c>
      <c r="CG3" s="2">
        <v>10972</v>
      </c>
      <c r="CI3" s="2">
        <v>8452</v>
      </c>
      <c r="CK3" s="2">
        <v>8115</v>
      </c>
      <c r="CM3" s="2">
        <v>7413</v>
      </c>
      <c r="CO3" s="2">
        <v>6582</v>
      </c>
      <c r="CP3" s="2" t="s">
        <v>1718</v>
      </c>
    </row>
    <row r="4" spans="1:94" s="10" customFormat="1" ht="15" customHeight="1" thickBot="1">
      <c r="A4" s="119">
        <v>3</v>
      </c>
      <c r="B4" s="122" t="s">
        <v>139</v>
      </c>
      <c r="C4" s="122" t="str">
        <f>G4&amp;H4&amp;I4&amp;J4</f>
        <v>{"searchDossierOrKlient":p.DossierName1,"resultType":"Dossiers"}</v>
      </c>
      <c r="D4" s="2"/>
      <c r="E4" s="209"/>
      <c r="F4" s="254"/>
      <c r="G4" s="2" t="s">
        <v>140</v>
      </c>
      <c r="H4" s="267" t="s">
        <v>449</v>
      </c>
      <c r="I4" s="2" t="s">
        <v>623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>
        <v>11336</v>
      </c>
      <c r="AJ4" s="2">
        <v>12032</v>
      </c>
      <c r="AK4" s="2">
        <v>11962</v>
      </c>
      <c r="AL4" s="2">
        <v>10935</v>
      </c>
      <c r="AM4" s="2"/>
      <c r="AN4" s="2">
        <v>10980</v>
      </c>
      <c r="AO4" s="156">
        <f t="shared" ref="AO4" si="2">AN4/($AI4)</f>
        <v>0.96859562455892734</v>
      </c>
      <c r="AP4" s="2">
        <v>11190</v>
      </c>
      <c r="AQ4" s="156">
        <f t="shared" si="1"/>
        <v>0.98712067748764998</v>
      </c>
      <c r="AR4" s="2">
        <v>10646</v>
      </c>
      <c r="AS4" s="156">
        <f t="shared" si="1"/>
        <v>0.93913196894848272</v>
      </c>
      <c r="AT4" s="2">
        <v>2684</v>
      </c>
      <c r="AU4" s="156">
        <f t="shared" si="1"/>
        <v>0.23676781933662669</v>
      </c>
      <c r="AV4" s="2">
        <v>4026</v>
      </c>
      <c r="AW4" s="156">
        <f t="shared" si="1"/>
        <v>0.35515172900494002</v>
      </c>
      <c r="AX4" s="2">
        <v>5230</v>
      </c>
      <c r="AY4" s="156">
        <f t="shared" si="1"/>
        <v>0.46136203246294988</v>
      </c>
      <c r="AZ4" s="2">
        <v>5160</v>
      </c>
      <c r="BA4" s="156">
        <f t="shared" si="1"/>
        <v>0.45518701482004237</v>
      </c>
      <c r="BB4" s="2">
        <v>5010</v>
      </c>
      <c r="BC4" s="156">
        <f t="shared" si="1"/>
        <v>0.44195483415666903</v>
      </c>
      <c r="BD4" s="10">
        <v>5304</v>
      </c>
      <c r="BE4" s="156">
        <f t="shared" si="1"/>
        <v>0.46788990825688076</v>
      </c>
      <c r="BG4" s="10">
        <v>5777</v>
      </c>
      <c r="BI4" s="10">
        <v>5339</v>
      </c>
      <c r="BK4" s="10">
        <v>5486</v>
      </c>
      <c r="BM4" s="10">
        <v>5318</v>
      </c>
      <c r="BO4" s="10">
        <v>2517</v>
      </c>
      <c r="BQ4" s="10">
        <v>3126</v>
      </c>
      <c r="BS4" s="10">
        <v>2903</v>
      </c>
      <c r="BU4" s="10">
        <v>5282</v>
      </c>
      <c r="BW4" s="10">
        <v>5382</v>
      </c>
      <c r="BY4" s="10">
        <v>5823</v>
      </c>
      <c r="CA4" s="10">
        <v>8120</v>
      </c>
      <c r="CC4" s="10">
        <v>4837</v>
      </c>
      <c r="CE4" s="10">
        <v>4871</v>
      </c>
      <c r="CG4" s="10">
        <v>5593</v>
      </c>
      <c r="CI4" s="10">
        <v>4751</v>
      </c>
      <c r="CK4" s="10">
        <v>4609</v>
      </c>
      <c r="CM4" s="10">
        <v>4885</v>
      </c>
      <c r="CO4" s="10">
        <v>4659</v>
      </c>
      <c r="CP4" s="10" t="s">
        <v>1718</v>
      </c>
    </row>
    <row r="5" spans="1:94" s="350" customFormat="1" ht="27.75" customHeight="1" thickBot="1">
      <c r="A5" s="351">
        <v>5</v>
      </c>
      <c r="B5" s="398" t="s">
        <v>1033</v>
      </c>
      <c r="C5" s="294" t="str">
        <f ca="1">E5</f>
        <v>{"klient":`${p.FamilyName1}, ${p.WomanFirstName1}`,"kontonummer":"3410.99","bezeichnung":"KVG überhöhter Anteil","leistungserbringer":"Zahnarzpraxis Zentrum","value":"120","datumVon":"01.11.2025","datumBis":"30.01.2026"}</v>
      </c>
      <c r="D5" s="294" t="s">
        <v>28</v>
      </c>
      <c r="E5" s="294" t="str">
        <f ca="1">F5&amp;G5&amp;H5&amp;I5&amp;J5&amp;K5&amp;L5&amp;M5&amp;N5&amp;O5&amp;P5&amp;Q5&amp;R5&amp;S5&amp;T5&amp;U5&amp;V5&amp;W5</f>
        <v>{"klient":`${p.FamilyName1}, ${p.WomanFirstName1}`,"kontonummer":"3410.99","bezeichnung":"KVG überhöhter Anteil","leistungserbringer":"Zahnarzpraxis Zentrum","value":"120","datumVon":"01.11.2025","datumBis":"30.01.2026"}</v>
      </c>
      <c r="F5" s="399" t="s">
        <v>1034</v>
      </c>
      <c r="G5" s="400" t="str">
        <f>G8</f>
        <v>${p.FamilyName1}, ${p.WomanFirstName1}</v>
      </c>
      <c r="H5" s="294" t="s">
        <v>1035</v>
      </c>
      <c r="I5" s="401">
        <v>3410.99</v>
      </c>
      <c r="J5" s="294" t="s">
        <v>1036</v>
      </c>
      <c r="K5" s="294" t="s">
        <v>1037</v>
      </c>
      <c r="L5" s="294" t="s">
        <v>767</v>
      </c>
      <c r="M5" s="294" t="s">
        <v>1038</v>
      </c>
      <c r="N5" s="294" t="s">
        <v>1039</v>
      </c>
      <c r="O5" s="294">
        <v>120</v>
      </c>
      <c r="P5" s="294" t="s">
        <v>1040</v>
      </c>
      <c r="Q5" s="402" t="str">
        <f ca="1">TEXT(1,"DD")&amp;"."&amp;TEXT(TODAY(),"MM")&amp;"."&amp;TEXT(TODAY(),"YYYY")</f>
        <v>01.11.2025</v>
      </c>
      <c r="R5" s="294" t="s">
        <v>1041</v>
      </c>
      <c r="S5" s="402" t="str">
        <f ca="1">TEXT(30,"DD")&amp;"."&amp;TEXT(TODAY()+60,"MM")&amp;"."&amp;TEXT(TODAY()+60,"YYYY")</f>
        <v>30.01.2026</v>
      </c>
      <c r="T5" s="294" t="s">
        <v>37</v>
      </c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>
        <v>9304</v>
      </c>
      <c r="AJ5" s="294">
        <v>8866</v>
      </c>
      <c r="AK5" s="294">
        <v>8792</v>
      </c>
      <c r="AL5" s="294">
        <v>8626</v>
      </c>
      <c r="AM5" s="294"/>
      <c r="AN5" s="294">
        <v>8644</v>
      </c>
      <c r="AO5" s="296">
        <f t="shared" ref="AO5" si="3">AN5/($AI5)</f>
        <v>0.92906276870163373</v>
      </c>
      <c r="AP5" s="294">
        <v>8272</v>
      </c>
      <c r="AQ5" s="296">
        <f t="shared" si="1"/>
        <v>0.88907996560619085</v>
      </c>
      <c r="AR5" s="294">
        <v>8492</v>
      </c>
      <c r="AS5" s="296">
        <f t="shared" si="1"/>
        <v>0.91272570937231301</v>
      </c>
      <c r="AT5" s="294">
        <v>9817</v>
      </c>
      <c r="AU5" s="296">
        <f t="shared" si="1"/>
        <v>1.0551375752364573</v>
      </c>
      <c r="AV5" s="297">
        <v>9454</v>
      </c>
      <c r="AW5" s="296">
        <f t="shared" si="1"/>
        <v>1.016122098022356</v>
      </c>
      <c r="AX5" s="297">
        <v>5507</v>
      </c>
      <c r="AY5" s="296">
        <f t="shared" si="1"/>
        <v>0.59189595872742906</v>
      </c>
      <c r="AZ5" s="297">
        <v>5556</v>
      </c>
      <c r="BA5" s="296">
        <f t="shared" si="1"/>
        <v>0.59716251074806537</v>
      </c>
      <c r="BB5" s="297">
        <v>5878</v>
      </c>
      <c r="BC5" s="296">
        <f t="shared" si="1"/>
        <v>0.63177128116938952</v>
      </c>
      <c r="BD5" s="350">
        <v>6433</v>
      </c>
      <c r="BE5" s="296">
        <f t="shared" si="1"/>
        <v>0.69142304385210662</v>
      </c>
      <c r="BG5" s="350">
        <v>8867</v>
      </c>
      <c r="BI5" s="350">
        <v>6705</v>
      </c>
      <c r="BK5" s="350">
        <v>5957</v>
      </c>
      <c r="BM5" s="350">
        <v>5842</v>
      </c>
      <c r="BO5" s="350">
        <v>6233</v>
      </c>
      <c r="BQ5" s="350">
        <v>6394</v>
      </c>
      <c r="BS5" s="350">
        <v>6027</v>
      </c>
      <c r="BU5" s="2183">
        <v>0</v>
      </c>
      <c r="BV5" s="2184" t="s">
        <v>1415</v>
      </c>
      <c r="BW5" s="350">
        <v>9587</v>
      </c>
      <c r="BY5" s="350">
        <v>12615</v>
      </c>
      <c r="CA5" s="350">
        <v>13589</v>
      </c>
      <c r="CC5" s="350">
        <v>7966</v>
      </c>
      <c r="CE5" s="350">
        <v>6828</v>
      </c>
      <c r="CG5" s="350">
        <v>8365</v>
      </c>
      <c r="CI5" s="350">
        <v>17643</v>
      </c>
      <c r="CK5" s="3604">
        <v>0</v>
      </c>
      <c r="CL5" s="3605" t="s">
        <v>1542</v>
      </c>
      <c r="CM5" s="350">
        <v>6256</v>
      </c>
      <c r="CO5" s="350">
        <v>5169</v>
      </c>
      <c r="CP5" s="350" t="s">
        <v>1718</v>
      </c>
    </row>
    <row r="6" spans="1:94" s="53" customFormat="1" ht="30" customHeight="1" thickBot="1">
      <c r="A6" s="403">
        <v>6</v>
      </c>
      <c r="B6" s="240" t="s">
        <v>1033</v>
      </c>
      <c r="C6" s="24" t="str">
        <f ca="1">E6</f>
        <v>{"klient":`${p.FamilyName1}, ${p.ManFirstName1}`,"kontonummer":"3510.20","bezeichnung":"Zusatzversicherung VVG","leistungserbringer":"Agrisano Krankenkasse AG","value":"30","datumVon":"01.11.2025","datumBis":"30.01.2026"}</v>
      </c>
      <c r="D6" s="24" t="s">
        <v>28</v>
      </c>
      <c r="E6" s="24" t="str">
        <f ca="1">F6&amp;G6&amp;H6&amp;I6&amp;J6&amp;K6&amp;L6&amp;M6&amp;N6&amp;O6&amp;P6&amp;Q6&amp;R6&amp;S6&amp;T6&amp;U6&amp;V6&amp;W6</f>
        <v>{"klient":`${p.FamilyName1}, ${p.ManFirstName1}`,"kontonummer":"3510.20","bezeichnung":"Zusatzversicherung VVG","leistungserbringer":"Agrisano Krankenkasse AG","value":"30","datumVon":"01.11.2025","datumBis":"30.01.2026"}</v>
      </c>
      <c r="F6" s="404" t="s">
        <v>1034</v>
      </c>
      <c r="G6" s="405" t="str">
        <f>G7</f>
        <v>${p.FamilyName1}, ${p.ManFirstName1}</v>
      </c>
      <c r="H6" s="24" t="s">
        <v>1035</v>
      </c>
      <c r="I6" s="262" t="s">
        <v>1042</v>
      </c>
      <c r="J6" s="24" t="s">
        <v>1036</v>
      </c>
      <c r="K6" s="24" t="s">
        <v>1043</v>
      </c>
      <c r="L6" s="24" t="s">
        <v>767</v>
      </c>
      <c r="M6" s="24" t="s">
        <v>775</v>
      </c>
      <c r="N6" s="24" t="s">
        <v>1039</v>
      </c>
      <c r="O6" s="24">
        <v>30</v>
      </c>
      <c r="P6" s="24" t="s">
        <v>1040</v>
      </c>
      <c r="Q6" s="310" t="str">
        <f ca="1">TEXT(1,"DD")&amp;"."&amp;TEXT(TODAY(),"MM")&amp;"."&amp;TEXT(TODAY(),"YYYY")</f>
        <v>01.11.2025</v>
      </c>
      <c r="R6" s="24" t="s">
        <v>1041</v>
      </c>
      <c r="S6" s="310" t="str">
        <f ca="1">TEXT(30,"DD")&amp;"."&amp;TEXT(TODAY()+60,"MM")&amp;"."&amp;TEXT(TODAY()+60,"YYYY")</f>
        <v>30.01.2026</v>
      </c>
      <c r="T6" s="24" t="s">
        <v>37</v>
      </c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>
        <v>7958</v>
      </c>
      <c r="AJ6" s="24">
        <v>8012</v>
      </c>
      <c r="AK6" s="24">
        <v>7936</v>
      </c>
      <c r="AL6" s="24">
        <v>8382</v>
      </c>
      <c r="AM6" s="24"/>
      <c r="AN6" s="24">
        <v>8810</v>
      </c>
      <c r="AO6" s="156">
        <f t="shared" ref="AO6" si="4">AN6/($AI6)</f>
        <v>1.1070620758984671</v>
      </c>
      <c r="AP6" s="24">
        <v>8365</v>
      </c>
      <c r="AQ6" s="156">
        <f t="shared" si="1"/>
        <v>1.0511435033928123</v>
      </c>
      <c r="AR6" s="24">
        <v>7693</v>
      </c>
      <c r="AS6" s="156">
        <f t="shared" si="1"/>
        <v>0.96670017592359891</v>
      </c>
      <c r="AT6" s="24">
        <v>13503</v>
      </c>
      <c r="AU6" s="156">
        <f t="shared" si="1"/>
        <v>1.6967831113345062</v>
      </c>
      <c r="AV6" s="2">
        <v>7592</v>
      </c>
      <c r="AW6" s="156">
        <f t="shared" si="1"/>
        <v>0.95400854486051767</v>
      </c>
      <c r="AX6" s="2">
        <v>4493</v>
      </c>
      <c r="AY6" s="156">
        <f t="shared" si="1"/>
        <v>0.56458909273686853</v>
      </c>
      <c r="AZ6" s="2">
        <v>4939</v>
      </c>
      <c r="BA6" s="156">
        <f t="shared" si="1"/>
        <v>0.62063332495601908</v>
      </c>
      <c r="BB6" s="2">
        <v>4715</v>
      </c>
      <c r="BC6" s="156">
        <f t="shared" si="1"/>
        <v>0.59248554913294793</v>
      </c>
      <c r="BD6" s="53">
        <v>4716</v>
      </c>
      <c r="BE6" s="156">
        <f t="shared" si="1"/>
        <v>0.5926112088464438</v>
      </c>
      <c r="BG6" s="53">
        <v>5594</v>
      </c>
      <c r="BI6" s="53">
        <v>4717</v>
      </c>
      <c r="BK6" s="53">
        <v>4777</v>
      </c>
      <c r="BM6" s="53">
        <v>4474</v>
      </c>
      <c r="BO6" s="53">
        <v>4375</v>
      </c>
      <c r="BQ6" s="53">
        <v>5354</v>
      </c>
      <c r="BS6" s="53">
        <v>4655</v>
      </c>
      <c r="BU6" s="53">
        <v>241</v>
      </c>
      <c r="BW6" s="53">
        <v>4922</v>
      </c>
      <c r="BY6" s="53">
        <v>5188</v>
      </c>
      <c r="CA6" s="53">
        <v>4690</v>
      </c>
      <c r="CC6" s="53">
        <v>4492</v>
      </c>
      <c r="CE6" s="53">
        <v>4976</v>
      </c>
      <c r="CG6" s="53">
        <v>4709</v>
      </c>
      <c r="CI6" s="53">
        <v>5196</v>
      </c>
      <c r="CK6" s="53">
        <v>217</v>
      </c>
      <c r="CM6" s="53">
        <v>3908</v>
      </c>
      <c r="CO6" s="53">
        <v>3996</v>
      </c>
      <c r="CP6" s="53" t="s">
        <v>1718</v>
      </c>
    </row>
    <row r="7" spans="1:94" s="53" customFormat="1" ht="30" customHeight="1" thickBot="1">
      <c r="A7" s="403">
        <v>7</v>
      </c>
      <c r="B7" s="240" t="s">
        <v>1033</v>
      </c>
      <c r="C7" s="24" t="str">
        <f ca="1">E7</f>
        <v>{"klient":`${p.FamilyName1}, ${p.ManFirstName1}`,"kontonummer":"3510.10","bezeichnung":"Hilfe, Pflege und Betreuung zu Hause","leistungserbringer":"Association le Transit","value":"231","datumVon":"01.11.2025","datumBis":"30.01.2026"}</v>
      </c>
      <c r="D7" s="24" t="s">
        <v>28</v>
      </c>
      <c r="E7" s="24" t="str">
        <f ca="1">F7&amp;G7&amp;H7&amp;I7&amp;J7&amp;K7&amp;L7&amp;M7&amp;N7&amp;O7&amp;P7&amp;Q7&amp;R7&amp;S7&amp;T7&amp;U7&amp;V7&amp;W7</f>
        <v>{"klient":`${p.FamilyName1}, ${p.ManFirstName1}`,"kontonummer":"3510.10","bezeichnung":"Hilfe, Pflege und Betreuung zu Hause","leistungserbringer":"Association le Transit","value":"231","datumVon":"01.11.2025","datumBis":"30.01.2026"}</v>
      </c>
      <c r="F7" s="404" t="s">
        <v>1034</v>
      </c>
      <c r="G7" s="24" t="s">
        <v>492</v>
      </c>
      <c r="H7" s="24" t="s">
        <v>1035</v>
      </c>
      <c r="I7" s="262" t="s">
        <v>1044</v>
      </c>
      <c r="J7" s="24" t="s">
        <v>1036</v>
      </c>
      <c r="K7" s="24" t="s">
        <v>1045</v>
      </c>
      <c r="L7" s="24" t="s">
        <v>767</v>
      </c>
      <c r="M7" s="24" t="s">
        <v>1046</v>
      </c>
      <c r="N7" s="24" t="s">
        <v>1039</v>
      </c>
      <c r="O7" s="24">
        <v>231</v>
      </c>
      <c r="P7" s="24" t="s">
        <v>1040</v>
      </c>
      <c r="Q7" s="310" t="str">
        <f ca="1">TEXT(1,"DD")&amp;"."&amp;TEXT(TODAY(),"MM")&amp;"."&amp;TEXT(TODAY(),"YYYY")</f>
        <v>01.11.2025</v>
      </c>
      <c r="R7" s="24" t="s">
        <v>1041</v>
      </c>
      <c r="S7" s="310" t="str">
        <f ca="1">TEXT(30,"DD")&amp;"."&amp;TEXT(TODAY()+60,"MM")&amp;"."&amp;TEXT(TODAY()+60,"YYYY")</f>
        <v>30.01.2026</v>
      </c>
      <c r="T7" s="24" t="s">
        <v>37</v>
      </c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>
        <v>8031</v>
      </c>
      <c r="AJ7" s="24">
        <v>7926</v>
      </c>
      <c r="AK7" s="24">
        <v>7856</v>
      </c>
      <c r="AL7" s="24">
        <v>7748</v>
      </c>
      <c r="AM7" s="24"/>
      <c r="AN7" s="24">
        <v>8126</v>
      </c>
      <c r="AO7" s="156">
        <f t="shared" ref="AO7" si="5">AN7/($AI7)</f>
        <v>1.0118291619972606</v>
      </c>
      <c r="AP7" s="24">
        <v>7976</v>
      </c>
      <c r="AQ7" s="156">
        <f t="shared" si="1"/>
        <v>0.99315153779105969</v>
      </c>
      <c r="AR7" s="24">
        <v>7450</v>
      </c>
      <c r="AS7" s="156">
        <f t="shared" si="1"/>
        <v>0.92765533557464819</v>
      </c>
      <c r="AT7" s="24">
        <v>11002</v>
      </c>
      <c r="AU7" s="156">
        <f t="shared" si="1"/>
        <v>1.3699414767774873</v>
      </c>
      <c r="AV7" s="2">
        <v>6608</v>
      </c>
      <c r="AW7" s="156">
        <f t="shared" si="1"/>
        <v>0.82281160503050677</v>
      </c>
      <c r="AX7" s="2">
        <v>4929</v>
      </c>
      <c r="AY7" s="156">
        <f t="shared" si="1"/>
        <v>0.61374673141576397</v>
      </c>
      <c r="AZ7" s="2">
        <v>4508</v>
      </c>
      <c r="BA7" s="156">
        <f t="shared" si="1"/>
        <v>0.56132486614369315</v>
      </c>
      <c r="BB7" s="2">
        <v>4509</v>
      </c>
      <c r="BC7" s="156">
        <f t="shared" si="1"/>
        <v>0.56144938363840124</v>
      </c>
      <c r="BD7" s="53">
        <v>4704</v>
      </c>
      <c r="BE7" s="156">
        <f t="shared" si="1"/>
        <v>0.58573029510646246</v>
      </c>
      <c r="BG7" s="53">
        <v>5668</v>
      </c>
      <c r="BI7" s="53">
        <v>4634</v>
      </c>
      <c r="BK7" s="53">
        <v>4725</v>
      </c>
      <c r="BM7" s="53">
        <v>4655</v>
      </c>
      <c r="BO7" s="53">
        <v>4561</v>
      </c>
      <c r="BQ7" s="53">
        <v>4697</v>
      </c>
      <c r="BS7" s="53">
        <v>4646</v>
      </c>
      <c r="BW7" s="53">
        <v>4914</v>
      </c>
      <c r="BY7" s="53">
        <v>4836</v>
      </c>
      <c r="CA7" s="53">
        <v>4696</v>
      </c>
      <c r="CC7" s="53">
        <v>5785</v>
      </c>
      <c r="CE7" s="53">
        <v>3744</v>
      </c>
      <c r="CG7" s="53">
        <v>5163</v>
      </c>
      <c r="CI7" s="53">
        <v>4118</v>
      </c>
      <c r="CM7" s="53">
        <v>3886</v>
      </c>
      <c r="CO7" s="53">
        <v>4120</v>
      </c>
      <c r="CP7" s="53" t="s">
        <v>1718</v>
      </c>
    </row>
    <row r="8" spans="1:94" s="406" customFormat="1" ht="30" customHeight="1" thickBot="1">
      <c r="A8" s="407">
        <v>8</v>
      </c>
      <c r="B8" s="408" t="s">
        <v>1033</v>
      </c>
      <c r="C8" s="299" t="str">
        <f ca="1">E8</f>
        <v>{"klient":`${p.FamilyName1}, ${p.WomanFirstName1}`,"kontonummer":"3550.02","bezeichnung":"Mehrkosten im Zusammenhang mit Bildung","leistungserbringer":"Berner Schuldenberatung","value":"500","datumVon":"01.11.2025","datumBis":"30.01.2026"}</v>
      </c>
      <c r="D8" s="299" t="s">
        <v>28</v>
      </c>
      <c r="E8" s="299" t="str">
        <f ca="1">F8&amp;G8&amp;H8&amp;I8&amp;J8&amp;K8&amp;L8&amp;M8&amp;N8&amp;O8&amp;P8&amp;Q8&amp;R8&amp;S8&amp;T8&amp;U8&amp;V8&amp;W8</f>
        <v>{"klient":`${p.FamilyName1}, ${p.WomanFirstName1}`,"kontonummer":"3550.02","bezeichnung":"Mehrkosten im Zusammenhang mit Bildung","leistungserbringer":"Berner Schuldenberatung","value":"500","datumVon":"01.11.2025","datumBis":"30.01.2026"}</v>
      </c>
      <c r="F8" s="409" t="s">
        <v>1034</v>
      </c>
      <c r="G8" s="299" t="s">
        <v>960</v>
      </c>
      <c r="H8" s="299" t="s">
        <v>1035</v>
      </c>
      <c r="I8" s="410">
        <v>3550.02</v>
      </c>
      <c r="J8" s="299" t="s">
        <v>1036</v>
      </c>
      <c r="K8" s="299" t="s">
        <v>1047</v>
      </c>
      <c r="L8" s="299" t="s">
        <v>767</v>
      </c>
      <c r="M8" s="299" t="s">
        <v>177</v>
      </c>
      <c r="N8" s="299" t="s">
        <v>1039</v>
      </c>
      <c r="O8" s="299">
        <v>500</v>
      </c>
      <c r="P8" s="299" t="s">
        <v>1040</v>
      </c>
      <c r="Q8" s="411" t="str">
        <f ca="1">TEXT(1,"DD")&amp;"."&amp;TEXT(TODAY(),"MM")&amp;"."&amp;TEXT(TODAY(),"YYYY")</f>
        <v>01.11.2025</v>
      </c>
      <c r="R8" s="299" t="s">
        <v>1041</v>
      </c>
      <c r="S8" s="411" t="str">
        <f ca="1">TEXT(30,"DD")&amp;"."&amp;TEXT(TODAY()+60,"MM")&amp;"."&amp;TEXT(TODAY()+60,"YYYY")</f>
        <v>30.01.2026</v>
      </c>
      <c r="T8" s="299" t="s">
        <v>37</v>
      </c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299"/>
      <c r="AI8" s="299">
        <v>7943</v>
      </c>
      <c r="AJ8" s="299">
        <v>7982</v>
      </c>
      <c r="AK8" s="299">
        <v>8085</v>
      </c>
      <c r="AL8" s="299">
        <v>7779</v>
      </c>
      <c r="AM8" s="299"/>
      <c r="AN8" s="299">
        <v>8124</v>
      </c>
      <c r="AO8" s="301">
        <f t="shared" ref="AO8" si="6">AN8/($AI8)</f>
        <v>1.0227873599395694</v>
      </c>
      <c r="AP8" s="299">
        <v>7945</v>
      </c>
      <c r="AQ8" s="301">
        <f t="shared" si="1"/>
        <v>1.0002517940324813</v>
      </c>
      <c r="AR8" s="299">
        <v>7411</v>
      </c>
      <c r="AS8" s="301">
        <f t="shared" si="1"/>
        <v>0.9330227873599396</v>
      </c>
      <c r="AT8" s="299">
        <v>8979</v>
      </c>
      <c r="AU8" s="301">
        <f t="shared" si="1"/>
        <v>1.1304293088253807</v>
      </c>
      <c r="AV8" s="302">
        <v>7105</v>
      </c>
      <c r="AW8" s="301">
        <f t="shared" si="1"/>
        <v>0.89449830039028078</v>
      </c>
      <c r="AX8" s="302">
        <v>4374</v>
      </c>
      <c r="AY8" s="301">
        <f t="shared" si="1"/>
        <v>0.55067354903688781</v>
      </c>
      <c r="AZ8" s="302">
        <v>4565</v>
      </c>
      <c r="BA8" s="301">
        <f t="shared" si="1"/>
        <v>0.57471987913886435</v>
      </c>
      <c r="BB8" s="302">
        <v>4654</v>
      </c>
      <c r="BC8" s="301">
        <f t="shared" si="1"/>
        <v>0.5859247135842881</v>
      </c>
      <c r="BD8" s="406">
        <v>4423</v>
      </c>
      <c r="BE8" s="301">
        <f t="shared" si="1"/>
        <v>0.55684250283268288</v>
      </c>
      <c r="BG8" s="406">
        <v>5735</v>
      </c>
      <c r="BI8" s="406">
        <v>4698</v>
      </c>
      <c r="BK8" s="406">
        <v>4784</v>
      </c>
      <c r="BM8" s="406">
        <v>4464</v>
      </c>
      <c r="BO8" s="406">
        <v>4472</v>
      </c>
      <c r="BQ8" s="406">
        <v>4997</v>
      </c>
      <c r="BS8" s="406">
        <v>4514</v>
      </c>
      <c r="BW8" s="406">
        <v>6468</v>
      </c>
      <c r="BY8" s="406">
        <v>6093</v>
      </c>
      <c r="CA8" s="406">
        <v>4582</v>
      </c>
      <c r="CC8" s="406">
        <v>4546</v>
      </c>
      <c r="CE8" s="406">
        <v>3836</v>
      </c>
      <c r="CG8" s="406">
        <v>5958</v>
      </c>
      <c r="CI8" s="406">
        <v>5163</v>
      </c>
      <c r="CM8" s="406">
        <v>4574</v>
      </c>
      <c r="CO8" s="406">
        <v>4517</v>
      </c>
      <c r="CP8" s="406" t="s">
        <v>1718</v>
      </c>
    </row>
  </sheetData>
  <conditionalFormatting sqref="AO2:AO145 AQ2:AQ145 AS2:AS145 AU2:AU145 AW2:AW145 AY2:AY145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145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45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145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G2" r:id="rId1" xr:uid="{00000000-0004-0000-3600-000000000000}"/>
  </hyperlinks>
  <pageMargins left="0.7" right="0.7" top="0.75" bottom="0.75" header="0.3" footer="0.3"/>
  <pageSetup orientation="portrait" useFirstPageNumber="1" horizontalDpi="4294967295" verticalDpi="429496729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2D050"/>
  </sheetPr>
  <dimension ref="A1:CP5"/>
  <sheetViews>
    <sheetView zoomScale="85" zoomScaleNormal="85" workbookViewId="0">
      <pane xSplit="2" ySplit="1" topLeftCell="G2" activePane="bottomRight" state="frozen"/>
      <selection activeCell="B23" sqref="B23"/>
      <selection pane="topRight" activeCell="B23" sqref="B23"/>
      <selection pane="bottomLeft" activeCell="B23" sqref="B23"/>
      <selection pane="bottomRight" activeCell="M5" sqref="M5"/>
    </sheetView>
  </sheetViews>
  <sheetFormatPr defaultColWidth="9.140625" defaultRowHeight="14.25" customHeight="1"/>
  <cols>
    <col min="1" max="1" width="9.140625" style="1" customWidth="1"/>
    <col min="2" max="2" width="43" style="2" customWidth="1"/>
    <col min="3" max="3" width="181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22.5703125" style="2" customWidth="1"/>
    <col min="17" max="17" width="13.5703125" style="2" customWidth="1"/>
    <col min="18" max="18" width="24.5703125" style="2" customWidth="1"/>
    <col min="19" max="36" width="9.140625" style="2" customWidth="1"/>
    <col min="37" max="39" width="8.42578125" style="2" customWidth="1"/>
    <col min="40" max="40" width="8.42578125" style="12" customWidth="1"/>
    <col min="41" max="41" width="8.42578125" style="2" customWidth="1"/>
    <col min="42" max="42" width="8.42578125" style="12" customWidth="1"/>
    <col min="43" max="43" width="8.42578125" style="2" customWidth="1"/>
    <col min="44" max="44" width="8.42578125" style="12" customWidth="1"/>
    <col min="45" max="45" width="8.42578125" style="2" customWidth="1"/>
    <col min="46" max="46" width="10.85546875" style="12" customWidth="1"/>
    <col min="47" max="47" width="10.85546875" style="2" customWidth="1"/>
    <col min="48" max="48" width="10.85546875" style="12" customWidth="1"/>
    <col min="49" max="49" width="10.85546875" style="2" customWidth="1"/>
    <col min="50" max="50" width="10.85546875" style="12" customWidth="1"/>
    <col min="51" max="51" width="10.85546875" style="2" customWidth="1"/>
    <col min="52" max="52" width="10.85546875" style="12" customWidth="1"/>
    <col min="53" max="53" width="10.85546875" style="2" customWidth="1"/>
    <col min="54" max="54" width="10.85546875" style="12" customWidth="1"/>
    <col min="55" max="55" width="10.85546875" style="2" customWidth="1"/>
    <col min="56" max="56" width="10.85546875" style="12" customWidth="1"/>
    <col min="57" max="57" width="10.85546875" style="664" customWidth="1"/>
    <col min="58" max="58" width="10.85546875" style="1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12.7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4*60*1000*SpeedFaktor</f>
        <v>240000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489</v>
      </c>
      <c r="AM1" s="2" t="s">
        <v>10</v>
      </c>
      <c r="AN1" s="24" t="s">
        <v>8</v>
      </c>
      <c r="AO1" s="2" t="s">
        <v>11</v>
      </c>
      <c r="AP1" s="24" t="s">
        <v>8</v>
      </c>
      <c r="AQ1" s="2" t="s">
        <v>12</v>
      </c>
      <c r="AR1" s="24" t="s">
        <v>8</v>
      </c>
      <c r="AS1" s="2" t="s">
        <v>13</v>
      </c>
      <c r="AT1" s="24" t="s">
        <v>8</v>
      </c>
      <c r="AU1" s="764" t="s">
        <v>65</v>
      </c>
      <c r="AV1" s="763" t="s">
        <v>8</v>
      </c>
      <c r="AW1" s="764" t="s">
        <v>15</v>
      </c>
      <c r="AX1" s="763" t="s">
        <v>8</v>
      </c>
      <c r="AY1" s="764" t="s">
        <v>17</v>
      </c>
      <c r="AZ1" s="763" t="s">
        <v>8</v>
      </c>
      <c r="BA1" s="764" t="s">
        <v>1285</v>
      </c>
      <c r="BB1" s="763" t="s">
        <v>8</v>
      </c>
      <c r="BC1" s="764" t="s">
        <v>1286</v>
      </c>
      <c r="BD1" s="763" t="s">
        <v>8</v>
      </c>
      <c r="BE1" s="769" t="s">
        <v>1303</v>
      </c>
      <c r="BF1" s="763" t="s">
        <v>8</v>
      </c>
      <c r="BG1" s="883" t="s">
        <v>1317</v>
      </c>
      <c r="BH1" s="884" t="s">
        <v>572</v>
      </c>
      <c r="BI1" s="1007" t="s">
        <v>1318</v>
      </c>
      <c r="BJ1" s="1008" t="s">
        <v>572</v>
      </c>
      <c r="BK1" s="1153" t="s">
        <v>1324</v>
      </c>
      <c r="BL1" s="1154" t="s">
        <v>572</v>
      </c>
      <c r="BM1" s="1356" t="s">
        <v>1341</v>
      </c>
      <c r="BN1" s="1357" t="s">
        <v>572</v>
      </c>
      <c r="BO1" s="1610" t="s">
        <v>1363</v>
      </c>
      <c r="BP1" s="1611" t="s">
        <v>572</v>
      </c>
      <c r="BQ1" s="1750" t="s">
        <v>1368</v>
      </c>
      <c r="BR1" s="1751" t="s">
        <v>572</v>
      </c>
      <c r="BS1" s="1891" t="s">
        <v>1372</v>
      </c>
      <c r="BT1" s="1892" t="s">
        <v>572</v>
      </c>
      <c r="BU1" s="2185" t="s">
        <v>1397</v>
      </c>
      <c r="BV1" s="2186" t="s">
        <v>572</v>
      </c>
      <c r="BW1" s="2364" t="s">
        <v>1421</v>
      </c>
      <c r="BX1" s="2365" t="s">
        <v>572</v>
      </c>
      <c r="BY1" s="2520" t="s">
        <v>1434</v>
      </c>
      <c r="BZ1" s="2521" t="s">
        <v>572</v>
      </c>
      <c r="CA1" s="2683" t="s">
        <v>1442</v>
      </c>
      <c r="CB1" s="2684" t="s">
        <v>572</v>
      </c>
      <c r="CC1" s="2872" t="s">
        <v>1460</v>
      </c>
      <c r="CD1" s="2873" t="s">
        <v>572</v>
      </c>
      <c r="CE1" s="3056" t="s">
        <v>1472</v>
      </c>
      <c r="CF1" s="3057" t="s">
        <v>572</v>
      </c>
      <c r="CG1" s="3240" t="s">
        <v>1492</v>
      </c>
      <c r="CH1" s="3241" t="s">
        <v>572</v>
      </c>
      <c r="CI1" s="3414" t="s">
        <v>1503</v>
      </c>
      <c r="CJ1" s="3415" t="s">
        <v>572</v>
      </c>
      <c r="CK1" s="3606" t="s">
        <v>1519</v>
      </c>
      <c r="CL1" s="3607" t="s">
        <v>572</v>
      </c>
      <c r="CM1" s="3900" t="s">
        <v>1666</v>
      </c>
      <c r="CN1" s="3901" t="s">
        <v>572</v>
      </c>
      <c r="CO1" s="4119" t="s">
        <v>1717</v>
      </c>
      <c r="CP1" s="4120" t="s">
        <v>572</v>
      </c>
    </row>
    <row r="2" spans="1:94" ht="14.25" customHeight="1">
      <c r="A2" s="119">
        <v>1</v>
      </c>
      <c r="B2" s="122" t="s">
        <v>21</v>
      </c>
      <c r="C2" s="590" t="str">
        <f>'001a'!B59</f>
        <v>{"url":p.aventisURL}</v>
      </c>
      <c r="AI2" s="3">
        <v>1899</v>
      </c>
      <c r="AJ2" s="3">
        <v>2119</v>
      </c>
      <c r="AK2" s="3">
        <v>2139</v>
      </c>
      <c r="AL2" s="3">
        <v>1565</v>
      </c>
      <c r="AM2" s="2">
        <v>1675</v>
      </c>
      <c r="AN2" s="156">
        <f>AM2/($AI2)</f>
        <v>0.88204318062137965</v>
      </c>
      <c r="AO2" s="2">
        <v>1532</v>
      </c>
      <c r="AP2" s="156">
        <f>AO2/($AI2)</f>
        <v>0.80674038967877826</v>
      </c>
      <c r="AQ2" s="2">
        <v>1427</v>
      </c>
      <c r="AR2" s="156">
        <f>AQ2/($AI2)</f>
        <v>0.75144813059505</v>
      </c>
      <c r="AS2" s="2">
        <v>1565</v>
      </c>
      <c r="AT2" s="156">
        <f>AS2/($AI2)</f>
        <v>0.82411795681937861</v>
      </c>
      <c r="AU2" s="2">
        <v>1398</v>
      </c>
      <c r="AV2" s="156">
        <f>AU2/($AI2)</f>
        <v>0.73617693522906791</v>
      </c>
      <c r="AW2" s="2">
        <v>1057</v>
      </c>
      <c r="AX2" s="156">
        <f>AW2/($AI2)</f>
        <v>0.55660874144286465</v>
      </c>
      <c r="AY2" s="2">
        <v>1307</v>
      </c>
      <c r="AZ2" s="156">
        <f>AY2/($AI2)</f>
        <v>0.68825697735650337</v>
      </c>
      <c r="BA2" s="2">
        <v>1234</v>
      </c>
      <c r="BB2" s="156">
        <f>BA2/($AI2)</f>
        <v>0.64981569246972093</v>
      </c>
      <c r="BC2" s="2">
        <v>555</v>
      </c>
      <c r="BD2" s="156">
        <f>BC2/($AI2)</f>
        <v>0.29225908372827802</v>
      </c>
      <c r="BE2" s="664">
        <v>1358</v>
      </c>
      <c r="BF2" s="156">
        <f>BE2/($AI2)</f>
        <v>0.7151132174828857</v>
      </c>
      <c r="BG2" s="2">
        <v>1292</v>
      </c>
      <c r="BI2" s="2">
        <v>1191</v>
      </c>
      <c r="BK2" s="2">
        <v>1251</v>
      </c>
      <c r="BM2" s="2">
        <v>1240</v>
      </c>
      <c r="BO2" s="2">
        <v>1196</v>
      </c>
      <c r="BQ2" s="2">
        <v>1125</v>
      </c>
      <c r="BS2" s="2">
        <v>1166</v>
      </c>
      <c r="BU2" s="2">
        <v>2090</v>
      </c>
      <c r="BW2" s="2">
        <v>1516</v>
      </c>
      <c r="BY2" s="2">
        <v>1555</v>
      </c>
      <c r="CA2" s="2">
        <v>1099</v>
      </c>
      <c r="CC2" s="2">
        <v>1199</v>
      </c>
      <c r="CE2" s="2">
        <v>1732</v>
      </c>
      <c r="CG2" s="2">
        <v>1707</v>
      </c>
      <c r="CI2" s="2">
        <v>1295</v>
      </c>
      <c r="CK2" s="2">
        <v>1144</v>
      </c>
      <c r="CM2" s="2">
        <v>845</v>
      </c>
      <c r="CO2" s="2">
        <v>350</v>
      </c>
      <c r="CP2" s="2" t="s">
        <v>1718</v>
      </c>
    </row>
    <row r="3" spans="1:94" ht="14.25" customHeight="1">
      <c r="A3" s="119">
        <v>2</v>
      </c>
      <c r="B3" s="122" t="s">
        <v>25</v>
      </c>
      <c r="C3" s="606" t="s">
        <v>633</v>
      </c>
      <c r="AI3" s="3">
        <v>7326</v>
      </c>
      <c r="AJ3" s="3">
        <v>6696</v>
      </c>
      <c r="AK3" s="3">
        <v>7464</v>
      </c>
      <c r="AL3" s="3">
        <v>10177</v>
      </c>
      <c r="AM3" s="2">
        <v>9767</v>
      </c>
      <c r="AN3" s="156">
        <f t="shared" ref="AN3:AP5" si="0">AM3/($AI3)</f>
        <v>1.3331968331968331</v>
      </c>
      <c r="AO3" s="2">
        <v>9789</v>
      </c>
      <c r="AP3" s="156">
        <f t="shared" si="0"/>
        <v>1.3361998361998362</v>
      </c>
      <c r="AQ3" s="2">
        <v>9947</v>
      </c>
      <c r="AR3" s="156">
        <f t="shared" ref="AR3:AR5" si="1">AQ3/($AI3)</f>
        <v>1.3577668577668578</v>
      </c>
      <c r="AS3" s="2">
        <v>9694</v>
      </c>
      <c r="AT3" s="156">
        <f t="shared" ref="AT3:BF5" si="2">AS3/($AI3)</f>
        <v>1.3232323232323233</v>
      </c>
      <c r="AU3" s="2">
        <v>12465</v>
      </c>
      <c r="AV3" s="156">
        <f t="shared" si="2"/>
        <v>1.7014742014742015</v>
      </c>
      <c r="AW3" s="2">
        <v>6967</v>
      </c>
      <c r="AX3" s="156">
        <f t="shared" si="2"/>
        <v>0.95099645099645103</v>
      </c>
      <c r="AY3" s="2">
        <v>8094</v>
      </c>
      <c r="AZ3" s="156">
        <f t="shared" si="2"/>
        <v>1.1048321048321048</v>
      </c>
      <c r="BA3" s="2">
        <v>7383</v>
      </c>
      <c r="BB3" s="156">
        <f t="shared" si="2"/>
        <v>1.0077805077805078</v>
      </c>
      <c r="BC3" s="2">
        <v>5104</v>
      </c>
      <c r="BD3" s="156">
        <f t="shared" si="2"/>
        <v>0.69669669669669665</v>
      </c>
      <c r="BE3" s="664">
        <v>7781</v>
      </c>
      <c r="BF3" s="156">
        <f t="shared" si="2"/>
        <v>1.0621075621075622</v>
      </c>
      <c r="BG3" s="2">
        <v>9150</v>
      </c>
      <c r="BI3" s="2">
        <v>6894</v>
      </c>
      <c r="BK3" s="2">
        <v>7515</v>
      </c>
      <c r="BM3" s="2">
        <v>6804</v>
      </c>
      <c r="BO3" s="2">
        <v>7093</v>
      </c>
      <c r="BQ3" s="2">
        <v>7419</v>
      </c>
      <c r="BS3" s="2">
        <v>7383</v>
      </c>
      <c r="BU3" s="2">
        <v>7835</v>
      </c>
      <c r="BW3" s="2">
        <v>6441</v>
      </c>
      <c r="BY3" s="2">
        <v>6620</v>
      </c>
      <c r="CA3" s="2">
        <v>6992</v>
      </c>
      <c r="CC3" s="2">
        <v>7959</v>
      </c>
      <c r="CE3" s="2">
        <v>8077</v>
      </c>
      <c r="CG3" s="2">
        <v>11438</v>
      </c>
      <c r="CI3" s="2">
        <v>8522</v>
      </c>
      <c r="CK3" s="2">
        <v>8483</v>
      </c>
      <c r="CM3" s="2">
        <v>7141</v>
      </c>
      <c r="CO3" s="2">
        <v>5988</v>
      </c>
      <c r="CP3" s="2" t="s">
        <v>1718</v>
      </c>
    </row>
    <row r="4" spans="1:94" s="10" customFormat="1" ht="15" customHeight="1" thickBot="1">
      <c r="A4" s="119">
        <v>4</v>
      </c>
      <c r="B4" s="122" t="s">
        <v>139</v>
      </c>
      <c r="C4" s="122" t="str">
        <f>G4&amp;H4&amp;I4&amp;J4</f>
        <v>{"searchDossierOrKlient":p.DossierName1,"resultType":"Dossiers"}</v>
      </c>
      <c r="D4" s="2"/>
      <c r="E4" s="209"/>
      <c r="F4" s="254"/>
      <c r="G4" s="2" t="s">
        <v>140</v>
      </c>
      <c r="H4" s="267" t="s">
        <v>449</v>
      </c>
      <c r="I4" s="2" t="s">
        <v>623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>
        <v>11199</v>
      </c>
      <c r="AJ4" s="3">
        <v>11853</v>
      </c>
      <c r="AK4" s="3">
        <v>11806</v>
      </c>
      <c r="AL4" s="3">
        <v>10907</v>
      </c>
      <c r="AM4" s="2">
        <v>10896</v>
      </c>
      <c r="AN4" s="156">
        <f t="shared" si="0"/>
        <v>0.97294401285829091</v>
      </c>
      <c r="AO4" s="2">
        <v>11035</v>
      </c>
      <c r="AP4" s="156">
        <f t="shared" si="0"/>
        <v>0.98535583534244131</v>
      </c>
      <c r="AQ4" s="2">
        <v>11019</v>
      </c>
      <c r="AR4" s="156">
        <f t="shared" si="1"/>
        <v>0.9839271363514599</v>
      </c>
      <c r="AS4" s="2">
        <v>10585</v>
      </c>
      <c r="AT4" s="156">
        <f t="shared" si="2"/>
        <v>0.94517367622109116</v>
      </c>
      <c r="AU4" s="2">
        <v>2955</v>
      </c>
      <c r="AV4" s="156">
        <f t="shared" si="2"/>
        <v>0.26386284489686579</v>
      </c>
      <c r="AW4" s="2">
        <v>2790</v>
      </c>
      <c r="AX4" s="156">
        <f t="shared" si="2"/>
        <v>0.24912938655237074</v>
      </c>
      <c r="AY4" s="2">
        <v>5041</v>
      </c>
      <c r="AZ4" s="156">
        <f t="shared" si="2"/>
        <v>0.45012947584605767</v>
      </c>
      <c r="BA4" s="2">
        <v>5299</v>
      </c>
      <c r="BB4" s="156">
        <f t="shared" si="2"/>
        <v>0.47316724707563174</v>
      </c>
      <c r="BC4" s="2">
        <v>4800</v>
      </c>
      <c r="BD4" s="156">
        <f t="shared" si="2"/>
        <v>0.42860969729440129</v>
      </c>
      <c r="BE4" s="768">
        <v>5264</v>
      </c>
      <c r="BF4" s="156">
        <f t="shared" si="2"/>
        <v>0.47004196803286008</v>
      </c>
      <c r="BG4" s="10">
        <v>5439</v>
      </c>
      <c r="BI4" s="10">
        <v>5192</v>
      </c>
      <c r="BK4" s="10">
        <v>5452</v>
      </c>
      <c r="BM4" s="10">
        <v>5461</v>
      </c>
      <c r="BO4" s="10">
        <v>2490</v>
      </c>
      <c r="BQ4" s="10">
        <v>2806</v>
      </c>
      <c r="BS4" s="10">
        <v>2895</v>
      </c>
      <c r="BU4" s="10">
        <v>5440</v>
      </c>
      <c r="BW4" s="10">
        <v>5306</v>
      </c>
      <c r="BY4" s="10">
        <v>4364</v>
      </c>
      <c r="CA4" s="10">
        <v>4990</v>
      </c>
      <c r="CC4" s="10">
        <v>5243</v>
      </c>
      <c r="CE4" s="10">
        <v>4613</v>
      </c>
      <c r="CG4" s="10">
        <v>5170</v>
      </c>
      <c r="CI4" s="10">
        <v>4815</v>
      </c>
      <c r="CK4" s="10">
        <v>4937</v>
      </c>
      <c r="CM4" s="10">
        <v>4867</v>
      </c>
      <c r="CO4" s="10">
        <v>4666</v>
      </c>
      <c r="CP4" s="10" t="s">
        <v>1718</v>
      </c>
    </row>
    <row r="5" spans="1:94" s="304" customFormat="1" ht="15" customHeight="1">
      <c r="A5" s="305">
        <v>5</v>
      </c>
      <c r="B5" s="306" t="s">
        <v>1048</v>
      </c>
      <c r="C5" s="329" t="str">
        <f ca="1">E5</f>
        <v>{"bezeichnung":"KVG überhöhter Anteil","betrifft":`${p.FamilyName1}, ${p.WomanFirstName1}`,"geplantVon":"01.11.2025","geplantVonNeu":"04.11.2025","geplantBis":"24.11.2025","betragNeu":400}</v>
      </c>
      <c r="D5" s="289" t="s">
        <v>28</v>
      </c>
      <c r="E5" s="329" t="str">
        <f ca="1">F5&amp;G5&amp;H5&amp;I5&amp;J5&amp;K5&amp;L5&amp;M5&amp;N5&amp;O5&amp;P5&amp;Q5&amp;R5&amp;S5&amp;T5&amp;U5&amp;V5&amp;W5&amp;X5&amp;Y5&amp;Z5</f>
        <v>{"bezeichnung":"KVG überhöhter Anteil","betrifft":`${p.FamilyName1}, ${p.WomanFirstName1}`,"geplantVon":"01.11.2025","geplantVonNeu":"04.11.2025","geplantBis":"24.11.2025","betragNeu":400}</v>
      </c>
      <c r="F5" s="331" t="s">
        <v>1049</v>
      </c>
      <c r="G5" s="331" t="s">
        <v>1037</v>
      </c>
      <c r="H5" s="319" t="s">
        <v>1050</v>
      </c>
      <c r="I5" s="319" t="str">
        <f>'SL01'!G5</f>
        <v>${p.FamilyName1}, ${p.WomanFirstName1}</v>
      </c>
      <c r="J5" s="319" t="s">
        <v>941</v>
      </c>
      <c r="K5" s="344" t="str">
        <f ca="1">'SL01'!Q5</f>
        <v>01.11.2025</v>
      </c>
      <c r="L5" s="319" t="s">
        <v>1051</v>
      </c>
      <c r="M5" s="376" t="str">
        <f ca="1">TEXT(TEXT(TODAY(),"DD")&amp;"."&amp;TEXT(TODAY(),"MM")&amp;"."&amp;TEXT(TODAY(),"YYYY"),"DD.MM.YYYY")</f>
        <v>04.11.2025</v>
      </c>
      <c r="N5" s="319" t="s">
        <v>531</v>
      </c>
      <c r="O5" s="376" t="str">
        <f ca="1">TEXT(TEXT(TODAY()+20,"DD")&amp;"."&amp;TEXT(TODAY()+20,"MM")&amp;"."&amp;TEXT(TODAY()+20,"YYYY"),"DD.MM.YYYY")</f>
        <v>24.11.2025</v>
      </c>
      <c r="P5" s="319" t="s">
        <v>1052</v>
      </c>
      <c r="Q5" s="289">
        <v>400</v>
      </c>
      <c r="R5" s="321" t="s">
        <v>109</v>
      </c>
      <c r="S5" s="289"/>
      <c r="T5" s="319"/>
      <c r="U5" s="289"/>
      <c r="V5" s="319"/>
      <c r="W5" s="289"/>
      <c r="X5" s="320"/>
      <c r="Y5" s="289"/>
      <c r="Z5" s="289"/>
      <c r="AA5" s="289"/>
      <c r="AB5" s="289"/>
      <c r="AC5" s="289"/>
      <c r="AD5" s="289"/>
      <c r="AE5" s="289"/>
      <c r="AF5" s="289"/>
      <c r="AG5" s="289"/>
      <c r="AH5" s="289"/>
      <c r="AI5" s="289">
        <v>5173</v>
      </c>
      <c r="AJ5" s="313">
        <v>5967</v>
      </c>
      <c r="AK5" s="313">
        <v>5986</v>
      </c>
      <c r="AL5" s="313">
        <v>5956</v>
      </c>
      <c r="AM5" s="289">
        <v>5902</v>
      </c>
      <c r="AN5" s="290">
        <f t="shared" si="0"/>
        <v>1.1409240286100908</v>
      </c>
      <c r="AO5" s="289">
        <v>6196</v>
      </c>
      <c r="AP5" s="290">
        <f t="shared" si="0"/>
        <v>1.1977575874734196</v>
      </c>
      <c r="AQ5" s="289">
        <v>6258</v>
      </c>
      <c r="AR5" s="290">
        <f t="shared" si="1"/>
        <v>1.2097428958051422</v>
      </c>
      <c r="AS5" s="289">
        <v>5173</v>
      </c>
      <c r="AT5" s="290">
        <f t="shared" si="2"/>
        <v>1</v>
      </c>
      <c r="AU5" s="289">
        <v>8645</v>
      </c>
      <c r="AV5" s="290">
        <f t="shared" si="2"/>
        <v>1.6711772665764546</v>
      </c>
      <c r="AW5" s="291">
        <v>4786</v>
      </c>
      <c r="AX5" s="290">
        <f t="shared" si="2"/>
        <v>0.9251884786390876</v>
      </c>
      <c r="AY5" s="291">
        <v>2804</v>
      </c>
      <c r="AZ5" s="290">
        <f t="shared" si="2"/>
        <v>0.54204523487338097</v>
      </c>
      <c r="BA5" s="291">
        <v>2918</v>
      </c>
      <c r="BB5" s="290">
        <f t="shared" si="2"/>
        <v>0.56408273728977387</v>
      </c>
      <c r="BC5" s="291">
        <v>2518</v>
      </c>
      <c r="BD5" s="290">
        <f t="shared" si="2"/>
        <v>0.48675816740769379</v>
      </c>
      <c r="BE5" s="738">
        <v>3200</v>
      </c>
      <c r="BF5" s="290">
        <f t="shared" si="2"/>
        <v>0.61859655905664024</v>
      </c>
      <c r="BG5" s="304">
        <v>4467</v>
      </c>
      <c r="BI5" s="304">
        <v>3637</v>
      </c>
      <c r="BK5" s="304">
        <v>3307</v>
      </c>
      <c r="BM5" s="304">
        <v>2673</v>
      </c>
      <c r="BO5" s="304">
        <v>2942</v>
      </c>
      <c r="BQ5" s="304">
        <v>3462</v>
      </c>
      <c r="BS5" s="304">
        <v>2973</v>
      </c>
      <c r="BU5" s="2187">
        <v>0</v>
      </c>
      <c r="BV5" s="2188" t="s">
        <v>1416</v>
      </c>
      <c r="BW5" s="304">
        <v>3579</v>
      </c>
      <c r="BY5" s="304">
        <v>2906</v>
      </c>
      <c r="CA5" s="304">
        <v>4003</v>
      </c>
      <c r="CC5" s="304">
        <v>3351</v>
      </c>
      <c r="CE5" s="304">
        <v>2782</v>
      </c>
      <c r="CG5" s="304">
        <v>4822</v>
      </c>
      <c r="CI5" s="304">
        <v>3474</v>
      </c>
      <c r="CK5" s="3608">
        <v>0</v>
      </c>
      <c r="CL5" s="3609" t="s">
        <v>1543</v>
      </c>
      <c r="CM5" s="304">
        <v>2766</v>
      </c>
      <c r="CO5" s="304">
        <v>1846</v>
      </c>
      <c r="CP5" s="304" t="s">
        <v>1718</v>
      </c>
    </row>
  </sheetData>
  <conditionalFormatting sqref="AN2:AN146 AP2:AP146 AR2:AR146 AT2:AT146 AV2:AV146 AX2:AX146 AZ2:AZ146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4AC2-8AC1-435A-805C-2572F7BD0D2D}">
  <sheetPr>
    <tabColor rgb="FF92D050"/>
  </sheetPr>
  <dimension ref="A1:CP17"/>
  <sheetViews>
    <sheetView zoomScale="115" zoomScaleNormal="115" workbookViewId="0">
      <pane xSplit="2" ySplit="1" topLeftCell="C5" activePane="bottomRight" state="frozen"/>
      <selection activeCell="B23" sqref="B23"/>
      <selection pane="topRight" activeCell="B23" sqref="B23"/>
      <selection pane="bottomLeft" activeCell="B23" sqref="B23"/>
      <selection pane="bottomRight" activeCell="B5" sqref="B5:C5"/>
    </sheetView>
  </sheetViews>
  <sheetFormatPr defaultColWidth="9.140625" defaultRowHeight="14.25" customHeight="1"/>
  <cols>
    <col min="1" max="1" width="9.140625" style="1" customWidth="1"/>
    <col min="2" max="2" width="36" style="2" customWidth="1"/>
    <col min="3" max="3" width="181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22.5703125" style="2" customWidth="1"/>
    <col min="17" max="17" width="13.5703125" style="2" customWidth="1"/>
    <col min="18" max="18" width="24.5703125" style="2" customWidth="1"/>
    <col min="19" max="19" width="14.140625" style="2" customWidth="1"/>
    <col min="20" max="22" width="9.140625" style="2" customWidth="1"/>
    <col min="23" max="23" width="20.7109375" style="2" customWidth="1"/>
    <col min="24" max="24" width="16" style="2" customWidth="1"/>
    <col min="25" max="25" width="15.7109375" style="2" customWidth="1"/>
    <col min="26" max="36" width="9.140625" style="2" customWidth="1"/>
    <col min="37" max="39" width="8.42578125" style="2" customWidth="1"/>
    <col min="40" max="40" width="8.42578125" style="12" customWidth="1"/>
    <col min="41" max="41" width="8.42578125" style="2" customWidth="1"/>
    <col min="42" max="42" width="8.42578125" style="12" customWidth="1"/>
    <col min="43" max="43" width="8.42578125" style="2" customWidth="1"/>
    <col min="44" max="44" width="8.42578125" style="12" customWidth="1"/>
    <col min="45" max="45" width="8.42578125" style="2" customWidth="1"/>
    <col min="46" max="46" width="10.85546875" style="12" customWidth="1"/>
    <col min="47" max="47" width="10.85546875" style="2" customWidth="1"/>
    <col min="48" max="48" width="10.85546875" style="12" customWidth="1"/>
    <col min="49" max="49" width="10.85546875" style="2" customWidth="1"/>
    <col min="50" max="50" width="10.85546875" style="12" customWidth="1"/>
    <col min="51" max="51" width="10.85546875" style="2" customWidth="1"/>
    <col min="52" max="52" width="10.85546875" style="12" customWidth="1"/>
    <col min="53" max="53" width="10.85546875" style="2" customWidth="1"/>
    <col min="54" max="54" width="10.85546875" style="12" customWidth="1"/>
    <col min="55" max="55" width="10.85546875" style="2" customWidth="1"/>
    <col min="56" max="56" width="10.85546875" style="12" customWidth="1"/>
    <col min="57" max="57" width="10.85546875" style="664" customWidth="1"/>
    <col min="58" max="58" width="10.85546875" style="1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12.7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4*60*1000*SpeedFaktor</f>
        <v>240000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489</v>
      </c>
      <c r="AM1" s="2" t="s">
        <v>10</v>
      </c>
      <c r="AN1" s="24" t="s">
        <v>8</v>
      </c>
      <c r="AO1" s="2" t="s">
        <v>11</v>
      </c>
      <c r="AP1" s="24" t="s">
        <v>8</v>
      </c>
      <c r="AQ1" s="2" t="s">
        <v>12</v>
      </c>
      <c r="AR1" s="24" t="s">
        <v>8</v>
      </c>
      <c r="AS1" s="2" t="s">
        <v>13</v>
      </c>
      <c r="AT1" s="24" t="s">
        <v>8</v>
      </c>
      <c r="AU1" s="764" t="s">
        <v>65</v>
      </c>
      <c r="AV1" s="763" t="s">
        <v>8</v>
      </c>
      <c r="AW1" s="764" t="s">
        <v>15</v>
      </c>
      <c r="AX1" s="763" t="s">
        <v>8</v>
      </c>
      <c r="AY1" s="764" t="s">
        <v>17</v>
      </c>
      <c r="AZ1" s="763" t="s">
        <v>8</v>
      </c>
      <c r="BA1" s="764" t="s">
        <v>1285</v>
      </c>
      <c r="BB1" s="763" t="s">
        <v>8</v>
      </c>
      <c r="BC1" s="764" t="s">
        <v>1286</v>
      </c>
      <c r="BD1" s="763" t="s">
        <v>8</v>
      </c>
      <c r="BE1" s="769" t="s">
        <v>1303</v>
      </c>
      <c r="BF1" s="763" t="s">
        <v>8</v>
      </c>
      <c r="BG1" s="883" t="s">
        <v>1317</v>
      </c>
      <c r="BH1" s="884" t="s">
        <v>572</v>
      </c>
      <c r="BI1" s="1007" t="s">
        <v>1318</v>
      </c>
      <c r="BJ1" s="1008" t="s">
        <v>572</v>
      </c>
      <c r="BK1" s="1153" t="s">
        <v>1324</v>
      </c>
      <c r="BL1" s="1154" t="s">
        <v>572</v>
      </c>
      <c r="BM1" s="1356" t="s">
        <v>1341</v>
      </c>
      <c r="BN1" s="1357" t="s">
        <v>572</v>
      </c>
      <c r="BO1" s="1610" t="s">
        <v>1363</v>
      </c>
      <c r="BP1" s="1611" t="s">
        <v>572</v>
      </c>
      <c r="BQ1" s="1750" t="s">
        <v>1368</v>
      </c>
      <c r="BR1" s="1751" t="s">
        <v>572</v>
      </c>
      <c r="BS1" s="1891" t="s">
        <v>1372</v>
      </c>
      <c r="BT1" s="1892" t="s">
        <v>572</v>
      </c>
      <c r="BU1" s="2185" t="s">
        <v>1397</v>
      </c>
      <c r="BV1" s="2186" t="s">
        <v>572</v>
      </c>
      <c r="BW1" s="2364" t="s">
        <v>1421</v>
      </c>
      <c r="BX1" s="2365" t="s">
        <v>572</v>
      </c>
      <c r="BY1" s="2520" t="s">
        <v>1434</v>
      </c>
      <c r="BZ1" s="2521" t="s">
        <v>572</v>
      </c>
      <c r="CA1" s="2683" t="s">
        <v>1442</v>
      </c>
      <c r="CB1" s="2684" t="s">
        <v>572</v>
      </c>
      <c r="CC1" s="2872" t="s">
        <v>1460</v>
      </c>
      <c r="CD1" s="2873" t="s">
        <v>572</v>
      </c>
      <c r="CE1" s="3056" t="s">
        <v>1472</v>
      </c>
      <c r="CF1" s="3057" t="s">
        <v>572</v>
      </c>
      <c r="CG1" s="3240" t="s">
        <v>1492</v>
      </c>
      <c r="CH1" s="3241" t="s">
        <v>572</v>
      </c>
      <c r="CI1" s="3414" t="s">
        <v>1503</v>
      </c>
      <c r="CJ1" s="3415" t="s">
        <v>572</v>
      </c>
      <c r="CK1" s="3606" t="s">
        <v>1519</v>
      </c>
      <c r="CL1" s="3607" t="s">
        <v>572</v>
      </c>
      <c r="CM1" s="3902" t="s">
        <v>1666</v>
      </c>
      <c r="CN1" s="3903" t="s">
        <v>572</v>
      </c>
      <c r="CO1" s="4121" t="s">
        <v>1717</v>
      </c>
      <c r="CP1" s="4122" t="s">
        <v>572</v>
      </c>
    </row>
    <row r="2" spans="1:94" ht="14.25" customHeight="1">
      <c r="A2" s="119">
        <v>1</v>
      </c>
      <c r="B2" s="122" t="s">
        <v>21</v>
      </c>
      <c r="C2" s="590" t="str">
        <f>'001a'!B59</f>
        <v>{"url":p.aventisURL}</v>
      </c>
      <c r="AI2" s="3">
        <v>1899</v>
      </c>
      <c r="AJ2" s="3">
        <v>2119</v>
      </c>
      <c r="AK2" s="3">
        <v>2139</v>
      </c>
      <c r="AL2" s="3">
        <v>1565</v>
      </c>
      <c r="AM2" s="2">
        <v>1675</v>
      </c>
      <c r="AN2" s="156">
        <f>AM2/($AI2)</f>
        <v>0.88204318062137965</v>
      </c>
      <c r="AO2" s="2">
        <v>1532</v>
      </c>
      <c r="AP2" s="156">
        <f>AO2/($AI2)</f>
        <v>0.80674038967877826</v>
      </c>
      <c r="AQ2" s="2">
        <v>1427</v>
      </c>
      <c r="AR2" s="156">
        <f>AQ2/($AI2)</f>
        <v>0.75144813059505</v>
      </c>
      <c r="AS2" s="2">
        <v>1565</v>
      </c>
      <c r="AT2" s="156">
        <f>AS2/($AI2)</f>
        <v>0.82411795681937861</v>
      </c>
      <c r="AU2" s="2">
        <v>1398</v>
      </c>
      <c r="AV2" s="156">
        <f>AU2/($AI2)</f>
        <v>0.73617693522906791</v>
      </c>
      <c r="AW2" s="2">
        <v>1057</v>
      </c>
      <c r="AX2" s="156">
        <f>AW2/($AI2)</f>
        <v>0.55660874144286465</v>
      </c>
      <c r="AY2" s="2">
        <v>1307</v>
      </c>
      <c r="AZ2" s="156">
        <f>AY2/($AI2)</f>
        <v>0.68825697735650337</v>
      </c>
      <c r="BA2" s="2">
        <v>1234</v>
      </c>
      <c r="BB2" s="156">
        <f>BA2/($AI2)</f>
        <v>0.64981569246972093</v>
      </c>
      <c r="BC2" s="2">
        <v>555</v>
      </c>
      <c r="BD2" s="156">
        <f>BC2/($AI2)</f>
        <v>0.29225908372827802</v>
      </c>
      <c r="BE2" s="664">
        <v>1358</v>
      </c>
      <c r="BF2" s="156">
        <f>BE2/($AI2)</f>
        <v>0.7151132174828857</v>
      </c>
      <c r="BG2" s="2">
        <v>1292</v>
      </c>
      <c r="BI2" s="2">
        <v>1191</v>
      </c>
      <c r="BK2" s="2">
        <v>1251</v>
      </c>
      <c r="BM2" s="2">
        <v>1240</v>
      </c>
      <c r="BO2" s="2">
        <v>1196</v>
      </c>
      <c r="BQ2" s="2">
        <v>1125</v>
      </c>
      <c r="BS2" s="2">
        <v>1166</v>
      </c>
      <c r="BU2" s="2">
        <v>2090</v>
      </c>
      <c r="BW2" s="2">
        <v>1516</v>
      </c>
      <c r="BY2" s="2">
        <v>1555</v>
      </c>
      <c r="CA2" s="2">
        <v>1099</v>
      </c>
      <c r="CC2" s="2">
        <v>1199</v>
      </c>
      <c r="CE2" s="2">
        <v>1732</v>
      </c>
      <c r="CG2" s="2">
        <v>1707</v>
      </c>
      <c r="CI2" s="2">
        <v>1295</v>
      </c>
      <c r="CK2" s="2">
        <v>1144</v>
      </c>
      <c r="CM2" s="2">
        <v>834</v>
      </c>
      <c r="CO2" s="2">
        <v>416</v>
      </c>
      <c r="CP2" s="2" t="s">
        <v>1718</v>
      </c>
    </row>
    <row r="3" spans="1:94" ht="14.25" customHeight="1">
      <c r="A3" s="119">
        <v>2</v>
      </c>
      <c r="B3" s="122" t="s">
        <v>25</v>
      </c>
      <c r="C3" s="606" t="s">
        <v>633</v>
      </c>
      <c r="AI3" s="3">
        <v>7326</v>
      </c>
      <c r="AJ3" s="3">
        <v>6696</v>
      </c>
      <c r="AK3" s="3">
        <v>7464</v>
      </c>
      <c r="AL3" s="3">
        <v>10177</v>
      </c>
      <c r="AM3" s="2">
        <v>9767</v>
      </c>
      <c r="AN3" s="156">
        <f t="shared" ref="AN3:AP5" si="0">AM3/($AI3)</f>
        <v>1.3331968331968331</v>
      </c>
      <c r="AO3" s="2">
        <v>9789</v>
      </c>
      <c r="AP3" s="156">
        <f t="shared" si="0"/>
        <v>1.3361998361998362</v>
      </c>
      <c r="AQ3" s="2">
        <v>9947</v>
      </c>
      <c r="AR3" s="156">
        <f t="shared" ref="AR3:AR5" si="1">AQ3/($AI3)</f>
        <v>1.3577668577668578</v>
      </c>
      <c r="AS3" s="2">
        <v>9694</v>
      </c>
      <c r="AT3" s="156">
        <f t="shared" ref="AT3:BF5" si="2">AS3/($AI3)</f>
        <v>1.3232323232323233</v>
      </c>
      <c r="AU3" s="2">
        <v>12465</v>
      </c>
      <c r="AV3" s="156">
        <f t="shared" si="2"/>
        <v>1.7014742014742015</v>
      </c>
      <c r="AW3" s="2">
        <v>6967</v>
      </c>
      <c r="AX3" s="156">
        <f t="shared" si="2"/>
        <v>0.95099645099645103</v>
      </c>
      <c r="AY3" s="2">
        <v>8094</v>
      </c>
      <c r="AZ3" s="156">
        <f t="shared" si="2"/>
        <v>1.1048321048321048</v>
      </c>
      <c r="BA3" s="2">
        <v>7383</v>
      </c>
      <c r="BB3" s="156">
        <f t="shared" si="2"/>
        <v>1.0077805077805078</v>
      </c>
      <c r="BC3" s="2">
        <v>5104</v>
      </c>
      <c r="BD3" s="156">
        <f t="shared" si="2"/>
        <v>0.69669669669669665</v>
      </c>
      <c r="BE3" s="664">
        <v>7781</v>
      </c>
      <c r="BF3" s="156">
        <f t="shared" si="2"/>
        <v>1.0621075621075622</v>
      </c>
      <c r="BG3" s="2">
        <v>9150</v>
      </c>
      <c r="BI3" s="2">
        <v>6894</v>
      </c>
      <c r="BK3" s="2">
        <v>7515</v>
      </c>
      <c r="BM3" s="2">
        <v>6804</v>
      </c>
      <c r="BO3" s="2">
        <v>7093</v>
      </c>
      <c r="BQ3" s="2">
        <v>7419</v>
      </c>
      <c r="BS3" s="2">
        <v>7383</v>
      </c>
      <c r="BU3" s="2">
        <v>7835</v>
      </c>
      <c r="BW3" s="2">
        <v>6441</v>
      </c>
      <c r="BY3" s="2">
        <v>6620</v>
      </c>
      <c r="CA3" s="2">
        <v>6992</v>
      </c>
      <c r="CC3" s="2">
        <v>7959</v>
      </c>
      <c r="CE3" s="2">
        <v>8077</v>
      </c>
      <c r="CG3" s="2">
        <v>11438</v>
      </c>
      <c r="CI3" s="2">
        <v>8522</v>
      </c>
      <c r="CK3" s="2">
        <v>8483</v>
      </c>
      <c r="CM3" s="2">
        <v>7865</v>
      </c>
      <c r="CO3" s="2">
        <v>7029</v>
      </c>
      <c r="CP3" s="2" t="s">
        <v>1718</v>
      </c>
    </row>
    <row r="4" spans="1:94" s="10" customFormat="1" ht="15" customHeight="1" thickBot="1">
      <c r="A4" s="119"/>
      <c r="B4" s="122" t="s">
        <v>139</v>
      </c>
      <c r="C4" s="122" t="str">
        <f>G4&amp;H4&amp;I4&amp;J4</f>
        <v>{"searchDossierOrKlient":p.DossierName1,"resultType":"Dossiers"}</v>
      </c>
      <c r="D4" s="2"/>
      <c r="E4" s="209"/>
      <c r="F4" s="254"/>
      <c r="G4" s="2" t="s">
        <v>140</v>
      </c>
      <c r="H4" s="267" t="s">
        <v>449</v>
      </c>
      <c r="I4" s="2" t="s">
        <v>623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>
        <v>11199</v>
      </c>
      <c r="AJ4" s="3">
        <v>11853</v>
      </c>
      <c r="AK4" s="3">
        <v>11806</v>
      </c>
      <c r="AL4" s="3">
        <v>10907</v>
      </c>
      <c r="AM4" s="2">
        <v>10896</v>
      </c>
      <c r="AN4" s="156">
        <f t="shared" si="0"/>
        <v>0.97294401285829091</v>
      </c>
      <c r="AO4" s="2">
        <v>11035</v>
      </c>
      <c r="AP4" s="156">
        <f t="shared" si="0"/>
        <v>0.98535583534244131</v>
      </c>
      <c r="AQ4" s="2">
        <v>11019</v>
      </c>
      <c r="AR4" s="156">
        <f t="shared" si="1"/>
        <v>0.9839271363514599</v>
      </c>
      <c r="AS4" s="2">
        <v>10585</v>
      </c>
      <c r="AT4" s="156">
        <f t="shared" si="2"/>
        <v>0.94517367622109116</v>
      </c>
      <c r="AU4" s="2">
        <v>2955</v>
      </c>
      <c r="AV4" s="156">
        <f t="shared" si="2"/>
        <v>0.26386284489686579</v>
      </c>
      <c r="AW4" s="2">
        <v>2790</v>
      </c>
      <c r="AX4" s="156">
        <f t="shared" si="2"/>
        <v>0.24912938655237074</v>
      </c>
      <c r="AY4" s="2">
        <v>5041</v>
      </c>
      <c r="AZ4" s="156">
        <f t="shared" si="2"/>
        <v>0.45012947584605767</v>
      </c>
      <c r="BA4" s="2">
        <v>5299</v>
      </c>
      <c r="BB4" s="156">
        <f t="shared" si="2"/>
        <v>0.47316724707563174</v>
      </c>
      <c r="BC4" s="2">
        <v>4800</v>
      </c>
      <c r="BD4" s="156">
        <f t="shared" si="2"/>
        <v>0.42860969729440129</v>
      </c>
      <c r="BE4" s="768">
        <v>5264</v>
      </c>
      <c r="BF4" s="156">
        <f t="shared" si="2"/>
        <v>0.47004196803286008</v>
      </c>
      <c r="BG4" s="10">
        <v>5439</v>
      </c>
      <c r="BI4" s="10">
        <v>5192</v>
      </c>
      <c r="BK4" s="10">
        <v>5452</v>
      </c>
      <c r="BM4" s="10">
        <v>5461</v>
      </c>
      <c r="BO4" s="10">
        <v>2490</v>
      </c>
      <c r="BQ4" s="10">
        <v>2806</v>
      </c>
      <c r="BS4" s="10">
        <v>2895</v>
      </c>
      <c r="BU4" s="10">
        <v>5440</v>
      </c>
      <c r="BW4" s="10">
        <v>5306</v>
      </c>
      <c r="BY4" s="10">
        <v>4364</v>
      </c>
      <c r="CA4" s="10">
        <v>4990</v>
      </c>
      <c r="CC4" s="10">
        <v>5243</v>
      </c>
      <c r="CE4" s="10">
        <v>4613</v>
      </c>
      <c r="CG4" s="10">
        <v>5170</v>
      </c>
      <c r="CI4" s="10">
        <v>4815</v>
      </c>
      <c r="CK4" s="10">
        <v>4937</v>
      </c>
    </row>
    <row r="5" spans="1:94" s="304" customFormat="1" ht="38.25" customHeight="1" thickBot="1">
      <c r="A5" s="305">
        <v>5</v>
      </c>
      <c r="B5" s="3681" t="s">
        <v>1587</v>
      </c>
      <c r="C5" s="329" t="str">
        <f ca="1">E5</f>
        <v>{"dossier":p.DossierName1,"category":"Grundversorgende SIL","element":"KVG überhöhter Anteil","leistungsErbringer":"Zahnarzpraxis Zentrum","betragMonatlich":"400.00","geplantVon":"04.11.2025","geplantBis":"","klientOrUE":"","zahlEmpfaenger":"","zahlMethod":""}</v>
      </c>
      <c r="D5" s="289" t="s">
        <v>28</v>
      </c>
      <c r="E5" s="329" t="str">
        <f ca="1">F5&amp;G5&amp;H5&amp;I5&amp;J5&amp;K5&amp;L5&amp;M5&amp;N5&amp;O5&amp;P5&amp;Q5&amp;R5&amp;S5&amp;T5&amp;U5&amp;V5&amp;W5&amp;X5&amp;Y5&amp;Z5&amp;AA5</f>
        <v>{"dossier":p.DossierName1,"category":"Grundversorgende SIL","element":"KVG überhöhter Anteil","leistungsErbringer":"Zahnarzpraxis Zentrum","betragMonatlich":"400.00","geplantVon":"04.11.2025","geplantBis":"","klientOrUE":"","zahlEmpfaenger":"","zahlMethod":""}</v>
      </c>
      <c r="F5" s="3682" t="s">
        <v>159</v>
      </c>
      <c r="G5" s="331" t="s">
        <v>449</v>
      </c>
      <c r="H5" s="319" t="s">
        <v>1589</v>
      </c>
      <c r="I5" s="319" t="s">
        <v>1590</v>
      </c>
      <c r="J5" s="319" t="s">
        <v>1591</v>
      </c>
      <c r="K5" s="344" t="s">
        <v>1037</v>
      </c>
      <c r="L5" s="319" t="s">
        <v>1592</v>
      </c>
      <c r="M5" s="344" t="s">
        <v>1038</v>
      </c>
      <c r="N5" s="376" t="s">
        <v>1706</v>
      </c>
      <c r="O5" s="3958" t="s">
        <v>1707</v>
      </c>
      <c r="P5" s="376" t="s">
        <v>922</v>
      </c>
      <c r="Q5" s="3733" t="str">
        <f ca="1">TEXT(TODAY(),"DD")&amp;"."&amp;TEXT(TODAY(),"MM")&amp;"."&amp;TEXT(TODAY(),"YYYY")</f>
        <v>04.11.2025</v>
      </c>
      <c r="R5" s="376" t="s">
        <v>531</v>
      </c>
      <c r="S5" s="615"/>
      <c r="T5" s="376" t="s">
        <v>1715</v>
      </c>
      <c r="U5" s="289"/>
      <c r="V5" s="319"/>
      <c r="W5" s="376" t="s">
        <v>594</v>
      </c>
      <c r="X5" s="320"/>
      <c r="Y5" s="376" t="s">
        <v>1716</v>
      </c>
      <c r="AA5" s="321" t="s">
        <v>37</v>
      </c>
      <c r="AB5" s="289"/>
      <c r="AD5" s="289"/>
      <c r="AE5" s="289"/>
      <c r="AF5" s="289"/>
      <c r="AG5" s="289"/>
      <c r="AH5" s="289"/>
      <c r="AI5" s="289">
        <v>5173</v>
      </c>
      <c r="AJ5" s="313">
        <v>5967</v>
      </c>
      <c r="AK5" s="313">
        <v>5986</v>
      </c>
      <c r="AL5" s="313">
        <v>5956</v>
      </c>
      <c r="AM5" s="289">
        <v>5902</v>
      </c>
      <c r="AN5" s="290">
        <f t="shared" si="0"/>
        <v>1.1409240286100908</v>
      </c>
      <c r="AO5" s="289">
        <v>6196</v>
      </c>
      <c r="AP5" s="290">
        <f t="shared" si="0"/>
        <v>1.1977575874734196</v>
      </c>
      <c r="AQ5" s="289">
        <v>6258</v>
      </c>
      <c r="AR5" s="290">
        <f t="shared" si="1"/>
        <v>1.2097428958051422</v>
      </c>
      <c r="AS5" s="289">
        <v>5173</v>
      </c>
      <c r="AT5" s="290">
        <f t="shared" si="2"/>
        <v>1</v>
      </c>
      <c r="AU5" s="289">
        <v>8645</v>
      </c>
      <c r="AV5" s="290">
        <f t="shared" si="2"/>
        <v>1.6711772665764546</v>
      </c>
      <c r="AW5" s="291">
        <v>4786</v>
      </c>
      <c r="AX5" s="290">
        <f t="shared" si="2"/>
        <v>0.9251884786390876</v>
      </c>
      <c r="AY5" s="291">
        <v>2804</v>
      </c>
      <c r="AZ5" s="290">
        <f t="shared" si="2"/>
        <v>0.54204523487338097</v>
      </c>
      <c r="BA5" s="291">
        <v>2918</v>
      </c>
      <c r="BB5" s="290">
        <f t="shared" si="2"/>
        <v>0.56408273728977387</v>
      </c>
      <c r="BC5" s="291">
        <v>2518</v>
      </c>
      <c r="BD5" s="290">
        <f t="shared" si="2"/>
        <v>0.48675816740769379</v>
      </c>
      <c r="BE5" s="738">
        <v>3200</v>
      </c>
      <c r="BF5" s="290">
        <f t="shared" si="2"/>
        <v>0.61859655905664024</v>
      </c>
      <c r="BG5" s="304">
        <v>4467</v>
      </c>
      <c r="BI5" s="304">
        <v>3637</v>
      </c>
      <c r="BK5" s="304">
        <v>3307</v>
      </c>
      <c r="BM5" s="304">
        <v>2673</v>
      </c>
      <c r="BO5" s="304">
        <v>2942</v>
      </c>
      <c r="BQ5" s="304">
        <v>3462</v>
      </c>
      <c r="BS5" s="304">
        <v>2973</v>
      </c>
      <c r="BU5" s="2187">
        <v>0</v>
      </c>
      <c r="BV5" s="2188" t="s">
        <v>1416</v>
      </c>
      <c r="BW5" s="304">
        <v>3579</v>
      </c>
      <c r="BY5" s="304">
        <v>2906</v>
      </c>
      <c r="CA5" s="304">
        <v>4003</v>
      </c>
      <c r="CC5" s="304">
        <v>3351</v>
      </c>
      <c r="CE5" s="304">
        <v>2782</v>
      </c>
      <c r="CG5" s="304">
        <v>4822</v>
      </c>
      <c r="CI5" s="304">
        <v>3474</v>
      </c>
      <c r="CK5" s="3608">
        <v>0</v>
      </c>
      <c r="CL5" s="3609" t="s">
        <v>1543</v>
      </c>
      <c r="CM5" s="3904">
        <v>0</v>
      </c>
      <c r="CN5" s="3905" t="s">
        <v>1688</v>
      </c>
      <c r="CO5" s="304">
        <v>5952</v>
      </c>
      <c r="CP5" s="304" t="s">
        <v>1718</v>
      </c>
    </row>
    <row r="6" spans="1:94" ht="15" thickBot="1"/>
    <row r="7" spans="1:94" ht="15" thickBot="1">
      <c r="Q7" s="3733" t="str">
        <f ca="1">TEXT(TODAY(),"DD")&amp;"."&amp;TEXT(TODAY(),"MM")&amp;"."&amp;TEXT(TODAY(),"YYYY")</f>
        <v>04.11.2025</v>
      </c>
      <c r="S7" s="615" t="str">
        <f ca="1">"31.12."&amp;YEAR(TODAY())</f>
        <v>31.12.2025</v>
      </c>
    </row>
    <row r="8" spans="1:94" ht="14.25" customHeight="1" thickBot="1">
      <c r="G8" s="277" t="s">
        <v>1705</v>
      </c>
    </row>
    <row r="9" spans="1:94" ht="14.25" customHeight="1" thickBot="1">
      <c r="B9" s="3681" t="s">
        <v>1587</v>
      </c>
      <c r="C9" s="3682" t="s">
        <v>1588</v>
      </c>
      <c r="G9" s="3683"/>
    </row>
    <row r="10" spans="1:94" ht="14.25" customHeight="1" thickBot="1"/>
    <row r="11" spans="1:94" ht="14.25" customHeight="1" thickBot="1">
      <c r="B11" s="3959" t="s">
        <v>1708</v>
      </c>
      <c r="G11" s="331" t="s">
        <v>449</v>
      </c>
    </row>
    <row r="12" spans="1:94" ht="14.25" customHeight="1">
      <c r="B12" s="3959" t="s">
        <v>1709</v>
      </c>
    </row>
    <row r="13" spans="1:94" ht="14.25" customHeight="1">
      <c r="B13" s="3960" t="s">
        <v>1710</v>
      </c>
    </row>
    <row r="14" spans="1:94" ht="14.25" customHeight="1">
      <c r="B14" s="3959" t="s">
        <v>1711</v>
      </c>
    </row>
    <row r="15" spans="1:94" ht="14.25" customHeight="1">
      <c r="B15" s="3959" t="s">
        <v>1712</v>
      </c>
    </row>
    <row r="16" spans="1:94" ht="14.25" customHeight="1">
      <c r="B16" s="3960" t="s">
        <v>1713</v>
      </c>
    </row>
    <row r="17" spans="2:2" ht="14.25" customHeight="1">
      <c r="B17" s="3960" t="s">
        <v>1714</v>
      </c>
    </row>
  </sheetData>
  <conditionalFormatting sqref="AN2:AN146 AP2:AP146 AR2:AR146 AT2:AT146 AV2:AV146 AX2:AX146 AZ2:AZ146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FF00"/>
  </sheetPr>
  <dimension ref="A1:CP54"/>
  <sheetViews>
    <sheetView zoomScaleNormal="100" workbookViewId="0">
      <pane xSplit="2" ySplit="1" topLeftCell="AS2" activePane="bottomRight" state="frozen"/>
      <selection activeCell="B23" sqref="B23"/>
      <selection pane="topRight" activeCell="B23" sqref="B23"/>
      <selection pane="bottomLeft" activeCell="B23" sqref="B23"/>
      <selection pane="bottomRight" activeCell="BH54" sqref="BH49:BH54"/>
    </sheetView>
  </sheetViews>
  <sheetFormatPr defaultColWidth="9.140625" defaultRowHeight="14.25" customHeight="1"/>
  <cols>
    <col min="1" max="1" width="9.140625" style="1" customWidth="1"/>
    <col min="2" max="2" width="43" style="2" customWidth="1"/>
    <col min="3" max="3" width="184.85546875" style="2" customWidth="1"/>
    <col min="4" max="4" width="9.140625" style="2" customWidth="1"/>
    <col min="5" max="5" width="9.85546875" style="3" customWidth="1"/>
    <col min="6" max="6" width="18.85546875" style="2" customWidth="1"/>
    <col min="7" max="7" width="30" style="2" customWidth="1"/>
    <col min="8" max="8" width="50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22.5703125" style="2" customWidth="1"/>
    <col min="17" max="17" width="13.5703125" style="2" customWidth="1"/>
    <col min="18" max="18" width="24.5703125" style="2" customWidth="1"/>
    <col min="19" max="34" width="9.140625" style="2" customWidth="1"/>
    <col min="35" max="40" width="9.5703125" style="2" customWidth="1"/>
    <col min="41" max="41" width="9.5703125" style="12" customWidth="1"/>
    <col min="42" max="42" width="9.5703125" style="2" customWidth="1"/>
    <col min="43" max="43" width="9.5703125" style="12" customWidth="1"/>
    <col min="44" max="44" width="9.5703125" style="2" customWidth="1"/>
    <col min="45" max="45" width="9.5703125" style="12" customWidth="1"/>
    <col min="46" max="46" width="30" style="2" customWidth="1"/>
    <col min="47" max="47" width="9.5703125" style="363" customWidth="1"/>
    <col min="48" max="57" width="7" style="363" customWidth="1"/>
    <col min="58" max="58" width="9.140625" style="2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17.2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14*60*1000*SpeedFaktor</f>
        <v>840000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10</v>
      </c>
      <c r="AM1" s="2" t="s">
        <v>677</v>
      </c>
      <c r="AN1" s="2" t="s">
        <v>11</v>
      </c>
      <c r="AO1" s="24" t="s">
        <v>8</v>
      </c>
      <c r="AP1" s="2" t="s">
        <v>12</v>
      </c>
      <c r="AQ1" s="24" t="s">
        <v>8</v>
      </c>
      <c r="AR1" s="2" t="s">
        <v>13</v>
      </c>
      <c r="AS1" s="24" t="s">
        <v>8</v>
      </c>
      <c r="AT1" s="2" t="s">
        <v>65</v>
      </c>
      <c r="AU1" s="740" t="s">
        <v>8</v>
      </c>
      <c r="AV1" s="742" t="s">
        <v>15</v>
      </c>
      <c r="AW1" s="740" t="s">
        <v>8</v>
      </c>
      <c r="AX1" s="742" t="s">
        <v>17</v>
      </c>
      <c r="AY1" s="740" t="s">
        <v>8</v>
      </c>
      <c r="AZ1" s="739" t="s">
        <v>1285</v>
      </c>
      <c r="BA1" s="740" t="s">
        <v>8</v>
      </c>
      <c r="BB1" s="739" t="s">
        <v>1286</v>
      </c>
      <c r="BC1" s="740" t="s">
        <v>8</v>
      </c>
      <c r="BD1" s="770" t="s">
        <v>1303</v>
      </c>
      <c r="BE1" s="740" t="s">
        <v>8</v>
      </c>
      <c r="BG1" s="885" t="s">
        <v>1317</v>
      </c>
      <c r="BH1" s="886" t="s">
        <v>572</v>
      </c>
      <c r="BI1" s="1009" t="s">
        <v>1318</v>
      </c>
      <c r="BJ1" s="1010" t="s">
        <v>572</v>
      </c>
      <c r="BK1" s="1155" t="s">
        <v>1324</v>
      </c>
      <c r="BL1" s="1156" t="s">
        <v>572</v>
      </c>
      <c r="BM1" s="1358" t="s">
        <v>1341</v>
      </c>
      <c r="BN1" s="1359" t="s">
        <v>572</v>
      </c>
      <c r="BO1" s="1612" t="s">
        <v>1363</v>
      </c>
      <c r="BP1" s="1613" t="s">
        <v>572</v>
      </c>
      <c r="BQ1" s="1752" t="s">
        <v>1368</v>
      </c>
      <c r="BR1" s="1753" t="s">
        <v>572</v>
      </c>
      <c r="BS1" s="1893" t="s">
        <v>1372</v>
      </c>
      <c r="BT1" s="1894" t="s">
        <v>572</v>
      </c>
      <c r="BU1" s="2189" t="s">
        <v>1397</v>
      </c>
      <c r="BV1" s="2190" t="s">
        <v>572</v>
      </c>
      <c r="BW1" s="2366" t="s">
        <v>1421</v>
      </c>
      <c r="BX1" s="2367" t="s">
        <v>572</v>
      </c>
      <c r="BY1" s="2522" t="s">
        <v>1434</v>
      </c>
      <c r="BZ1" s="2523" t="s">
        <v>572</v>
      </c>
      <c r="CA1" s="2685" t="s">
        <v>1442</v>
      </c>
      <c r="CB1" s="2686" t="s">
        <v>572</v>
      </c>
      <c r="CC1" s="2874" t="s">
        <v>1460</v>
      </c>
      <c r="CD1" s="2875" t="s">
        <v>572</v>
      </c>
      <c r="CE1" s="3058" t="s">
        <v>1472</v>
      </c>
      <c r="CF1" s="3059" t="s">
        <v>572</v>
      </c>
      <c r="CG1" s="3242" t="s">
        <v>1492</v>
      </c>
      <c r="CH1" s="3243" t="s">
        <v>572</v>
      </c>
      <c r="CI1" s="3416" t="s">
        <v>1503</v>
      </c>
      <c r="CJ1" s="3417" t="s">
        <v>572</v>
      </c>
      <c r="CK1" s="3610" t="s">
        <v>1519</v>
      </c>
      <c r="CL1" s="3611" t="s">
        <v>572</v>
      </c>
      <c r="CM1" s="3906" t="s">
        <v>1666</v>
      </c>
      <c r="CN1" s="3907" t="s">
        <v>572</v>
      </c>
      <c r="CO1" s="4123" t="s">
        <v>1717</v>
      </c>
      <c r="CP1" s="4124" t="s">
        <v>572</v>
      </c>
    </row>
    <row r="2" spans="1:94" ht="14.25" customHeight="1">
      <c r="A2" s="119">
        <v>1</v>
      </c>
      <c r="B2" s="122" t="s">
        <v>21</v>
      </c>
      <c r="C2" s="590" t="str">
        <f>'001a'!B59</f>
        <v>{"url":p.aventisURL}</v>
      </c>
      <c r="AI2" s="2">
        <v>1942</v>
      </c>
      <c r="AJ2" s="2">
        <v>2013</v>
      </c>
      <c r="AK2" s="2">
        <v>1518</v>
      </c>
      <c r="AL2" s="2">
        <v>1467</v>
      </c>
      <c r="AN2" s="2">
        <v>1588</v>
      </c>
      <c r="AO2" s="156">
        <f>AN2/($AI2)</f>
        <v>0.81771369721936149</v>
      </c>
      <c r="AP2" s="2">
        <v>1519</v>
      </c>
      <c r="AQ2" s="156">
        <f>AP2/($AI2)</f>
        <v>0.78218331616889802</v>
      </c>
      <c r="AR2" s="2">
        <v>2214</v>
      </c>
      <c r="AS2" s="156">
        <f>AR2/($AI2)</f>
        <v>1.1400617919670444</v>
      </c>
      <c r="AT2" s="2">
        <v>1382</v>
      </c>
      <c r="AU2" s="733">
        <f>AT2/($AI2)</f>
        <v>0.71163748712667352</v>
      </c>
      <c r="AV2" s="363">
        <v>1617</v>
      </c>
      <c r="AW2" s="733">
        <f>AV2/($AI2)</f>
        <v>0.83264675592173021</v>
      </c>
      <c r="AX2" s="363">
        <v>1145</v>
      </c>
      <c r="AY2" s="733">
        <f>AX2/($AI2)</f>
        <v>0.5895983522142122</v>
      </c>
      <c r="AZ2" s="363">
        <v>1170</v>
      </c>
      <c r="BA2" s="733">
        <f>AZ2/($AI2)</f>
        <v>0.60247167868177132</v>
      </c>
      <c r="BB2" s="363">
        <v>561</v>
      </c>
      <c r="BC2" s="733">
        <f>BB2/($AI2)</f>
        <v>0.28887744593202885</v>
      </c>
      <c r="BD2" s="363">
        <v>1163</v>
      </c>
      <c r="BE2" s="733">
        <f>BD2/($AI2)</f>
        <v>0.59886714727085477</v>
      </c>
      <c r="BG2" s="2">
        <v>1349</v>
      </c>
      <c r="BI2" s="2">
        <v>1237</v>
      </c>
      <c r="BK2" s="2">
        <v>1170</v>
      </c>
      <c r="BM2" s="2">
        <v>1224</v>
      </c>
      <c r="BO2" s="2">
        <v>1171</v>
      </c>
      <c r="BQ2" s="2">
        <v>1165</v>
      </c>
      <c r="BS2" s="2">
        <v>1167</v>
      </c>
      <c r="BU2" s="2">
        <v>1166</v>
      </c>
      <c r="BW2" s="2">
        <v>1633</v>
      </c>
      <c r="BY2" s="2">
        <v>1314</v>
      </c>
      <c r="CA2" s="2">
        <v>1120</v>
      </c>
      <c r="CC2" s="2">
        <v>1061</v>
      </c>
      <c r="CE2" s="2">
        <v>1685</v>
      </c>
      <c r="CG2" s="2">
        <v>1817</v>
      </c>
      <c r="CI2" s="2">
        <v>1082</v>
      </c>
      <c r="CK2" s="2">
        <v>1211</v>
      </c>
      <c r="CM2" s="2">
        <v>927</v>
      </c>
      <c r="CO2" s="2">
        <v>369</v>
      </c>
      <c r="CP2" s="2" t="s">
        <v>1718</v>
      </c>
    </row>
    <row r="3" spans="1:94" ht="14.25" customHeight="1">
      <c r="A3" s="119">
        <v>2</v>
      </c>
      <c r="B3" s="591" t="s">
        <v>25</v>
      </c>
      <c r="C3" s="606" t="s">
        <v>633</v>
      </c>
      <c r="D3" s="2" t="s">
        <v>28</v>
      </c>
      <c r="AI3" s="2">
        <v>8218</v>
      </c>
      <c r="AJ3" s="2">
        <v>7041</v>
      </c>
      <c r="AK3" s="2">
        <v>6973</v>
      </c>
      <c r="AL3" s="2">
        <v>10188</v>
      </c>
      <c r="AN3" s="2">
        <v>10292</v>
      </c>
      <c r="AO3" s="156">
        <f t="shared" ref="AO3:AQ5" si="0">AN3/($AI3)</f>
        <v>1.2523728401070819</v>
      </c>
      <c r="AP3" s="2">
        <v>9887</v>
      </c>
      <c r="AQ3" s="156">
        <f t="shared" si="0"/>
        <v>1.2030907763446095</v>
      </c>
      <c r="AR3" s="2">
        <v>9789</v>
      </c>
      <c r="AS3" s="156">
        <f t="shared" ref="AS3:BC5" si="1">AR3/($AI3)</f>
        <v>1.1911657337551715</v>
      </c>
      <c r="AT3" s="2">
        <v>10295</v>
      </c>
      <c r="AU3" s="733">
        <f t="shared" si="1"/>
        <v>1.2527378924312484</v>
      </c>
      <c r="AV3" s="363">
        <v>9413</v>
      </c>
      <c r="AW3" s="733">
        <f t="shared" si="1"/>
        <v>1.1454125091263081</v>
      </c>
      <c r="AX3" s="363">
        <v>8734</v>
      </c>
      <c r="AY3" s="733">
        <f t="shared" si="1"/>
        <v>1.0627889997566318</v>
      </c>
      <c r="AZ3" s="363">
        <v>9621</v>
      </c>
      <c r="BA3" s="733">
        <f t="shared" si="1"/>
        <v>1.1707228036018495</v>
      </c>
      <c r="BB3" s="363">
        <v>5416</v>
      </c>
      <c r="BC3" s="733">
        <f t="shared" si="1"/>
        <v>0.65904112922852276</v>
      </c>
      <c r="BD3" s="363">
        <v>7159</v>
      </c>
      <c r="BE3" s="733">
        <f t="shared" ref="BE3:BE5" si="2">BD3/($AI3)</f>
        <v>0.87113652956923826</v>
      </c>
      <c r="BG3" s="2">
        <v>9844</v>
      </c>
      <c r="BI3" s="2">
        <v>7766</v>
      </c>
      <c r="BK3" s="2">
        <v>7565</v>
      </c>
      <c r="BM3" s="2">
        <v>7131</v>
      </c>
      <c r="BO3" s="2">
        <v>7365</v>
      </c>
      <c r="BQ3" s="2">
        <v>7452</v>
      </c>
      <c r="BS3" s="2">
        <v>8267</v>
      </c>
      <c r="BU3" s="2">
        <v>8149</v>
      </c>
      <c r="BW3" s="2">
        <v>6613</v>
      </c>
      <c r="BY3" s="2">
        <v>7162</v>
      </c>
      <c r="CA3" s="2">
        <v>7280</v>
      </c>
      <c r="CC3" s="2">
        <v>10336</v>
      </c>
      <c r="CE3" s="2">
        <v>8108</v>
      </c>
      <c r="CG3" s="2">
        <v>12062</v>
      </c>
      <c r="CI3" s="2">
        <v>8970</v>
      </c>
      <c r="CK3" s="2">
        <v>8827</v>
      </c>
      <c r="CM3" s="2">
        <v>7571</v>
      </c>
      <c r="CO3" s="2">
        <v>6400</v>
      </c>
      <c r="CP3" s="2" t="s">
        <v>1718</v>
      </c>
    </row>
    <row r="4" spans="1:94" s="15" customFormat="1" ht="15.75" customHeight="1" thickBot="1">
      <c r="A4" s="119">
        <v>4</v>
      </c>
      <c r="B4" s="590" t="s">
        <v>139</v>
      </c>
      <c r="C4" s="122" t="str">
        <f>G4&amp;H4&amp;I4&amp;J4</f>
        <v>{"searchDossierOrKlient":p.DossierName2,"resultType":"Dossiers"}</v>
      </c>
      <c r="D4" s="2" t="s">
        <v>28</v>
      </c>
      <c r="E4" s="2"/>
      <c r="F4" s="2"/>
      <c r="G4" s="276" t="s">
        <v>140</v>
      </c>
      <c r="H4" s="277" t="s">
        <v>513</v>
      </c>
      <c r="I4" s="276" t="s">
        <v>623</v>
      </c>
      <c r="J4" s="2"/>
      <c r="K4" s="276"/>
      <c r="L4" s="2"/>
      <c r="M4" s="276"/>
      <c r="N4" s="2"/>
      <c r="O4" s="276"/>
      <c r="P4" s="2"/>
      <c r="Q4" s="276"/>
      <c r="R4" s="2"/>
      <c r="S4" s="276"/>
      <c r="T4" s="2"/>
      <c r="U4" s="278"/>
      <c r="V4" s="2"/>
      <c r="W4" s="278"/>
      <c r="X4" s="2"/>
      <c r="Y4" s="278"/>
      <c r="Z4" s="2"/>
      <c r="AA4" s="2"/>
      <c r="AB4" s="2"/>
      <c r="AC4" s="2"/>
      <c r="AD4" s="2"/>
      <c r="AE4" s="2"/>
      <c r="AF4" s="2"/>
      <c r="AG4" s="2"/>
      <c r="AH4" s="2"/>
      <c r="AI4" s="2">
        <v>11684</v>
      </c>
      <c r="AJ4" s="2">
        <v>12080</v>
      </c>
      <c r="AK4" s="2">
        <v>12101</v>
      </c>
      <c r="AL4" s="2">
        <v>10981</v>
      </c>
      <c r="AM4" s="2"/>
      <c r="AN4" s="2">
        <v>11156</v>
      </c>
      <c r="AO4" s="156">
        <f t="shared" si="0"/>
        <v>0.95480999657651489</v>
      </c>
      <c r="AP4" s="2">
        <v>11197</v>
      </c>
      <c r="AQ4" s="156">
        <f t="shared" si="0"/>
        <v>0.95831906881205065</v>
      </c>
      <c r="AR4" s="2">
        <v>10836</v>
      </c>
      <c r="AS4" s="156">
        <f t="shared" si="1"/>
        <v>0.92742211571379662</v>
      </c>
      <c r="AT4" s="2">
        <v>4632</v>
      </c>
      <c r="AU4" s="733">
        <f t="shared" si="1"/>
        <v>0.39643957548784664</v>
      </c>
      <c r="AV4" s="363">
        <v>3069</v>
      </c>
      <c r="AW4" s="733">
        <f t="shared" si="1"/>
        <v>0.26266689489900719</v>
      </c>
      <c r="AX4" s="363">
        <v>5346</v>
      </c>
      <c r="AY4" s="733">
        <f t="shared" si="1"/>
        <v>0.4575487846627867</v>
      </c>
      <c r="AZ4" s="363">
        <v>5372</v>
      </c>
      <c r="BA4" s="733">
        <f t="shared" si="1"/>
        <v>0.45977404998288257</v>
      </c>
      <c r="BB4" s="363">
        <v>5681</v>
      </c>
      <c r="BC4" s="733">
        <f t="shared" si="1"/>
        <v>0.48622047244094491</v>
      </c>
      <c r="BD4" s="768">
        <v>5417</v>
      </c>
      <c r="BE4" s="733">
        <f t="shared" si="2"/>
        <v>0.46362547072920235</v>
      </c>
      <c r="BG4" s="15">
        <v>6803</v>
      </c>
      <c r="BI4" s="15">
        <v>5445</v>
      </c>
      <c r="BK4" s="15">
        <v>5808</v>
      </c>
      <c r="BM4" s="15">
        <v>5787</v>
      </c>
      <c r="BO4" s="15">
        <v>2914</v>
      </c>
      <c r="BQ4" s="15">
        <v>3251</v>
      </c>
      <c r="BS4" s="15">
        <v>3784</v>
      </c>
      <c r="BU4" s="15">
        <v>3810</v>
      </c>
      <c r="BW4" s="15">
        <v>3519</v>
      </c>
      <c r="BY4" s="15">
        <v>4435</v>
      </c>
      <c r="CA4" s="15">
        <v>4861</v>
      </c>
      <c r="CC4" s="15">
        <v>4841</v>
      </c>
      <c r="CE4" s="15">
        <v>5135</v>
      </c>
      <c r="CG4" s="15">
        <v>6531</v>
      </c>
      <c r="CI4" s="15">
        <v>5156</v>
      </c>
      <c r="CK4" s="15">
        <v>4968</v>
      </c>
      <c r="CM4" s="15">
        <v>4987</v>
      </c>
      <c r="CO4" s="15">
        <v>4800</v>
      </c>
      <c r="CP4" s="15" t="s">
        <v>1718</v>
      </c>
    </row>
    <row r="5" spans="1:94" s="10" customFormat="1" ht="36.75" customHeight="1" thickBot="1">
      <c r="A5" s="21">
        <v>5</v>
      </c>
      <c r="B5" s="248" t="s">
        <v>448</v>
      </c>
      <c r="C5" s="187" t="str">
        <f>D5</f>
        <v>{"dossier":p.DossierName2,"name":"Moser","vorname":"Luici","rolle":"Clown","zusatz":"","strasse":"Strassenweg","hausNummer":"12","Ort":"4566 Halten"}</v>
      </c>
      <c r="D5" s="187" t="str">
        <f>E5&amp;F5&amp;G5&amp;H5&amp;I5&amp;J5&amp;K5&amp;L5&amp;M5&amp;N5&amp;O5&amp;P5&amp;Q5&amp;R5&amp;S5&amp;T5&amp;U5&amp;V5&amp;W5</f>
        <v>{"dossier":p.DossierName2,"name":"Moser","vorname":"Luici","rolle":"Clown","zusatz":"","strasse":"Strassenweg","hausNummer":"12","Ort":"4566 Halten"}</v>
      </c>
      <c r="E5" s="412" t="s">
        <v>159</v>
      </c>
      <c r="F5" s="255" t="s">
        <v>513</v>
      </c>
      <c r="G5" s="323" t="s">
        <v>450</v>
      </c>
      <c r="H5" s="323" t="s">
        <v>451</v>
      </c>
      <c r="I5" s="323" t="s">
        <v>452</v>
      </c>
      <c r="J5" s="24" t="s">
        <v>453</v>
      </c>
      <c r="K5" s="323" t="s">
        <v>454</v>
      </c>
      <c r="L5" s="24" t="s">
        <v>455</v>
      </c>
      <c r="M5" s="323" t="s">
        <v>456</v>
      </c>
      <c r="N5" s="324"/>
      <c r="O5" s="325" t="s">
        <v>101</v>
      </c>
      <c r="P5" s="24" t="s">
        <v>457</v>
      </c>
      <c r="Q5" s="323" t="s">
        <v>458</v>
      </c>
      <c r="R5" s="24">
        <v>12</v>
      </c>
      <c r="S5" s="323" t="s">
        <v>459</v>
      </c>
      <c r="T5" s="24" t="s">
        <v>460</v>
      </c>
      <c r="U5" s="324" t="s">
        <v>37</v>
      </c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>
        <v>10041</v>
      </c>
      <c r="AJ5" s="24">
        <v>10138</v>
      </c>
      <c r="AK5" s="24">
        <v>10194</v>
      </c>
      <c r="AL5" s="24">
        <v>13531</v>
      </c>
      <c r="AM5" s="24"/>
      <c r="AN5" s="24">
        <v>13350</v>
      </c>
      <c r="AO5" s="156">
        <f t="shared" si="0"/>
        <v>1.3295488497161638</v>
      </c>
      <c r="AP5" s="24">
        <v>13310</v>
      </c>
      <c r="AQ5" s="156">
        <f t="shared" si="0"/>
        <v>1.325565182750722</v>
      </c>
      <c r="AR5" s="24">
        <v>13325</v>
      </c>
      <c r="AS5" s="156">
        <f t="shared" si="1"/>
        <v>1.3270590578627626</v>
      </c>
      <c r="AT5" s="24">
        <v>14135</v>
      </c>
      <c r="AU5" s="733">
        <f t="shared" si="1"/>
        <v>1.4077283139129568</v>
      </c>
      <c r="AV5" s="363">
        <v>11949</v>
      </c>
      <c r="AW5" s="733">
        <f t="shared" si="1"/>
        <v>1.1900209142515685</v>
      </c>
      <c r="AX5" s="363">
        <v>6263</v>
      </c>
      <c r="AY5" s="733">
        <f t="shared" si="1"/>
        <v>0.62374265511403248</v>
      </c>
      <c r="AZ5" s="363">
        <v>6241</v>
      </c>
      <c r="BA5" s="733">
        <f t="shared" si="1"/>
        <v>0.6215516382830395</v>
      </c>
      <c r="BB5" s="363">
        <v>6591</v>
      </c>
      <c r="BC5" s="733">
        <f t="shared" si="1"/>
        <v>0.65640872423065433</v>
      </c>
      <c r="BD5" s="768">
        <v>7300</v>
      </c>
      <c r="BE5" s="733">
        <f t="shared" si="2"/>
        <v>0.72701922119310824</v>
      </c>
      <c r="BG5" s="10">
        <v>7424</v>
      </c>
      <c r="BI5" s="10">
        <v>6664</v>
      </c>
      <c r="BK5" s="10">
        <v>6685</v>
      </c>
      <c r="BM5" s="10">
        <v>6847</v>
      </c>
      <c r="BO5" s="10">
        <v>6277</v>
      </c>
      <c r="BQ5" s="10">
        <v>6453</v>
      </c>
      <c r="BS5" s="10">
        <v>6273</v>
      </c>
      <c r="BU5" s="10">
        <v>18307</v>
      </c>
      <c r="BW5" s="10">
        <v>8133</v>
      </c>
      <c r="BY5" s="10">
        <v>8976</v>
      </c>
      <c r="CA5" s="10">
        <v>8343</v>
      </c>
      <c r="CC5" s="10">
        <v>9765</v>
      </c>
      <c r="CE5" s="10">
        <v>6603</v>
      </c>
      <c r="CG5" s="10">
        <v>10002</v>
      </c>
      <c r="CI5" s="10">
        <v>7434</v>
      </c>
      <c r="CK5" s="10">
        <v>7597</v>
      </c>
      <c r="CM5" s="3908">
        <v>0</v>
      </c>
      <c r="CN5" s="3909" t="s">
        <v>1689</v>
      </c>
      <c r="CO5" s="4125">
        <v>0</v>
      </c>
      <c r="CP5" s="4126" t="s">
        <v>1739</v>
      </c>
    </row>
    <row r="49" spans="60:60" ht="14.25" customHeight="1">
      <c r="BH49" s="4192"/>
    </row>
    <row r="50" spans="60:60" ht="14.25" customHeight="1">
      <c r="BH50" s="4192"/>
    </row>
    <row r="51" spans="60:60" ht="14.25" customHeight="1">
      <c r="BH51" s="4192"/>
    </row>
    <row r="52" spans="60:60" ht="14.25" customHeight="1">
      <c r="BH52" s="4192"/>
    </row>
    <row r="53" spans="60:60" ht="14.25" customHeight="1">
      <c r="BH53" s="4192"/>
    </row>
    <row r="54" spans="60:60" ht="14.25" customHeight="1">
      <c r="BH54" s="4192" t="s">
        <v>1749</v>
      </c>
    </row>
  </sheetData>
  <conditionalFormatting sqref="AO2:AO146 AQ2:AQ146 AS2:AS146 AU2:AU146 AW2:AW146 AY2:AY146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FF00"/>
  </sheetPr>
  <dimension ref="A1:CP5"/>
  <sheetViews>
    <sheetView zoomScaleNormal="100" workbookViewId="0">
      <pane xSplit="2" ySplit="1" topLeftCell="G2" activePane="bottomRight" state="frozen"/>
      <selection activeCell="Q50" sqref="Q50"/>
      <selection pane="topRight" activeCell="Q50" sqref="Q50"/>
      <selection pane="bottomLeft" activeCell="Q50" sqref="Q50"/>
      <selection pane="bottomRight" activeCell="Q50" sqref="Q50"/>
    </sheetView>
  </sheetViews>
  <sheetFormatPr defaultColWidth="9.140625" defaultRowHeight="14.25" customHeight="1"/>
  <cols>
    <col min="1" max="1" width="4.85546875" style="1" customWidth="1"/>
    <col min="2" max="2" width="44.140625" style="2" customWidth="1"/>
    <col min="3" max="3" width="162.4257812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9.85546875" style="2" customWidth="1"/>
    <col min="10" max="10" width="10.85546875" style="2" customWidth="1"/>
    <col min="11" max="11" width="18.140625" style="2" customWidth="1"/>
    <col min="12" max="12" width="9.140625" style="2" customWidth="1"/>
    <col min="13" max="13" width="10.7109375" style="2" customWidth="1"/>
    <col min="14" max="14" width="9.140625" style="2" customWidth="1"/>
    <col min="15" max="15" width="22.5703125" style="2" customWidth="1"/>
    <col min="16" max="16" width="13.5703125" style="2" customWidth="1"/>
    <col min="17" max="17" width="24.5703125" style="2" customWidth="1"/>
    <col min="18" max="34" width="9.140625" style="2" customWidth="1"/>
    <col min="35" max="35" width="9.7109375" style="2" customWidth="1"/>
    <col min="36" max="38" width="9.140625" style="2" customWidth="1"/>
    <col min="39" max="39" width="9.5703125" style="12" customWidth="1"/>
    <col min="40" max="40" width="9.140625" style="2" customWidth="1"/>
    <col min="41" max="41" width="9.5703125" style="12" customWidth="1"/>
    <col min="42" max="42" width="9.140625" style="2" customWidth="1"/>
    <col min="43" max="43" width="9.140625" style="12" customWidth="1"/>
    <col min="44" max="44" width="9.140625" style="2" customWidth="1"/>
    <col min="45" max="45" width="8" style="12" customWidth="1"/>
    <col min="46" max="46" width="8" style="2" customWidth="1"/>
    <col min="47" max="47" width="8" style="12" customWidth="1"/>
    <col min="48" max="48" width="8" style="2" customWidth="1"/>
    <col min="49" max="49" width="8" style="12" customWidth="1"/>
    <col min="50" max="50" width="8" style="2" customWidth="1"/>
    <col min="51" max="51" width="8" style="12" customWidth="1"/>
    <col min="52" max="52" width="8" style="2" customWidth="1"/>
    <col min="53" max="53" width="8" style="12" customWidth="1"/>
    <col min="54" max="54" width="8" style="2" customWidth="1"/>
    <col min="55" max="55" width="8" style="12" customWidth="1"/>
    <col min="56" max="56" width="20" style="2" customWidth="1"/>
    <col min="57" max="57" width="8" style="12" customWidth="1"/>
    <col min="58" max="58" width="9.140625" style="2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16.5" customHeight="1">
      <c r="A1" s="39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14*60*1000*SpeedFaktor</f>
        <v>840000</v>
      </c>
      <c r="H1" s="2">
        <v>10</v>
      </c>
      <c r="AH1" s="764" t="s">
        <v>5</v>
      </c>
      <c r="AI1" s="764" t="s">
        <v>657</v>
      </c>
      <c r="AJ1" s="764" t="s">
        <v>676</v>
      </c>
      <c r="AK1" s="764" t="s">
        <v>658</v>
      </c>
      <c r="AL1" s="764" t="s">
        <v>10</v>
      </c>
      <c r="AM1" s="763" t="s">
        <v>8</v>
      </c>
      <c r="AN1" s="764" t="s">
        <v>11</v>
      </c>
      <c r="AO1" s="763" t="s">
        <v>8</v>
      </c>
      <c r="AP1" s="764" t="s">
        <v>12</v>
      </c>
      <c r="AQ1" s="763" t="s">
        <v>8</v>
      </c>
      <c r="AR1" s="764" t="s">
        <v>13</v>
      </c>
      <c r="AS1" s="763" t="s">
        <v>8</v>
      </c>
      <c r="AT1" s="720" t="s">
        <v>65</v>
      </c>
      <c r="AU1" s="763" t="s">
        <v>8</v>
      </c>
      <c r="AV1" s="764" t="s">
        <v>15</v>
      </c>
      <c r="AW1" s="763" t="s">
        <v>8</v>
      </c>
      <c r="AX1" s="764" t="s">
        <v>17</v>
      </c>
      <c r="AY1" s="763" t="s">
        <v>8</v>
      </c>
      <c r="AZ1" s="764" t="s">
        <v>1285</v>
      </c>
      <c r="BA1" s="763" t="s">
        <v>8</v>
      </c>
      <c r="BB1" s="764" t="s">
        <v>1286</v>
      </c>
      <c r="BC1" s="763" t="s">
        <v>8</v>
      </c>
      <c r="BD1" s="771" t="s">
        <v>1303</v>
      </c>
      <c r="BE1" s="763" t="s">
        <v>8</v>
      </c>
      <c r="BG1" s="887" t="s">
        <v>1317</v>
      </c>
      <c r="BH1" s="888" t="s">
        <v>572</v>
      </c>
      <c r="BI1" s="1011" t="s">
        <v>1318</v>
      </c>
      <c r="BJ1" s="1012" t="s">
        <v>572</v>
      </c>
      <c r="BK1" s="1157" t="s">
        <v>1324</v>
      </c>
      <c r="BL1" s="1158" t="s">
        <v>572</v>
      </c>
      <c r="BM1" s="1360" t="s">
        <v>1341</v>
      </c>
      <c r="BN1" s="1361" t="s">
        <v>572</v>
      </c>
      <c r="BO1" s="1614" t="s">
        <v>1363</v>
      </c>
      <c r="BP1" s="1615" t="s">
        <v>572</v>
      </c>
      <c r="BQ1" s="1754" t="s">
        <v>1368</v>
      </c>
      <c r="BR1" s="1755" t="s">
        <v>572</v>
      </c>
      <c r="BS1" s="1895" t="s">
        <v>1372</v>
      </c>
      <c r="BT1" s="1896" t="s">
        <v>572</v>
      </c>
      <c r="BU1" s="2191" t="s">
        <v>1397</v>
      </c>
      <c r="BV1" s="2192" t="s">
        <v>572</v>
      </c>
      <c r="BW1" s="2368" t="s">
        <v>1421</v>
      </c>
      <c r="BX1" s="2369" t="s">
        <v>572</v>
      </c>
      <c r="BY1" s="2524" t="s">
        <v>1434</v>
      </c>
      <c r="BZ1" s="2525" t="s">
        <v>572</v>
      </c>
      <c r="CA1" s="2687" t="s">
        <v>1442</v>
      </c>
      <c r="CB1" s="2688" t="s">
        <v>572</v>
      </c>
      <c r="CC1" s="2876" t="s">
        <v>1460</v>
      </c>
      <c r="CD1" s="2877" t="s">
        <v>572</v>
      </c>
      <c r="CE1" s="3060" t="s">
        <v>1472</v>
      </c>
      <c r="CF1" s="3061" t="s">
        <v>572</v>
      </c>
      <c r="CG1" s="3244" t="s">
        <v>1492</v>
      </c>
      <c r="CH1" s="3245" t="s">
        <v>572</v>
      </c>
      <c r="CI1" s="3418" t="s">
        <v>1503</v>
      </c>
      <c r="CJ1" s="3419" t="s">
        <v>572</v>
      </c>
      <c r="CK1" s="3612" t="s">
        <v>1519</v>
      </c>
      <c r="CL1" s="3613" t="s">
        <v>572</v>
      </c>
      <c r="CM1" s="3910" t="s">
        <v>1666</v>
      </c>
      <c r="CN1" s="3911" t="s">
        <v>572</v>
      </c>
      <c r="CO1" s="4127" t="s">
        <v>1717</v>
      </c>
      <c r="CP1" s="4128" t="s">
        <v>572</v>
      </c>
    </row>
    <row r="2" spans="1:94" s="10" customFormat="1" ht="14.25" customHeight="1">
      <c r="A2" s="678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>
        <v>1735</v>
      </c>
      <c r="AJ2" s="3">
        <v>1433</v>
      </c>
      <c r="AK2" s="3">
        <v>2110</v>
      </c>
      <c r="AL2" s="2">
        <v>1582</v>
      </c>
      <c r="AM2" s="156">
        <f>AL2/($AI2)</f>
        <v>0.91181556195965419</v>
      </c>
      <c r="AN2" s="2">
        <v>1483</v>
      </c>
      <c r="AO2" s="156">
        <f>AN2/($AI2)</f>
        <v>0.85475504322766571</v>
      </c>
      <c r="AP2" s="2">
        <v>1958</v>
      </c>
      <c r="AQ2" s="156">
        <f>AP2/($AI2)</f>
        <v>1.1285302593659943</v>
      </c>
      <c r="AR2" s="2">
        <v>1602</v>
      </c>
      <c r="AS2" s="156">
        <f>AR2/($AI2)</f>
        <v>0.923342939481268</v>
      </c>
      <c r="AT2" s="2">
        <v>1254</v>
      </c>
      <c r="AU2" s="156">
        <f>AT2/($AI2)</f>
        <v>0.72276657060518734</v>
      </c>
      <c r="AV2" s="2">
        <v>1386</v>
      </c>
      <c r="AW2" s="156">
        <f>AV2/($AI2)</f>
        <v>0.79884726224783864</v>
      </c>
      <c r="AX2" s="2">
        <v>1374</v>
      </c>
      <c r="AY2" s="156">
        <f>AX2/($AI2)</f>
        <v>0.79193083573487033</v>
      </c>
      <c r="AZ2" s="2">
        <v>1087</v>
      </c>
      <c r="BA2" s="156">
        <f>AZ2/($AI2)</f>
        <v>0.62651296829971181</v>
      </c>
      <c r="BB2" s="2">
        <v>547</v>
      </c>
      <c r="BC2" s="156">
        <f>BB2/($AI2)</f>
        <v>0.31527377521613831</v>
      </c>
      <c r="BD2" s="10">
        <v>1144</v>
      </c>
      <c r="BE2" s="156">
        <f>BD2/($AI2)</f>
        <v>0.65936599423631126</v>
      </c>
      <c r="BG2" s="10">
        <v>1238</v>
      </c>
      <c r="BI2" s="10">
        <v>1240</v>
      </c>
      <c r="BK2" s="10">
        <v>1254</v>
      </c>
      <c r="BM2" s="10">
        <v>1143</v>
      </c>
      <c r="BO2" s="10">
        <v>1223</v>
      </c>
      <c r="BQ2" s="10">
        <v>1185</v>
      </c>
      <c r="BS2" s="10">
        <v>1287</v>
      </c>
      <c r="BU2" s="10">
        <v>1750</v>
      </c>
      <c r="BW2" s="10">
        <v>1655</v>
      </c>
      <c r="BY2" s="10">
        <v>1506</v>
      </c>
      <c r="CA2" s="10">
        <v>1099</v>
      </c>
      <c r="CC2" s="10">
        <v>1080</v>
      </c>
      <c r="CE2" s="10">
        <v>1490</v>
      </c>
      <c r="CG2" s="10">
        <v>1567</v>
      </c>
      <c r="CI2" s="10">
        <v>1067</v>
      </c>
      <c r="CK2" s="10">
        <v>1235</v>
      </c>
      <c r="CM2" s="10">
        <v>952</v>
      </c>
      <c r="CO2" s="10">
        <v>372</v>
      </c>
      <c r="CP2" s="10" t="s">
        <v>1718</v>
      </c>
    </row>
    <row r="3" spans="1:94" s="10" customFormat="1" ht="14.25" customHeight="1" thickBot="1">
      <c r="A3" s="678">
        <v>2</v>
      </c>
      <c r="B3" s="122" t="s">
        <v>25</v>
      </c>
      <c r="C3" s="120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>
        <v>6586</v>
      </c>
      <c r="AJ3" s="3">
        <v>6715</v>
      </c>
      <c r="AK3" s="3">
        <v>6874</v>
      </c>
      <c r="AL3" s="2">
        <v>9162</v>
      </c>
      <c r="AM3" s="156">
        <f t="shared" ref="AM3:AM4" si="0">AL3/($AI3)</f>
        <v>1.3911327057394474</v>
      </c>
      <c r="AN3" s="2">
        <v>9465</v>
      </c>
      <c r="AO3" s="156">
        <f t="shared" ref="AO3:AO4" si="1">AN3/($AI3)</f>
        <v>1.4371393865775888</v>
      </c>
      <c r="AP3" s="2">
        <v>9325</v>
      </c>
      <c r="AQ3" s="156">
        <f t="shared" ref="AQ3:AQ4" si="2">AP3/($AI3)</f>
        <v>1.4158821743091405</v>
      </c>
      <c r="AR3" s="2">
        <v>9504</v>
      </c>
      <c r="AS3" s="156">
        <f t="shared" ref="AS3:BE4" si="3">AR3/($AI3)</f>
        <v>1.4430610385666565</v>
      </c>
      <c r="AT3" s="2">
        <v>9866</v>
      </c>
      <c r="AU3" s="156">
        <f t="shared" si="3"/>
        <v>1.4980261160036441</v>
      </c>
      <c r="AV3" s="2">
        <v>6860</v>
      </c>
      <c r="AW3" s="156">
        <f t="shared" si="3"/>
        <v>1.041603401153963</v>
      </c>
      <c r="AX3" s="2">
        <v>7674</v>
      </c>
      <c r="AY3" s="156">
        <f t="shared" si="3"/>
        <v>1.1651989067719404</v>
      </c>
      <c r="AZ3" s="2">
        <v>7234</v>
      </c>
      <c r="BA3" s="156">
        <f t="shared" si="3"/>
        <v>1.0983905253568176</v>
      </c>
      <c r="BB3" s="2">
        <v>5556</v>
      </c>
      <c r="BC3" s="156">
        <f t="shared" si="3"/>
        <v>0.84360765259641668</v>
      </c>
      <c r="BD3" s="10">
        <v>7291</v>
      </c>
      <c r="BE3" s="156">
        <f t="shared" si="3"/>
        <v>1.1070452474946857</v>
      </c>
      <c r="BG3" s="10">
        <v>9163</v>
      </c>
      <c r="BI3" s="10">
        <v>7267</v>
      </c>
      <c r="BK3" s="10">
        <v>7964</v>
      </c>
      <c r="BM3" s="10">
        <v>7146</v>
      </c>
      <c r="BO3" s="10">
        <v>6940</v>
      </c>
      <c r="BQ3" s="10">
        <v>7276</v>
      </c>
      <c r="BS3" s="10">
        <v>8020</v>
      </c>
      <c r="BU3" s="10">
        <v>13311</v>
      </c>
      <c r="BW3" s="10">
        <v>6528</v>
      </c>
      <c r="BY3" s="10">
        <v>6332</v>
      </c>
      <c r="CA3" s="10">
        <v>7081</v>
      </c>
      <c r="CC3" s="10">
        <v>8897</v>
      </c>
      <c r="CE3" s="10">
        <v>8372</v>
      </c>
      <c r="CG3" s="10">
        <v>11166</v>
      </c>
      <c r="CI3" s="10">
        <v>8486</v>
      </c>
      <c r="CK3" s="10">
        <v>8397</v>
      </c>
      <c r="CM3" s="10">
        <v>8874</v>
      </c>
      <c r="CO3" s="10">
        <v>7081</v>
      </c>
      <c r="CP3" s="10" t="s">
        <v>1718</v>
      </c>
    </row>
    <row r="4" spans="1:94" s="304" customFormat="1" ht="30" customHeight="1" thickBot="1">
      <c r="A4" s="367">
        <v>4</v>
      </c>
      <c r="B4" s="413" t="s">
        <v>462</v>
      </c>
      <c r="C4" s="329" t="str">
        <f ca="1">E4</f>
        <v>{"dossier":p.DossierName2,"bezPerson":"Moser, Luici","IBAN":"CH21 0078 9100 0000 2920 0","gueltigVon":"01.11.2025","gueltigBis":"31.12.2025","strasse":"Weg","nummer":"12","postfach":"","ort":"4566 Halten","datei":"C:/temp/test.docx"}</v>
      </c>
      <c r="D4" s="329" t="s">
        <v>28</v>
      </c>
      <c r="E4" s="329" t="str">
        <f ca="1">F4&amp;G4&amp;H4&amp;I4&amp;J4&amp;K4&amp;L4&amp;M4&amp;N4&amp;O4&amp;P4&amp;Q4&amp;R4&amp;S4&amp;T4&amp;U4&amp;V4&amp;W4&amp;X4&amp;Y4&amp;Z4&amp;AA4&amp;AB4&amp;AC4&amp;AD4&amp;AE4&amp;AF4&amp;AG4</f>
        <v>{"dossier":p.DossierName2,"bezPerson":"Moser, Luici","IBAN":"CH21 0078 9100 0000 2920 0","gueltigVon":"01.11.2025","gueltigBis":"31.12.2025","strasse":"Weg","nummer":"12","postfach":"","ort":"4566 Halten","datei":"C:/temp/test.docx"}</v>
      </c>
      <c r="F4" s="289" t="s">
        <v>159</v>
      </c>
      <c r="G4" s="329" t="s">
        <v>513</v>
      </c>
      <c r="H4" s="331" t="s">
        <v>1053</v>
      </c>
      <c r="I4" s="289" t="s">
        <v>464</v>
      </c>
      <c r="J4" s="340" t="s">
        <v>465</v>
      </c>
      <c r="K4" s="341" t="s">
        <v>466</v>
      </c>
      <c r="L4" s="329" t="s">
        <v>167</v>
      </c>
      <c r="M4" s="414" t="str">
        <f ca="1">"01."&amp;TEXT(TODAY(),"MM")&amp;"."&amp;TEXT(TODAY(),"YYYY")</f>
        <v>01.11.2025</v>
      </c>
      <c r="N4" s="329" t="s">
        <v>168</v>
      </c>
      <c r="O4" s="344" t="str">
        <f ca="1">"31.12."&amp;YEAR(TODAY())</f>
        <v>31.12.2025</v>
      </c>
      <c r="P4" s="329" t="s">
        <v>101</v>
      </c>
      <c r="Q4" s="329" t="s">
        <v>468</v>
      </c>
      <c r="R4" s="329" t="s">
        <v>469</v>
      </c>
      <c r="S4" s="329">
        <v>12</v>
      </c>
      <c r="T4" s="329" t="s">
        <v>470</v>
      </c>
      <c r="U4" s="289"/>
      <c r="V4" s="329" t="s">
        <v>103</v>
      </c>
      <c r="W4" s="329" t="s">
        <v>460</v>
      </c>
      <c r="X4" s="329" t="s">
        <v>471</v>
      </c>
      <c r="Y4" s="329" t="s">
        <v>472</v>
      </c>
      <c r="Z4" s="329" t="s">
        <v>37</v>
      </c>
      <c r="AA4" s="289"/>
      <c r="AB4" s="289"/>
      <c r="AC4" s="289"/>
      <c r="AD4" s="289"/>
      <c r="AE4" s="289"/>
      <c r="AF4" s="289"/>
      <c r="AG4" s="289"/>
      <c r="AH4" s="289"/>
      <c r="AI4" s="313">
        <v>21408</v>
      </c>
      <c r="AJ4" s="313">
        <v>21920</v>
      </c>
      <c r="AK4" s="313">
        <v>21950</v>
      </c>
      <c r="AL4" s="289">
        <v>23135</v>
      </c>
      <c r="AM4" s="290">
        <f t="shared" si="0"/>
        <v>1.0806707772795217</v>
      </c>
      <c r="AN4" s="289">
        <v>23166</v>
      </c>
      <c r="AO4" s="290">
        <f t="shared" si="1"/>
        <v>1.0821188340807175</v>
      </c>
      <c r="AP4" s="289">
        <v>23416</v>
      </c>
      <c r="AQ4" s="290">
        <f t="shared" si="2"/>
        <v>1.093796711509716</v>
      </c>
      <c r="AR4" s="289">
        <v>22668</v>
      </c>
      <c r="AS4" s="290">
        <f t="shared" si="3"/>
        <v>1.0588565022421526</v>
      </c>
      <c r="AT4" s="289">
        <v>0</v>
      </c>
      <c r="AU4" s="290">
        <f t="shared" si="3"/>
        <v>0</v>
      </c>
      <c r="AV4" s="291">
        <v>16403</v>
      </c>
      <c r="AW4" s="290">
        <f t="shared" si="3"/>
        <v>0.76620889387144997</v>
      </c>
      <c r="AX4" s="291">
        <v>13110</v>
      </c>
      <c r="AY4" s="290">
        <f t="shared" si="3"/>
        <v>0.61238789237668156</v>
      </c>
      <c r="AZ4" s="291">
        <v>12940</v>
      </c>
      <c r="BA4" s="290">
        <f t="shared" si="3"/>
        <v>0.60444693572496266</v>
      </c>
      <c r="BB4" s="291">
        <v>12893</v>
      </c>
      <c r="BC4" s="290">
        <f t="shared" si="3"/>
        <v>0.60225149476831086</v>
      </c>
      <c r="BD4" s="304">
        <v>13454</v>
      </c>
      <c r="BE4" s="290">
        <f t="shared" si="3"/>
        <v>0.62845665171898357</v>
      </c>
      <c r="BG4" s="304">
        <v>16016</v>
      </c>
      <c r="BI4" s="304">
        <v>13996</v>
      </c>
      <c r="BK4" s="304">
        <v>14257</v>
      </c>
      <c r="BM4" s="304">
        <v>13509</v>
      </c>
      <c r="BO4" s="304">
        <v>10391</v>
      </c>
      <c r="BQ4" s="304">
        <v>10832</v>
      </c>
      <c r="BS4" s="304">
        <v>10176</v>
      </c>
      <c r="BU4" s="304">
        <v>19141</v>
      </c>
      <c r="BW4" s="304">
        <v>13974</v>
      </c>
      <c r="BY4" s="304">
        <v>21052</v>
      </c>
      <c r="CA4" s="304">
        <v>19540</v>
      </c>
      <c r="CC4" s="304">
        <v>13544</v>
      </c>
      <c r="CE4" s="304">
        <v>13442</v>
      </c>
      <c r="CG4" s="304">
        <v>17348</v>
      </c>
      <c r="CI4" s="304">
        <v>14748</v>
      </c>
      <c r="CK4" s="304">
        <v>13282</v>
      </c>
      <c r="CM4" s="3912">
        <v>0</v>
      </c>
      <c r="CN4" s="3913" t="s">
        <v>1690</v>
      </c>
      <c r="CO4" s="4129">
        <v>0</v>
      </c>
      <c r="CP4" s="4130" t="s">
        <v>1739</v>
      </c>
    </row>
    <row r="5" spans="1:94">
      <c r="AM5" s="156"/>
      <c r="AO5" s="156"/>
      <c r="AQ5" s="156"/>
      <c r="AS5" s="156"/>
      <c r="AU5" s="156"/>
      <c r="AW5" s="156"/>
      <c r="AY5" s="156"/>
      <c r="BA5" s="156"/>
      <c r="BC5" s="156"/>
      <c r="BE5" s="156"/>
    </row>
  </sheetData>
  <conditionalFormatting sqref="AM2:AM146 AO2:AO146 AQ2:AQ146 AS2:AS146 AU2:AU146 AW2:AW146 AY2:AY146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FF00"/>
  </sheetPr>
  <dimension ref="A1:CP9"/>
  <sheetViews>
    <sheetView zoomScaleNormal="100" workbookViewId="0">
      <pane xSplit="2" ySplit="1" topLeftCell="H2" activePane="bottomRight" state="frozen"/>
      <selection activeCell="B23" sqref="B23"/>
      <selection pane="topRight" activeCell="B23" sqref="B23"/>
      <selection pane="bottomLeft" activeCell="B23" sqref="B23"/>
      <selection pane="bottomRight" activeCell="Q50" sqref="Q50"/>
    </sheetView>
  </sheetViews>
  <sheetFormatPr defaultColWidth="9.140625" defaultRowHeight="14.25" customHeight="1"/>
  <cols>
    <col min="1" max="1" width="4.85546875" style="1" customWidth="1"/>
    <col min="2" max="2" width="51.85546875" style="2" customWidth="1"/>
    <col min="3" max="3" width="162.4257812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9" width="9.85546875" style="2" customWidth="1"/>
    <col min="10" max="10" width="10.85546875" style="2" customWidth="1"/>
    <col min="11" max="11" width="18.140625" style="2" customWidth="1"/>
    <col min="12" max="12" width="9.140625" style="2" customWidth="1"/>
    <col min="13" max="13" width="10.7109375" style="2" customWidth="1"/>
    <col min="14" max="14" width="9.140625" style="2" customWidth="1"/>
    <col min="15" max="15" width="22.5703125" style="2" customWidth="1"/>
    <col min="16" max="16" width="13.5703125" style="2" customWidth="1"/>
    <col min="17" max="17" width="24.5703125" style="2" customWidth="1"/>
    <col min="18" max="34" width="9.140625" style="2" customWidth="1"/>
    <col min="35" max="38" width="30" style="2" customWidth="1"/>
    <col min="39" max="39" width="9.140625" style="12" customWidth="1"/>
    <col min="40" max="40" width="30" style="2" customWidth="1"/>
    <col min="41" max="41" width="9.140625" style="12" customWidth="1"/>
    <col min="42" max="42" width="30" style="2" customWidth="1"/>
    <col min="43" max="43" width="9.140625" style="12" customWidth="1"/>
    <col min="44" max="44" width="12.28515625" style="2" customWidth="1"/>
    <col min="45" max="45" width="9.140625" style="12" customWidth="1"/>
    <col min="46" max="46" width="11" style="2" customWidth="1"/>
    <col min="47" max="47" width="9.140625" style="12" customWidth="1"/>
    <col min="48" max="48" width="11.28515625" style="2" customWidth="1"/>
    <col min="49" max="49" width="9.140625" style="12" customWidth="1"/>
    <col min="50" max="50" width="11.28515625" style="2" customWidth="1"/>
    <col min="51" max="51" width="11.28515625" style="12" customWidth="1"/>
    <col min="52" max="52" width="11.28515625" style="2" customWidth="1"/>
    <col min="53" max="53" width="11.28515625" style="12" customWidth="1"/>
    <col min="54" max="54" width="11.28515625" style="2" customWidth="1"/>
    <col min="55" max="55" width="11.28515625" style="12" customWidth="1"/>
    <col min="56" max="57" width="11.28515625" style="2" customWidth="1"/>
    <col min="58" max="58" width="11.28515625" style="1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17.2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14*60*1000*SpeedFaktor</f>
        <v>840000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10</v>
      </c>
      <c r="AM1" s="24" t="s">
        <v>8</v>
      </c>
      <c r="AN1" s="2" t="s">
        <v>11</v>
      </c>
      <c r="AO1" s="24" t="s">
        <v>8</v>
      </c>
      <c r="AP1" s="2" t="s">
        <v>12</v>
      </c>
      <c r="AQ1" s="24" t="s">
        <v>8</v>
      </c>
      <c r="AR1" s="2" t="s">
        <v>13</v>
      </c>
      <c r="AS1" s="24" t="s">
        <v>8</v>
      </c>
      <c r="AT1" s="2" t="s">
        <v>65</v>
      </c>
      <c r="AU1" s="24" t="s">
        <v>8</v>
      </c>
      <c r="AV1" s="2" t="s">
        <v>15</v>
      </c>
      <c r="AW1" s="24" t="s">
        <v>8</v>
      </c>
      <c r="AX1" s="53" t="s">
        <v>17</v>
      </c>
      <c r="AY1" s="249" t="s">
        <v>8</v>
      </c>
      <c r="AZ1" s="53" t="s">
        <v>1285</v>
      </c>
      <c r="BA1" s="249" t="s">
        <v>8</v>
      </c>
      <c r="BB1" s="53" t="s">
        <v>1286</v>
      </c>
      <c r="BC1" s="249" t="s">
        <v>8</v>
      </c>
      <c r="BD1" s="53"/>
      <c r="BE1" s="773" t="s">
        <v>1303</v>
      </c>
      <c r="BF1" s="249" t="s">
        <v>8</v>
      </c>
      <c r="BG1" s="889" t="s">
        <v>1317</v>
      </c>
      <c r="BH1" s="890" t="s">
        <v>572</v>
      </c>
      <c r="BI1" s="1013" t="s">
        <v>1318</v>
      </c>
      <c r="BJ1" s="1014" t="s">
        <v>572</v>
      </c>
      <c r="BK1" s="1159" t="s">
        <v>1324</v>
      </c>
      <c r="BL1" s="1160" t="s">
        <v>572</v>
      </c>
      <c r="BM1" s="1362" t="s">
        <v>1341</v>
      </c>
      <c r="BN1" s="1363" t="s">
        <v>572</v>
      </c>
      <c r="BO1" s="1616" t="s">
        <v>1363</v>
      </c>
      <c r="BP1" s="1617" t="s">
        <v>572</v>
      </c>
      <c r="BQ1" s="1756" t="s">
        <v>1368</v>
      </c>
      <c r="BR1" s="1757" t="s">
        <v>572</v>
      </c>
      <c r="BS1" s="1897" t="s">
        <v>1372</v>
      </c>
      <c r="BT1" s="1898" t="s">
        <v>572</v>
      </c>
      <c r="BU1" s="2193" t="s">
        <v>1397</v>
      </c>
      <c r="BV1" s="2194" t="s">
        <v>572</v>
      </c>
      <c r="BW1" s="2370" t="s">
        <v>1421</v>
      </c>
      <c r="BX1" s="2371" t="s">
        <v>572</v>
      </c>
      <c r="BY1" s="2526" t="s">
        <v>1434</v>
      </c>
      <c r="BZ1" s="2527" t="s">
        <v>572</v>
      </c>
      <c r="CA1" s="2689" t="s">
        <v>1442</v>
      </c>
      <c r="CB1" s="2690" t="s">
        <v>572</v>
      </c>
      <c r="CC1" s="2878" t="s">
        <v>1460</v>
      </c>
      <c r="CD1" s="2879" t="s">
        <v>572</v>
      </c>
      <c r="CE1" s="3062" t="s">
        <v>1472</v>
      </c>
      <c r="CF1" s="3063" t="s">
        <v>572</v>
      </c>
      <c r="CG1" s="3246" t="s">
        <v>1492</v>
      </c>
      <c r="CH1" s="3247" t="s">
        <v>572</v>
      </c>
      <c r="CI1" s="3420" t="s">
        <v>1503</v>
      </c>
      <c r="CJ1" s="3421" t="s">
        <v>572</v>
      </c>
      <c r="CK1" s="3614" t="s">
        <v>1519</v>
      </c>
      <c r="CL1" s="3615" t="s">
        <v>572</v>
      </c>
      <c r="CM1" s="3914" t="s">
        <v>1666</v>
      </c>
      <c r="CN1" s="3915" t="s">
        <v>572</v>
      </c>
      <c r="CO1" s="4131" t="s">
        <v>1717</v>
      </c>
      <c r="CP1" s="4132" t="s">
        <v>572</v>
      </c>
    </row>
    <row r="2" spans="1:94" s="10" customFormat="1" ht="14.25" customHeight="1">
      <c r="A2" s="122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1194</v>
      </c>
      <c r="AJ2" s="2">
        <v>1234</v>
      </c>
      <c r="AK2" s="2">
        <v>1362</v>
      </c>
      <c r="AL2" s="2">
        <v>375</v>
      </c>
      <c r="AM2" s="156">
        <f>AL2/($AI2)</f>
        <v>0.314070351758794</v>
      </c>
      <c r="AN2" s="2">
        <v>419</v>
      </c>
      <c r="AO2" s="156">
        <f>AN2/($AI2)</f>
        <v>0.3509212730318258</v>
      </c>
      <c r="AP2" s="2">
        <v>382</v>
      </c>
      <c r="AQ2" s="156">
        <f>AP2/($AI2)</f>
        <v>0.31993299832495814</v>
      </c>
      <c r="AR2" s="2">
        <v>435</v>
      </c>
      <c r="AS2" s="156">
        <f>AR2/($AI2)</f>
        <v>0.36432160804020103</v>
      </c>
      <c r="AT2" s="2">
        <v>528</v>
      </c>
      <c r="AU2" s="156">
        <f>AT2/($AI2)</f>
        <v>0.44221105527638194</v>
      </c>
      <c r="AV2" s="2">
        <v>678</v>
      </c>
      <c r="AW2" s="156">
        <f>AV2/($AI2)</f>
        <v>0.56783919597989951</v>
      </c>
      <c r="AX2" s="2">
        <v>425</v>
      </c>
      <c r="AY2" s="156">
        <f>AX2/($AI2)</f>
        <v>0.35594639865996652</v>
      </c>
      <c r="AZ2" s="2">
        <v>332</v>
      </c>
      <c r="BA2" s="156">
        <f>AZ2/($AI2)</f>
        <v>0.27805695142378561</v>
      </c>
      <c r="BB2" s="2">
        <v>657</v>
      </c>
      <c r="BC2" s="156">
        <f>BB2/($AI2)</f>
        <v>0.55025125628140703</v>
      </c>
      <c r="BE2" s="10">
        <v>299</v>
      </c>
      <c r="BF2" s="156">
        <f>BE2/($AI2)</f>
        <v>0.25041876046901174</v>
      </c>
      <c r="BG2" s="10">
        <v>340</v>
      </c>
      <c r="BI2" s="10">
        <v>301</v>
      </c>
      <c r="BK2" s="10">
        <v>275</v>
      </c>
      <c r="BM2" s="10">
        <v>364</v>
      </c>
      <c r="BO2" s="10">
        <v>278</v>
      </c>
      <c r="BQ2" s="10">
        <v>446</v>
      </c>
      <c r="BS2" s="10">
        <v>291</v>
      </c>
      <c r="BU2" s="10">
        <v>1248</v>
      </c>
      <c r="BW2" s="10">
        <v>820</v>
      </c>
      <c r="BY2" s="10">
        <v>663</v>
      </c>
      <c r="CA2" s="10">
        <v>341</v>
      </c>
      <c r="CC2" s="10">
        <v>289</v>
      </c>
      <c r="CE2" s="10">
        <v>838</v>
      </c>
      <c r="CG2" s="10">
        <v>358</v>
      </c>
      <c r="CI2" s="10">
        <v>439</v>
      </c>
      <c r="CK2" s="10">
        <v>419</v>
      </c>
      <c r="CM2" s="10">
        <v>316</v>
      </c>
      <c r="CO2" s="10">
        <v>189</v>
      </c>
      <c r="CP2" s="10" t="s">
        <v>1718</v>
      </c>
    </row>
    <row r="3" spans="1:94" s="10" customFormat="1" ht="14.25" customHeight="1" thickBot="1">
      <c r="A3" s="122">
        <v>2</v>
      </c>
      <c r="B3" s="122" t="s">
        <v>25</v>
      </c>
      <c r="C3" s="120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1931</v>
      </c>
      <c r="AJ3" s="2">
        <v>2017</v>
      </c>
      <c r="AK3" s="2">
        <v>2121</v>
      </c>
      <c r="AL3" s="2">
        <v>1415</v>
      </c>
      <c r="AM3" s="156">
        <f t="shared" ref="AM3:AM6" si="0">AL3/($AI3)</f>
        <v>0.73278094251683068</v>
      </c>
      <c r="AN3" s="2">
        <v>1495</v>
      </c>
      <c r="AO3" s="156">
        <f t="shared" ref="AO3:AO6" si="1">AN3/($AI3)</f>
        <v>0.77421025375453134</v>
      </c>
      <c r="AP3" s="2">
        <v>1403</v>
      </c>
      <c r="AQ3" s="156">
        <f t="shared" ref="AQ3:AQ6" si="2">AP3/($AI3)</f>
        <v>0.72656654583117553</v>
      </c>
      <c r="AR3" s="2">
        <v>1860</v>
      </c>
      <c r="AS3" s="156">
        <f t="shared" ref="AS3:AU6" si="3">AR3/($AI3)</f>
        <v>0.96323148627654065</v>
      </c>
      <c r="AT3" s="2">
        <v>1435</v>
      </c>
      <c r="AU3" s="156">
        <f t="shared" si="3"/>
        <v>0.74313827032625579</v>
      </c>
      <c r="AV3" s="2">
        <v>1429</v>
      </c>
      <c r="AW3" s="156">
        <f t="shared" ref="AW3:BC6" si="4">AV3/($AI3)</f>
        <v>0.74003107198342832</v>
      </c>
      <c r="AX3" s="2">
        <v>1629</v>
      </c>
      <c r="AY3" s="156">
        <f t="shared" si="4"/>
        <v>0.84360435007767998</v>
      </c>
      <c r="AZ3" s="2">
        <v>1101</v>
      </c>
      <c r="BA3" s="156">
        <f t="shared" si="4"/>
        <v>0.5701708959088555</v>
      </c>
      <c r="BB3" s="2">
        <v>578</v>
      </c>
      <c r="BC3" s="156">
        <f t="shared" si="4"/>
        <v>0.29932677369238736</v>
      </c>
      <c r="BE3" s="10">
        <v>1192</v>
      </c>
      <c r="BF3" s="156">
        <f t="shared" ref="BF3:BF6" si="5">BE3/($AI3)</f>
        <v>0.61729673744174007</v>
      </c>
      <c r="BG3" s="10">
        <v>1322</v>
      </c>
      <c r="BI3" s="10">
        <v>1151</v>
      </c>
      <c r="BK3" s="10">
        <v>1235</v>
      </c>
      <c r="BM3" s="10">
        <v>1250</v>
      </c>
      <c r="BO3" s="10">
        <v>1201</v>
      </c>
      <c r="BQ3" s="10">
        <v>1286</v>
      </c>
      <c r="BS3" s="10">
        <v>1330</v>
      </c>
      <c r="BU3" s="10">
        <v>1957</v>
      </c>
      <c r="BW3" s="10">
        <v>1550</v>
      </c>
      <c r="BY3" s="10">
        <v>1277</v>
      </c>
      <c r="CA3" s="10">
        <v>1083</v>
      </c>
      <c r="CC3" s="10">
        <v>1058</v>
      </c>
      <c r="CE3" s="10">
        <v>1504</v>
      </c>
      <c r="CG3" s="10">
        <v>1757</v>
      </c>
      <c r="CI3" s="10">
        <v>1152</v>
      </c>
      <c r="CK3" s="10">
        <v>1266</v>
      </c>
      <c r="CM3" s="10">
        <v>944</v>
      </c>
      <c r="CO3" s="10">
        <v>442</v>
      </c>
      <c r="CP3" s="10" t="s">
        <v>1718</v>
      </c>
    </row>
    <row r="4" spans="1:94" s="10" customFormat="1" ht="17.25" customHeight="1" thickBot="1">
      <c r="A4" s="122">
        <v>3</v>
      </c>
      <c r="B4" s="772" t="s">
        <v>474</v>
      </c>
      <c r="C4" s="121" t="str">
        <f>E4</f>
        <v>{"dossier":p.DossierName2,"bezPerson":"Moser, Luici"}</v>
      </c>
      <c r="D4" s="24" t="s">
        <v>28</v>
      </c>
      <c r="E4" s="24" t="str">
        <f>F4&amp;G4&amp;H4&amp;I4&amp;J4&amp;K4&amp;L4&amp;M4&amp;N4&amp;O4&amp;P4&amp;Q4&amp;R4&amp;S4&amp;T4&amp;U4&amp;V4&amp;W4&amp;X4&amp;Y4&amp;Z4&amp;AA4</f>
        <v>{"dossier":p.DossierName2,"bezPerson":"Moser, Luici"}</v>
      </c>
      <c r="F4" s="378" t="s">
        <v>159</v>
      </c>
      <c r="G4" s="24" t="s">
        <v>513</v>
      </c>
      <c r="H4" s="255" t="s">
        <v>1053</v>
      </c>
      <c r="I4" s="24" t="s">
        <v>464</v>
      </c>
      <c r="J4" s="264" t="s">
        <v>37</v>
      </c>
      <c r="K4" s="26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>
        <v>4015</v>
      </c>
      <c r="AJ4" s="24">
        <v>4004</v>
      </c>
      <c r="AK4" s="24">
        <v>4018</v>
      </c>
      <c r="AL4" s="24">
        <v>4023</v>
      </c>
      <c r="AM4" s="156">
        <f t="shared" si="0"/>
        <v>1.0019925280199253</v>
      </c>
      <c r="AN4" s="24">
        <v>4043</v>
      </c>
      <c r="AO4" s="156">
        <f t="shared" si="1"/>
        <v>1.0069738480697386</v>
      </c>
      <c r="AP4" s="24">
        <v>4013</v>
      </c>
      <c r="AQ4" s="156">
        <f t="shared" si="2"/>
        <v>0.99950186799501872</v>
      </c>
      <c r="AR4" s="24">
        <v>4019</v>
      </c>
      <c r="AS4" s="156">
        <f t="shared" si="3"/>
        <v>1.0009962640099626</v>
      </c>
      <c r="AT4" s="24">
        <v>4007</v>
      </c>
      <c r="AU4" s="156">
        <f t="shared" si="3"/>
        <v>0.99800747198007467</v>
      </c>
      <c r="AV4" s="2">
        <v>4020</v>
      </c>
      <c r="AW4" s="156">
        <f t="shared" si="4"/>
        <v>1.0012453300124533</v>
      </c>
      <c r="AX4" s="2">
        <v>7578</v>
      </c>
      <c r="AY4" s="156">
        <f t="shared" si="4"/>
        <v>1.8874221668742217</v>
      </c>
      <c r="AZ4" s="2">
        <v>9938</v>
      </c>
      <c r="BA4" s="156">
        <f t="shared" si="4"/>
        <v>2.4752179327521793</v>
      </c>
      <c r="BB4" s="2">
        <v>4892</v>
      </c>
      <c r="BC4" s="156">
        <f t="shared" si="4"/>
        <v>1.2184308841843088</v>
      </c>
      <c r="BE4" s="10">
        <v>7406</v>
      </c>
      <c r="BF4" s="156">
        <f t="shared" si="5"/>
        <v>1.8445828144458281</v>
      </c>
      <c r="BG4" s="10">
        <v>8915</v>
      </c>
      <c r="BI4" s="10">
        <v>7398</v>
      </c>
      <c r="BK4" s="10">
        <v>7040</v>
      </c>
      <c r="BM4" s="10">
        <v>7221</v>
      </c>
      <c r="BO4" s="10">
        <v>7275</v>
      </c>
      <c r="BQ4" s="10">
        <v>7454</v>
      </c>
      <c r="BS4" s="10">
        <v>6990</v>
      </c>
      <c r="BU4" s="10">
        <v>7689</v>
      </c>
      <c r="BW4" s="10">
        <v>8204</v>
      </c>
      <c r="BY4" s="10">
        <v>7090</v>
      </c>
      <c r="CA4" s="10">
        <v>7056</v>
      </c>
      <c r="CC4" s="10">
        <v>9424</v>
      </c>
      <c r="CE4" s="10">
        <v>8066</v>
      </c>
      <c r="CG4" s="10">
        <v>10642</v>
      </c>
      <c r="CI4" s="10">
        <v>8563</v>
      </c>
      <c r="CK4" s="10">
        <v>8816</v>
      </c>
      <c r="CM4" s="10">
        <v>7606</v>
      </c>
      <c r="CO4" s="10">
        <v>6752</v>
      </c>
      <c r="CP4" s="10" t="s">
        <v>1718</v>
      </c>
    </row>
    <row r="5" spans="1:94" s="10" customFormat="1" ht="15.75" customHeight="1">
      <c r="A5" s="122">
        <v>6</v>
      </c>
      <c r="B5" s="120" t="s">
        <v>134</v>
      </c>
      <c r="C5" s="121" t="str">
        <f t="shared" ref="C5" si="6">E5</f>
        <v>{"username":"Bern.Sachbearbeiterin@diartis.ch","password":"XXxa22?pdTA66-S@"}</v>
      </c>
      <c r="D5" s="2"/>
      <c r="E5" s="83" t="str">
        <f t="shared" ref="E5:E6" si="7">F5&amp;G5&amp;H5&amp;I5&amp;J5&amp;K5&amp;L5&amp;M5&amp;N5&amp;O5&amp;P5&amp;Q5&amp;R5&amp;S5&amp;T5&amp;U5&amp;V5&amp;W5&amp;X5</f>
        <v>{"username":"Bern.Sachbearbeiterin@diartis.ch","password":"XXxa22?pdTA66-S@"}</v>
      </c>
      <c r="F5" s="84" t="s">
        <v>29</v>
      </c>
      <c r="G5" s="2" t="s">
        <v>30</v>
      </c>
      <c r="H5" s="84" t="s">
        <v>31</v>
      </c>
      <c r="I5" s="2" t="s">
        <v>32</v>
      </c>
      <c r="J5" s="84" t="s">
        <v>37</v>
      </c>
      <c r="K5" s="87"/>
      <c r="L5" s="84"/>
      <c r="M5" s="82"/>
      <c r="N5" s="84"/>
      <c r="O5" s="82"/>
      <c r="P5" s="84"/>
      <c r="Q5" s="82"/>
      <c r="R5" s="84"/>
      <c r="S5" s="82"/>
      <c r="T5" s="84"/>
      <c r="U5" s="82"/>
      <c r="V5" s="84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>
        <v>1014</v>
      </c>
      <c r="AJ5" s="82">
        <v>1009</v>
      </c>
      <c r="AK5" s="82">
        <v>1009</v>
      </c>
      <c r="AL5" s="82">
        <v>1009</v>
      </c>
      <c r="AM5" s="156">
        <f t="shared" si="0"/>
        <v>0.99506903353057197</v>
      </c>
      <c r="AN5" s="82">
        <v>1010</v>
      </c>
      <c r="AO5" s="156">
        <f t="shared" si="1"/>
        <v>0.99605522682445757</v>
      </c>
      <c r="AP5" s="82">
        <v>1006</v>
      </c>
      <c r="AQ5" s="156">
        <f t="shared" si="2"/>
        <v>0.99211045364891515</v>
      </c>
      <c r="AR5" s="82">
        <v>1011</v>
      </c>
      <c r="AS5" s="156">
        <f t="shared" si="3"/>
        <v>0.99704142011834318</v>
      </c>
      <c r="AT5" s="82">
        <v>280</v>
      </c>
      <c r="AU5" s="156">
        <f t="shared" si="3"/>
        <v>0.27613412228796846</v>
      </c>
      <c r="AV5" s="2">
        <v>1005</v>
      </c>
      <c r="AW5" s="156">
        <f t="shared" si="4"/>
        <v>0.99112426035502954</v>
      </c>
      <c r="AX5" s="2">
        <v>1013</v>
      </c>
      <c r="AY5" s="156">
        <f t="shared" si="4"/>
        <v>0.99901380670611439</v>
      </c>
      <c r="AZ5" s="2">
        <v>1003</v>
      </c>
      <c r="BA5" s="156">
        <f t="shared" si="4"/>
        <v>0.98915187376725833</v>
      </c>
      <c r="BB5" s="2">
        <v>1013</v>
      </c>
      <c r="BC5" s="156">
        <f t="shared" si="4"/>
        <v>0.99901380670611439</v>
      </c>
      <c r="BE5" s="10">
        <v>1005</v>
      </c>
      <c r="BF5" s="156">
        <f t="shared" si="5"/>
        <v>0.99112426035502954</v>
      </c>
      <c r="BG5" s="10">
        <v>11018</v>
      </c>
      <c r="BI5" s="10">
        <v>8872</v>
      </c>
      <c r="BK5" s="10">
        <v>9378</v>
      </c>
      <c r="BM5" s="10">
        <v>8662</v>
      </c>
      <c r="BO5" s="10">
        <v>5994</v>
      </c>
      <c r="BQ5" s="10">
        <v>6868</v>
      </c>
      <c r="BS5" s="10">
        <v>5869</v>
      </c>
      <c r="BU5" s="10">
        <v>13276</v>
      </c>
      <c r="BW5" s="10">
        <v>9822</v>
      </c>
      <c r="BY5" s="10">
        <v>17327</v>
      </c>
      <c r="CA5" s="10">
        <v>8761</v>
      </c>
      <c r="CC5" s="10">
        <v>9526</v>
      </c>
      <c r="CE5" s="10">
        <v>7986</v>
      </c>
      <c r="CG5" s="10">
        <v>10606</v>
      </c>
      <c r="CI5" s="10">
        <v>9712</v>
      </c>
      <c r="CK5" s="10">
        <v>8580</v>
      </c>
      <c r="CM5" s="3916">
        <v>0</v>
      </c>
      <c r="CN5" s="3917" t="s">
        <v>1691</v>
      </c>
      <c r="CO5" s="4133">
        <v>0</v>
      </c>
      <c r="CP5" s="4134" t="s">
        <v>1739</v>
      </c>
    </row>
    <row r="6" spans="1:94" s="10" customFormat="1" ht="15.75" customHeight="1">
      <c r="A6" s="2">
        <v>8</v>
      </c>
      <c r="B6" s="115" t="s">
        <v>273</v>
      </c>
      <c r="C6" s="38" t="str">
        <f>E6</f>
        <v>{"dossier":p.DossierName2,"buttonName":"Bewilligen","checkStatus":"Bewilligt"}</v>
      </c>
      <c r="D6" s="2" t="s">
        <v>28</v>
      </c>
      <c r="E6" s="83" t="str">
        <f t="shared" si="7"/>
        <v>{"dossier":p.DossierName2,"buttonName":"Bewilligen","checkStatus":"Bewilligt"}</v>
      </c>
      <c r="F6" s="84" t="s">
        <v>159</v>
      </c>
      <c r="G6" s="87" t="s">
        <v>513</v>
      </c>
      <c r="H6" s="84" t="s">
        <v>198</v>
      </c>
      <c r="I6" s="82" t="s">
        <v>136</v>
      </c>
      <c r="J6" s="84" t="s">
        <v>132</v>
      </c>
      <c r="K6" s="82" t="s">
        <v>137</v>
      </c>
      <c r="L6" s="84" t="s">
        <v>37</v>
      </c>
      <c r="M6" s="82"/>
      <c r="N6" s="84"/>
      <c r="O6" s="82"/>
      <c r="P6" s="84"/>
      <c r="Q6" s="82"/>
      <c r="R6" s="84"/>
      <c r="S6" s="82"/>
      <c r="T6" s="84"/>
      <c r="U6" s="82"/>
      <c r="V6" s="84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>
        <v>1014</v>
      </c>
      <c r="AJ6" s="82">
        <v>1007</v>
      </c>
      <c r="AK6" s="82">
        <v>1004</v>
      </c>
      <c r="AL6" s="82">
        <v>1033</v>
      </c>
      <c r="AM6" s="156">
        <f t="shared" si="0"/>
        <v>1.0187376725838264</v>
      </c>
      <c r="AN6" s="82">
        <v>1007</v>
      </c>
      <c r="AO6" s="156">
        <f t="shared" si="1"/>
        <v>0.99309664694280075</v>
      </c>
      <c r="AP6" s="82">
        <v>1008</v>
      </c>
      <c r="AQ6" s="156">
        <f t="shared" si="2"/>
        <v>0.99408284023668636</v>
      </c>
      <c r="AR6" s="82">
        <v>1007</v>
      </c>
      <c r="AS6" s="156">
        <f t="shared" si="3"/>
        <v>0.99309664694280075</v>
      </c>
      <c r="AT6" s="82"/>
      <c r="AU6" s="156">
        <f t="shared" si="3"/>
        <v>0</v>
      </c>
      <c r="AV6" s="2">
        <v>1009</v>
      </c>
      <c r="AW6" s="156">
        <f t="shared" si="4"/>
        <v>0.99506903353057197</v>
      </c>
      <c r="AX6" s="2">
        <v>8864</v>
      </c>
      <c r="AY6" s="156">
        <f t="shared" si="4"/>
        <v>8.7416173570019726</v>
      </c>
      <c r="AZ6" s="2">
        <v>8979</v>
      </c>
      <c r="BA6" s="156">
        <f t="shared" si="4"/>
        <v>8.8550295857988157</v>
      </c>
      <c r="BB6" s="2">
        <v>9628</v>
      </c>
      <c r="BC6" s="156">
        <f t="shared" si="4"/>
        <v>9.4950690335305712</v>
      </c>
      <c r="BE6" s="10">
        <v>9007</v>
      </c>
      <c r="BF6" s="156">
        <f t="shared" si="5"/>
        <v>8.8826429980276131</v>
      </c>
      <c r="BG6" s="10">
        <v>10056</v>
      </c>
      <c r="BI6" s="10">
        <v>9669</v>
      </c>
      <c r="BK6" s="10">
        <v>9219</v>
      </c>
      <c r="BM6" s="10">
        <v>9031</v>
      </c>
      <c r="BO6" s="10">
        <v>9731</v>
      </c>
      <c r="BQ6" s="10">
        <v>10568</v>
      </c>
      <c r="BS6" s="10">
        <v>9742</v>
      </c>
      <c r="BU6" s="10">
        <v>10529</v>
      </c>
      <c r="BW6" s="10">
        <v>9984</v>
      </c>
      <c r="BY6" s="10">
        <v>9679</v>
      </c>
      <c r="CA6" s="10">
        <v>9495</v>
      </c>
      <c r="CC6" s="10">
        <v>13231</v>
      </c>
      <c r="CE6" s="10">
        <v>13150</v>
      </c>
      <c r="CG6" s="10">
        <v>15283</v>
      </c>
      <c r="CI6" s="10">
        <v>12630</v>
      </c>
      <c r="CK6" s="10">
        <v>12059</v>
      </c>
      <c r="CM6" s="10">
        <v>268</v>
      </c>
      <c r="CO6" s="10">
        <v>220</v>
      </c>
      <c r="CP6" s="10" t="s">
        <v>1718</v>
      </c>
    </row>
    <row r="7" spans="1:94">
      <c r="AM7" s="2"/>
      <c r="AO7" s="2"/>
      <c r="AQ7" s="2"/>
      <c r="AS7" s="2"/>
      <c r="AU7" s="2"/>
      <c r="AW7" s="2"/>
      <c r="AY7" s="2"/>
      <c r="BA7" s="2"/>
      <c r="BC7" s="2"/>
      <c r="BF7" s="2"/>
    </row>
    <row r="8" spans="1:94">
      <c r="AM8" s="2"/>
      <c r="AO8" s="2"/>
      <c r="AQ8" s="2"/>
      <c r="AS8" s="2"/>
      <c r="AU8" s="2"/>
      <c r="AW8" s="2"/>
      <c r="AY8" s="2"/>
      <c r="BA8" s="2"/>
      <c r="BC8" s="2"/>
      <c r="BF8" s="2"/>
    </row>
    <row r="9" spans="1:94">
      <c r="B9" s="2" t="s">
        <v>1054</v>
      </c>
      <c r="C9" s="2" t="s">
        <v>1055</v>
      </c>
      <c r="AM9" s="2"/>
      <c r="AO9" s="2"/>
      <c r="AQ9" s="2"/>
      <c r="AS9" s="2"/>
      <c r="AU9" s="2"/>
      <c r="AW9" s="2"/>
      <c r="AY9" s="2"/>
      <c r="BA9" s="2"/>
      <c r="BC9" s="2"/>
      <c r="BF9" s="2"/>
    </row>
  </sheetData>
  <conditionalFormatting sqref="AM2:AM141 AO2:AO141 AQ2:AQ141 AS2:AS141 AU2:AU141 AW2:AW141 AY2:AY141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141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41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141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FFC000"/>
  </sheetPr>
  <dimension ref="A1:CJ8"/>
  <sheetViews>
    <sheetView zoomScaleNormal="100" workbookViewId="0">
      <pane xSplit="2" ySplit="1" topLeftCell="C2" activePane="bottomRight" state="frozen"/>
      <selection activeCell="B23" sqref="B23"/>
      <selection pane="topRight" activeCell="B23" sqref="B23"/>
      <selection pane="bottomLeft" activeCell="B23" sqref="B23"/>
      <selection pane="bottomRight" activeCell="A4" sqref="A4"/>
    </sheetView>
  </sheetViews>
  <sheetFormatPr defaultColWidth="9.140625" defaultRowHeight="14.25" customHeight="1"/>
  <cols>
    <col min="1" max="1" width="9.140625" style="1" customWidth="1"/>
    <col min="2" max="2" width="43" style="2" customWidth="1"/>
    <col min="3" max="3" width="184.85546875" style="2" customWidth="1"/>
    <col min="4" max="4" width="9.140625" style="2" customWidth="1"/>
    <col min="5" max="5" width="9.85546875" style="3" customWidth="1"/>
    <col min="6" max="6" width="18.85546875" style="2" customWidth="1"/>
    <col min="7" max="7" width="30" style="2" customWidth="1"/>
    <col min="8" max="8" width="50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22.5703125" style="2" customWidth="1"/>
    <col min="17" max="17" width="13.5703125" style="2" customWidth="1"/>
    <col min="18" max="18" width="24.5703125" style="2" customWidth="1"/>
    <col min="19" max="33" width="9.140625" style="2" customWidth="1"/>
    <col min="34" max="38" width="11.7109375" style="2" customWidth="1"/>
    <col min="39" max="39" width="11.7109375" style="12" customWidth="1"/>
    <col min="40" max="40" width="11.7109375" style="2" customWidth="1"/>
    <col min="41" max="41" width="11.7109375" style="12" customWidth="1"/>
    <col min="42" max="42" width="11.7109375" style="2" customWidth="1"/>
    <col min="43" max="43" width="11.7109375" style="12" customWidth="1"/>
    <col min="44" max="44" width="11.7109375" style="2" customWidth="1"/>
    <col min="45" max="45" width="11.7109375" style="12" customWidth="1"/>
    <col min="46" max="46" width="30" style="2" customWidth="1"/>
    <col min="47" max="47" width="11.7109375" style="12" customWidth="1"/>
    <col min="48" max="48" width="10.42578125" style="2" customWidth="1"/>
    <col min="49" max="49" width="11.7109375" style="12" customWidth="1"/>
    <col min="50" max="50" width="20" style="2" customWidth="1"/>
    <col min="51" max="51" width="11.7109375" style="12" customWidth="1"/>
    <col min="52" max="52" width="9.140625" style="2" customWidth="1"/>
    <col min="53" max="53" width="20" style="2" customWidth="1"/>
    <col min="54" max="54" width="50" style="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16384" width="9.140625" style="2"/>
  </cols>
  <sheetData>
    <row r="1" spans="1:88" ht="13.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14*60*1000*SpeedFaktor</f>
        <v>840000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10</v>
      </c>
      <c r="AM1" s="24" t="s">
        <v>8</v>
      </c>
      <c r="AN1" s="2" t="s">
        <v>11</v>
      </c>
      <c r="AO1" s="24" t="s">
        <v>8</v>
      </c>
      <c r="AP1" s="2" t="s">
        <v>12</v>
      </c>
      <c r="AQ1" s="24" t="s">
        <v>8</v>
      </c>
      <c r="AR1" s="2" t="s">
        <v>13</v>
      </c>
      <c r="AS1" s="24" t="s">
        <v>8</v>
      </c>
      <c r="AT1" s="2" t="s">
        <v>65</v>
      </c>
      <c r="AU1" s="24" t="s">
        <v>8</v>
      </c>
      <c r="AV1" s="2" t="s">
        <v>15</v>
      </c>
      <c r="AW1" s="24" t="s">
        <v>8</v>
      </c>
      <c r="AX1" s="535" t="s">
        <v>1303</v>
      </c>
      <c r="AY1" s="24" t="s">
        <v>8</v>
      </c>
      <c r="BA1" s="891" t="s">
        <v>1317</v>
      </c>
      <c r="BB1" s="892" t="s">
        <v>572</v>
      </c>
      <c r="BC1" s="1015" t="s">
        <v>1318</v>
      </c>
      <c r="BD1" s="1016" t="s">
        <v>572</v>
      </c>
      <c r="BE1" s="1161" t="s">
        <v>1324</v>
      </c>
      <c r="BF1" s="1162" t="s">
        <v>572</v>
      </c>
      <c r="BG1" s="1364" t="s">
        <v>1341</v>
      </c>
      <c r="BH1" s="1365" t="s">
        <v>572</v>
      </c>
      <c r="BI1" s="1618" t="s">
        <v>1363</v>
      </c>
      <c r="BJ1" s="1619" t="s">
        <v>572</v>
      </c>
      <c r="BK1" s="1758" t="s">
        <v>1368</v>
      </c>
      <c r="BL1" s="1759" t="s">
        <v>572</v>
      </c>
      <c r="BM1" s="1899" t="s">
        <v>1372</v>
      </c>
      <c r="BN1" s="1900" t="s">
        <v>572</v>
      </c>
      <c r="BO1" s="2195" t="s">
        <v>1397</v>
      </c>
      <c r="BP1" s="2196" t="s">
        <v>572</v>
      </c>
      <c r="BQ1" s="2372" t="s">
        <v>1421</v>
      </c>
      <c r="BR1" s="2373" t="s">
        <v>572</v>
      </c>
      <c r="BS1" s="2528" t="s">
        <v>1434</v>
      </c>
      <c r="BT1" s="2529" t="s">
        <v>572</v>
      </c>
      <c r="BU1" s="2691" t="s">
        <v>1442</v>
      </c>
      <c r="BV1" s="2692" t="s">
        <v>572</v>
      </c>
      <c r="BW1" s="2880" t="s">
        <v>1460</v>
      </c>
      <c r="BX1" s="2881" t="s">
        <v>572</v>
      </c>
      <c r="BY1" s="3064" t="s">
        <v>1472</v>
      </c>
      <c r="BZ1" s="3065" t="s">
        <v>572</v>
      </c>
      <c r="CA1" s="3248" t="s">
        <v>1492</v>
      </c>
      <c r="CB1" s="3249" t="s">
        <v>572</v>
      </c>
      <c r="CC1" s="3422" t="s">
        <v>1503</v>
      </c>
      <c r="CD1" s="3423" t="s">
        <v>572</v>
      </c>
      <c r="CE1" s="3616" t="s">
        <v>1519</v>
      </c>
      <c r="CF1" s="3617" t="s">
        <v>572</v>
      </c>
      <c r="CG1" s="3918" t="s">
        <v>1666</v>
      </c>
      <c r="CH1" s="3919" t="s">
        <v>572</v>
      </c>
      <c r="CI1" s="4135" t="s">
        <v>1717</v>
      </c>
      <c r="CJ1" s="4136" t="s">
        <v>572</v>
      </c>
    </row>
    <row r="2" spans="1:88" ht="14.25" customHeight="1">
      <c r="A2" s="119">
        <v>1</v>
      </c>
      <c r="B2" s="122" t="s">
        <v>21</v>
      </c>
      <c r="C2" s="590" t="str">
        <f>'001a'!B59</f>
        <v>{"url":p.aventisURL}</v>
      </c>
      <c r="AI2" s="2">
        <v>1942</v>
      </c>
      <c r="AJ2" s="2">
        <v>2013</v>
      </c>
      <c r="AK2" s="2">
        <v>1518</v>
      </c>
      <c r="AL2" s="2">
        <v>1889</v>
      </c>
      <c r="AM2" s="156">
        <f>AL2/($AI2)</f>
        <v>0.97270854788877448</v>
      </c>
      <c r="AN2" s="2">
        <v>2225</v>
      </c>
      <c r="AO2" s="156">
        <f>AN2/($AI2)</f>
        <v>1.1457260556127704</v>
      </c>
      <c r="AP2" s="2">
        <v>1581</v>
      </c>
      <c r="AQ2" s="156">
        <f>AP2/($AI2)</f>
        <v>0.81410916580844495</v>
      </c>
      <c r="AR2" s="2">
        <v>1503</v>
      </c>
      <c r="AS2" s="156">
        <f>AR2/($AI2)</f>
        <v>0.77394438722966019</v>
      </c>
      <c r="AT2" s="2">
        <v>1793</v>
      </c>
      <c r="AU2" s="156">
        <f>AT2/($AI2)</f>
        <v>0.92327497425334704</v>
      </c>
      <c r="AV2" s="2">
        <v>951</v>
      </c>
      <c r="AW2" s="156">
        <f>AV2/($AI2)</f>
        <v>0.48970133882595263</v>
      </c>
      <c r="AX2" s="2">
        <v>1210</v>
      </c>
      <c r="AY2" s="156">
        <f>AX2/($AI2)</f>
        <v>0.62306900102986607</v>
      </c>
      <c r="BA2" s="2">
        <v>1613</v>
      </c>
      <c r="BC2" s="2">
        <v>1203</v>
      </c>
      <c r="BE2" s="2">
        <v>1167</v>
      </c>
      <c r="BG2" s="2">
        <v>1264</v>
      </c>
      <c r="BI2" s="2">
        <v>1320</v>
      </c>
      <c r="BK2" s="2">
        <v>1176</v>
      </c>
      <c r="BM2" s="2">
        <v>1363</v>
      </c>
      <c r="BO2" s="2">
        <v>1688</v>
      </c>
      <c r="BQ2" s="2">
        <v>1885</v>
      </c>
      <c r="BS2" s="2">
        <v>1022</v>
      </c>
      <c r="BU2" s="2">
        <v>1047</v>
      </c>
      <c r="BW2" s="2">
        <v>1152</v>
      </c>
      <c r="BY2" s="2">
        <v>1489</v>
      </c>
      <c r="CA2" s="2">
        <v>1595</v>
      </c>
      <c r="CC2" s="2">
        <v>1189</v>
      </c>
      <c r="CE2" s="2">
        <v>1239</v>
      </c>
      <c r="CG2" s="2">
        <v>1007</v>
      </c>
      <c r="CI2" s="2">
        <v>418</v>
      </c>
      <c r="CJ2" s="2" t="s">
        <v>1718</v>
      </c>
    </row>
    <row r="3" spans="1:88" ht="14.25" customHeight="1">
      <c r="A3" s="119">
        <v>2</v>
      </c>
      <c r="B3" s="591" t="s">
        <v>25</v>
      </c>
      <c r="C3" s="606" t="s">
        <v>633</v>
      </c>
      <c r="D3" s="2" t="s">
        <v>28</v>
      </c>
      <c r="AI3" s="2">
        <v>8218</v>
      </c>
      <c r="AJ3" s="2">
        <v>7041</v>
      </c>
      <c r="AK3" s="2">
        <v>6973</v>
      </c>
      <c r="AL3" s="2">
        <v>10563</v>
      </c>
      <c r="AM3" s="156">
        <f t="shared" ref="AM3:AM5" si="0">AL3/($AI3)</f>
        <v>1.2853492333901193</v>
      </c>
      <c r="AN3" s="2">
        <v>10435</v>
      </c>
      <c r="AO3" s="156">
        <f t="shared" ref="AO3:AQ5" si="1">AN3/($AI3)</f>
        <v>1.2697736675590168</v>
      </c>
      <c r="AP3" s="2">
        <v>10190</v>
      </c>
      <c r="AQ3" s="156">
        <f t="shared" si="1"/>
        <v>1.2399610610854221</v>
      </c>
      <c r="AR3" s="2">
        <v>10607</v>
      </c>
      <c r="AS3" s="156">
        <f t="shared" ref="AS3:AW3" si="2">AR3/($AI3)</f>
        <v>1.2907033341445606</v>
      </c>
      <c r="AT3" s="2">
        <v>9314</v>
      </c>
      <c r="AU3" s="156">
        <f t="shared" si="2"/>
        <v>1.1333657824288148</v>
      </c>
      <c r="AV3" s="2">
        <v>9368</v>
      </c>
      <c r="AW3" s="156">
        <f t="shared" si="2"/>
        <v>1.1399367242638112</v>
      </c>
      <c r="AX3" s="2">
        <v>7676</v>
      </c>
      <c r="AY3" s="156">
        <f t="shared" ref="AY3:AY5" si="3">AX3/($AI3)</f>
        <v>0.93404721343392549</v>
      </c>
      <c r="BA3" s="2">
        <v>9891</v>
      </c>
      <c r="BC3" s="2">
        <v>7722</v>
      </c>
      <c r="BE3" s="2">
        <v>7797</v>
      </c>
      <c r="BG3" s="2">
        <v>7619</v>
      </c>
      <c r="BI3" s="2">
        <v>7440</v>
      </c>
      <c r="BK3" s="2">
        <v>8085</v>
      </c>
      <c r="BM3" s="2">
        <v>7823</v>
      </c>
      <c r="BO3" s="2">
        <v>7679</v>
      </c>
      <c r="BQ3" s="2">
        <v>7494</v>
      </c>
      <c r="BS3" s="2">
        <v>6824</v>
      </c>
      <c r="BU3" s="2">
        <v>7117</v>
      </c>
      <c r="BW3" s="2">
        <v>8783</v>
      </c>
      <c r="BY3" s="2">
        <v>8117</v>
      </c>
      <c r="CA3" s="2">
        <v>11524</v>
      </c>
      <c r="CC3" s="2">
        <v>8865</v>
      </c>
      <c r="CE3" s="2">
        <v>9615</v>
      </c>
      <c r="CG3" s="3920">
        <v>0</v>
      </c>
      <c r="CH3" s="3921" t="s">
        <v>1692</v>
      </c>
      <c r="CI3" s="2">
        <v>6283</v>
      </c>
      <c r="CJ3" s="2" t="s">
        <v>1718</v>
      </c>
    </row>
    <row r="4" spans="1:88" s="15" customFormat="1" ht="15.75" customHeight="1" thickBot="1">
      <c r="A4" s="119"/>
      <c r="B4" s="590" t="s">
        <v>139</v>
      </c>
      <c r="C4" s="122" t="str">
        <f>G4&amp;H4&amp;I4&amp;J4</f>
        <v>{"searchDossierOrKlient":p.DossierName2,"resultType":"Dossiers"}</v>
      </c>
      <c r="D4" s="2" t="s">
        <v>28</v>
      </c>
      <c r="E4" s="2"/>
      <c r="F4" s="2"/>
      <c r="G4" s="276" t="s">
        <v>140</v>
      </c>
      <c r="H4" s="277" t="s">
        <v>513</v>
      </c>
      <c r="I4" s="276" t="s">
        <v>623</v>
      </c>
      <c r="J4" s="2"/>
      <c r="K4" s="276"/>
      <c r="L4" s="2"/>
      <c r="M4" s="276"/>
      <c r="N4" s="2"/>
      <c r="O4" s="276"/>
      <c r="P4" s="2"/>
      <c r="Q4" s="276"/>
      <c r="R4" s="2"/>
      <c r="S4" s="276"/>
      <c r="T4" s="2"/>
      <c r="U4" s="278"/>
      <c r="V4" s="2"/>
      <c r="W4" s="278"/>
      <c r="X4" s="2"/>
      <c r="Y4" s="278"/>
      <c r="Z4" s="2"/>
      <c r="AA4" s="2"/>
      <c r="AB4" s="2"/>
      <c r="AC4" s="2"/>
      <c r="AD4" s="2"/>
      <c r="AE4" s="2"/>
      <c r="AF4" s="2"/>
      <c r="AG4" s="2"/>
      <c r="AH4" s="2"/>
      <c r="AI4" s="2">
        <v>11684</v>
      </c>
      <c r="AJ4" s="2">
        <v>12080</v>
      </c>
      <c r="AK4" s="2">
        <v>12101</v>
      </c>
      <c r="AL4" s="2">
        <v>11030</v>
      </c>
      <c r="AM4" s="156">
        <f t="shared" si="0"/>
        <v>0.94402601848681955</v>
      </c>
      <c r="AN4" s="2">
        <v>11119</v>
      </c>
      <c r="AO4" s="156">
        <f t="shared" si="1"/>
        <v>0.95164327285176309</v>
      </c>
      <c r="AP4" s="2">
        <v>11186</v>
      </c>
      <c r="AQ4" s="156">
        <f t="shared" si="1"/>
        <v>0.95737761040739477</v>
      </c>
      <c r="AR4" s="2">
        <v>10699</v>
      </c>
      <c r="AS4" s="156">
        <f t="shared" ref="AS4:AW4" si="4">AR4/($AI4)</f>
        <v>0.91569667921944542</v>
      </c>
      <c r="AT4" s="2">
        <v>3107</v>
      </c>
      <c r="AU4" s="156">
        <f t="shared" si="4"/>
        <v>0.265919205751455</v>
      </c>
      <c r="AV4" s="2">
        <v>3598</v>
      </c>
      <c r="AW4" s="156">
        <f t="shared" si="4"/>
        <v>0.30794248545018832</v>
      </c>
      <c r="AX4" s="15">
        <v>5151</v>
      </c>
      <c r="AY4" s="156">
        <f t="shared" si="3"/>
        <v>0.44085929476206781</v>
      </c>
      <c r="BA4" s="15">
        <v>6907</v>
      </c>
      <c r="BC4" s="15">
        <v>5580</v>
      </c>
      <c r="BE4" s="15">
        <v>6062</v>
      </c>
      <c r="BG4" s="15">
        <v>5498</v>
      </c>
      <c r="BI4" s="15">
        <v>3167</v>
      </c>
      <c r="BK4" s="15">
        <v>3591</v>
      </c>
      <c r="BM4" s="15">
        <v>3348</v>
      </c>
      <c r="BO4" s="15">
        <v>3624</v>
      </c>
      <c r="BQ4" s="15">
        <v>3679</v>
      </c>
      <c r="BS4" s="15">
        <v>3782</v>
      </c>
      <c r="BU4" s="15">
        <v>5288</v>
      </c>
      <c r="BW4" s="15">
        <v>5283</v>
      </c>
      <c r="BY4" s="15">
        <v>4982</v>
      </c>
      <c r="CA4" s="15">
        <v>5839</v>
      </c>
      <c r="CC4" s="15">
        <v>5225</v>
      </c>
      <c r="CE4" s="15">
        <v>5229</v>
      </c>
    </row>
    <row r="5" spans="1:88" s="10" customFormat="1" ht="17.25" customHeight="1" thickBot="1">
      <c r="A5" s="21">
        <v>4</v>
      </c>
      <c r="B5" s="377" t="s">
        <v>1056</v>
      </c>
      <c r="C5" s="187" t="str">
        <f>D5</f>
        <v>{"institution":"BKW Energie AG","kontaktPerson":"","Rolle":"ganz wichtige Rolle"}</v>
      </c>
      <c r="D5" s="187" t="str">
        <f>E5&amp;F5&amp;G5&amp;H5&amp;I5&amp;J5&amp;K5&amp;L5&amp;M5&amp;N5&amp;O5&amp;P5&amp;Q5&amp;R5&amp;S5&amp;T5&amp;U5&amp;V5&amp;W5</f>
        <v>{"institution":"BKW Energie AG","kontaktPerson":"","Rolle":"ganz wichtige Rolle"}</v>
      </c>
      <c r="E5" s="17" t="s">
        <v>1057</v>
      </c>
      <c r="F5" s="255" t="s">
        <v>164</v>
      </c>
      <c r="G5" s="323" t="s">
        <v>1058</v>
      </c>
      <c r="H5" s="323"/>
      <c r="I5" s="323" t="s">
        <v>1059</v>
      </c>
      <c r="J5" s="24" t="s">
        <v>1060</v>
      </c>
      <c r="K5" s="323" t="s">
        <v>37</v>
      </c>
      <c r="L5" s="24"/>
      <c r="M5" s="323"/>
      <c r="N5" s="324"/>
      <c r="O5" s="325"/>
      <c r="P5" s="24"/>
      <c r="Q5" s="323"/>
      <c r="R5" s="24"/>
      <c r="S5" s="323"/>
      <c r="T5" s="24"/>
      <c r="U5" s="3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>
        <v>10041</v>
      </c>
      <c r="AJ5" s="24">
        <v>10138</v>
      </c>
      <c r="AK5" s="24">
        <v>10194</v>
      </c>
      <c r="AL5" s="24">
        <v>3982</v>
      </c>
      <c r="AM5" s="156">
        <f t="shared" si="0"/>
        <v>0.39657404640972016</v>
      </c>
      <c r="AN5" s="24">
        <v>3917</v>
      </c>
      <c r="AO5" s="156">
        <f t="shared" si="1"/>
        <v>0.3901005875908774</v>
      </c>
      <c r="AP5" s="24">
        <v>3936</v>
      </c>
      <c r="AQ5" s="156">
        <f t="shared" si="1"/>
        <v>0.39199282939946223</v>
      </c>
      <c r="AR5" s="24">
        <v>3973</v>
      </c>
      <c r="AS5" s="156">
        <f t="shared" ref="AS5:AW5" si="5">AR5/($AI5)</f>
        <v>0.39567772134249579</v>
      </c>
      <c r="AT5" s="24">
        <v>4081</v>
      </c>
      <c r="AU5" s="156">
        <f t="shared" si="5"/>
        <v>0.40643362214918832</v>
      </c>
      <c r="AV5" s="2">
        <v>4260</v>
      </c>
      <c r="AW5" s="156">
        <f t="shared" si="5"/>
        <v>0.42426053181953988</v>
      </c>
      <c r="AX5" s="10">
        <v>3410</v>
      </c>
      <c r="AY5" s="156">
        <f t="shared" si="3"/>
        <v>0.339607608803904</v>
      </c>
      <c r="BA5" s="10">
        <v>3140</v>
      </c>
      <c r="BC5" s="10">
        <v>3916</v>
      </c>
      <c r="BE5" s="10">
        <v>3394</v>
      </c>
      <c r="BG5" s="10">
        <v>3258</v>
      </c>
      <c r="BI5" s="10">
        <v>3238</v>
      </c>
      <c r="BK5" s="10">
        <v>3424</v>
      </c>
      <c r="BM5" s="10">
        <v>3373</v>
      </c>
      <c r="BO5" s="10">
        <v>3289</v>
      </c>
      <c r="BQ5" s="10">
        <v>3396</v>
      </c>
      <c r="BS5" s="10">
        <v>3285</v>
      </c>
      <c r="BU5" s="10">
        <v>3474</v>
      </c>
      <c r="BW5" s="10">
        <v>3362</v>
      </c>
      <c r="BY5" s="10">
        <v>4194</v>
      </c>
      <c r="CA5" s="3250">
        <v>0</v>
      </c>
      <c r="CB5" s="3251" t="s">
        <v>1500</v>
      </c>
      <c r="CC5" s="10">
        <v>3771</v>
      </c>
      <c r="CE5" s="10">
        <v>3297</v>
      </c>
      <c r="CG5" s="10">
        <v>259</v>
      </c>
      <c r="CI5" s="4137">
        <v>0</v>
      </c>
      <c r="CJ5" s="4138" t="s">
        <v>1740</v>
      </c>
    </row>
    <row r="6" spans="1:88"/>
    <row r="7" spans="1:88"/>
    <row r="8" spans="1:88" ht="14.25" customHeight="1">
      <c r="C8" s="51" t="s">
        <v>1061</v>
      </c>
    </row>
  </sheetData>
  <conditionalFormatting sqref="AM2:AM146 AO2:AO146 AQ2:AQ146 AS2:AS146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U2:AU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W2:AW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Y2:AY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7108-81F9-43E5-BDD2-AFEE9FF3218F}">
  <sheetPr>
    <tabColor rgb="FFFF0000"/>
  </sheetPr>
  <dimension ref="A1:CN29"/>
  <sheetViews>
    <sheetView zoomScaleNormal="100" workbookViewId="0">
      <pane xSplit="2" ySplit="1" topLeftCell="C2" activePane="bottomRight" state="frozen"/>
      <selection activeCell="H23" sqref="H23"/>
      <selection pane="topRight" activeCell="H23" sqref="H23"/>
      <selection pane="bottomLeft" activeCell="H23" sqref="H23"/>
      <selection pane="bottomRight" activeCell="C37" sqref="C37"/>
    </sheetView>
  </sheetViews>
  <sheetFormatPr defaultColWidth="9.140625" defaultRowHeight="14.25" customHeight="1"/>
  <cols>
    <col min="1" max="1" width="9.140625" style="1" customWidth="1"/>
    <col min="2" max="2" width="53.5703125" style="2" customWidth="1"/>
    <col min="3" max="3" width="191.7109375" style="2" customWidth="1"/>
    <col min="4" max="4" width="9.140625" style="2" customWidth="1"/>
    <col min="5" max="5" width="9.85546875" style="3" customWidth="1"/>
    <col min="6" max="6" width="18.85546875" style="2" customWidth="1"/>
    <col min="7" max="7" width="30" style="2" customWidth="1"/>
    <col min="8" max="8" width="50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22.5703125" style="2" customWidth="1"/>
    <col min="17" max="17" width="13.5703125" style="2" customWidth="1"/>
    <col min="18" max="18" width="24.5703125" style="2" customWidth="1"/>
    <col min="19" max="37" width="9.140625" style="2" customWidth="1"/>
    <col min="38" max="42" width="11.7109375" style="2" customWidth="1"/>
    <col min="43" max="43" width="11.7109375" style="12" customWidth="1"/>
    <col min="44" max="44" width="11.7109375" style="2" customWidth="1"/>
    <col min="45" max="45" width="11.7109375" style="12" customWidth="1"/>
    <col min="46" max="46" width="11.7109375" style="2" customWidth="1"/>
    <col min="47" max="47" width="11.7109375" style="12" customWidth="1"/>
    <col min="48" max="48" width="11.7109375" style="2" customWidth="1"/>
    <col min="49" max="49" width="11.7109375" style="12" customWidth="1"/>
    <col min="50" max="50" width="30" style="2" customWidth="1"/>
    <col min="51" max="51" width="11.7109375" style="12" customWidth="1"/>
    <col min="52" max="52" width="10.42578125" style="2" customWidth="1"/>
    <col min="53" max="53" width="11.7109375" style="12" customWidth="1"/>
    <col min="54" max="54" width="20" style="2" customWidth="1"/>
    <col min="55" max="55" width="11.7109375" style="12" customWidth="1"/>
    <col min="56" max="56" width="9.140625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16384" width="9.140625" style="2"/>
  </cols>
  <sheetData>
    <row r="1" spans="1:92" ht="13.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14*60*1000*SpeedFaktor</f>
        <v>840000</v>
      </c>
      <c r="H1" s="2">
        <v>10</v>
      </c>
      <c r="AL1" s="2" t="s">
        <v>5</v>
      </c>
      <c r="AM1" s="2" t="s">
        <v>657</v>
      </c>
      <c r="AN1" s="2" t="s">
        <v>676</v>
      </c>
      <c r="AO1" s="2" t="s">
        <v>658</v>
      </c>
      <c r="AP1" s="2" t="s">
        <v>10</v>
      </c>
      <c r="AQ1" s="24" t="s">
        <v>8</v>
      </c>
      <c r="AR1" s="2" t="s">
        <v>11</v>
      </c>
      <c r="AS1" s="24" t="s">
        <v>8</v>
      </c>
      <c r="AT1" s="2" t="s">
        <v>12</v>
      </c>
      <c r="AU1" s="24" t="s">
        <v>8</v>
      </c>
      <c r="AV1" s="2" t="s">
        <v>13</v>
      </c>
      <c r="AW1" s="24" t="s">
        <v>8</v>
      </c>
      <c r="AX1" s="2" t="s">
        <v>65</v>
      </c>
      <c r="AY1" s="24" t="s">
        <v>8</v>
      </c>
      <c r="AZ1" s="2" t="s">
        <v>15</v>
      </c>
      <c r="BA1" s="24" t="s">
        <v>8</v>
      </c>
      <c r="BB1" s="535" t="s">
        <v>1303</v>
      </c>
      <c r="BC1" s="24" t="s">
        <v>8</v>
      </c>
      <c r="BE1" s="891" t="s">
        <v>1317</v>
      </c>
      <c r="BF1" s="892" t="s">
        <v>572</v>
      </c>
      <c r="BG1" s="1015" t="s">
        <v>1318</v>
      </c>
      <c r="BH1" s="1016" t="s">
        <v>572</v>
      </c>
      <c r="BI1" s="1161" t="s">
        <v>1324</v>
      </c>
      <c r="BJ1" s="1162" t="s">
        <v>572</v>
      </c>
      <c r="BK1" s="1364" t="s">
        <v>1341</v>
      </c>
      <c r="BL1" s="1365" t="s">
        <v>572</v>
      </c>
      <c r="BM1" s="1618" t="s">
        <v>1363</v>
      </c>
      <c r="BN1" s="1619" t="s">
        <v>572</v>
      </c>
      <c r="BO1" s="1758" t="s">
        <v>1368</v>
      </c>
      <c r="BP1" s="1759" t="s">
        <v>572</v>
      </c>
      <c r="BQ1" s="1899" t="s">
        <v>1372</v>
      </c>
      <c r="BR1" s="1900" t="s">
        <v>572</v>
      </c>
      <c r="BS1" s="2195" t="s">
        <v>1397</v>
      </c>
      <c r="BT1" s="2196" t="s">
        <v>572</v>
      </c>
      <c r="BU1" s="2372" t="s">
        <v>1421</v>
      </c>
      <c r="BV1" s="2373" t="s">
        <v>572</v>
      </c>
      <c r="BW1" s="2528" t="s">
        <v>1434</v>
      </c>
      <c r="BX1" s="2529" t="s">
        <v>572</v>
      </c>
      <c r="BY1" s="2691" t="s">
        <v>1442</v>
      </c>
      <c r="BZ1" s="2692" t="s">
        <v>572</v>
      </c>
      <c r="CA1" s="2880" t="s">
        <v>1460</v>
      </c>
      <c r="CB1" s="2881" t="s">
        <v>572</v>
      </c>
      <c r="CC1" s="3064" t="s">
        <v>1472</v>
      </c>
      <c r="CD1" s="3065" t="s">
        <v>572</v>
      </c>
      <c r="CE1" s="3248" t="s">
        <v>1492</v>
      </c>
      <c r="CF1" s="3249" t="s">
        <v>572</v>
      </c>
      <c r="CG1" s="3422" t="s">
        <v>1503</v>
      </c>
      <c r="CH1" s="3423" t="s">
        <v>572</v>
      </c>
      <c r="CI1" s="3616" t="s">
        <v>1519</v>
      </c>
      <c r="CJ1" s="3617" t="s">
        <v>572</v>
      </c>
      <c r="CK1" s="3922" t="s">
        <v>1666</v>
      </c>
      <c r="CL1" s="3923" t="s">
        <v>572</v>
      </c>
      <c r="CM1" s="4139" t="s">
        <v>1717</v>
      </c>
      <c r="CN1" s="4140" t="s">
        <v>572</v>
      </c>
    </row>
    <row r="2" spans="1:92" ht="14.25" customHeight="1">
      <c r="A2" s="119">
        <v>1</v>
      </c>
      <c r="B2" s="122" t="s">
        <v>21</v>
      </c>
      <c r="C2" s="590" t="str">
        <f>'001a'!B59</f>
        <v>{"url":p.aventisURL}</v>
      </c>
      <c r="AM2" s="2">
        <v>1942</v>
      </c>
      <c r="AN2" s="2">
        <v>2013</v>
      </c>
      <c r="AO2" s="2">
        <v>1518</v>
      </c>
      <c r="AP2" s="2">
        <v>1889</v>
      </c>
      <c r="AQ2" s="156">
        <f>AP2/($AM2)</f>
        <v>0.97270854788877448</v>
      </c>
      <c r="AR2" s="2">
        <v>2225</v>
      </c>
      <c r="AS2" s="156">
        <f>AR2/($AM2)</f>
        <v>1.1457260556127704</v>
      </c>
      <c r="AT2" s="2">
        <v>1581</v>
      </c>
      <c r="AU2" s="156">
        <f>AT2/($AM2)</f>
        <v>0.81410916580844495</v>
      </c>
      <c r="AV2" s="2">
        <v>1503</v>
      </c>
      <c r="AW2" s="156">
        <f>AV2/($AM2)</f>
        <v>0.77394438722966019</v>
      </c>
      <c r="AX2" s="2">
        <v>1793</v>
      </c>
      <c r="AY2" s="156">
        <f>AX2/($AM2)</f>
        <v>0.92327497425334704</v>
      </c>
      <c r="AZ2" s="2">
        <v>951</v>
      </c>
      <c r="BA2" s="156">
        <f>AZ2/($AM2)</f>
        <v>0.48970133882595263</v>
      </c>
      <c r="BB2" s="2">
        <v>1210</v>
      </c>
      <c r="BC2" s="156">
        <f>BB2/($AM2)</f>
        <v>0.62306900102986607</v>
      </c>
      <c r="BE2" s="2">
        <v>1613</v>
      </c>
      <c r="BG2" s="2">
        <v>1203</v>
      </c>
      <c r="BI2" s="2">
        <v>1167</v>
      </c>
      <c r="BK2" s="2">
        <v>1264</v>
      </c>
      <c r="BM2" s="2">
        <v>1320</v>
      </c>
      <c r="BO2" s="2">
        <v>1176</v>
      </c>
      <c r="BQ2" s="2">
        <v>1363</v>
      </c>
      <c r="BS2" s="2">
        <v>1688</v>
      </c>
      <c r="BU2" s="2">
        <v>1885</v>
      </c>
      <c r="BW2" s="2">
        <v>1022</v>
      </c>
      <c r="BY2" s="2">
        <v>1047</v>
      </c>
      <c r="CA2" s="2">
        <v>1152</v>
      </c>
      <c r="CC2" s="2">
        <v>1489</v>
      </c>
      <c r="CE2" s="2">
        <v>1595</v>
      </c>
      <c r="CG2" s="2">
        <v>1189</v>
      </c>
      <c r="CI2" s="2">
        <v>1239</v>
      </c>
      <c r="CK2" s="2">
        <v>1445</v>
      </c>
      <c r="CM2" s="2">
        <v>415</v>
      </c>
      <c r="CN2" s="2" t="s">
        <v>1718</v>
      </c>
    </row>
    <row r="3" spans="1:92" ht="14.25" customHeight="1">
      <c r="A3" s="119">
        <v>2</v>
      </c>
      <c r="B3" s="591" t="s">
        <v>25</v>
      </c>
      <c r="C3" s="606" t="s">
        <v>633</v>
      </c>
      <c r="D3" s="2" t="s">
        <v>28</v>
      </c>
      <c r="AM3" s="2">
        <v>8218</v>
      </c>
      <c r="AN3" s="2">
        <v>7041</v>
      </c>
      <c r="AO3" s="2">
        <v>6973</v>
      </c>
      <c r="AP3" s="2">
        <v>10563</v>
      </c>
      <c r="AQ3" s="156">
        <f t="shared" ref="AQ3:AQ5" si="0">AP3/($AM3)</f>
        <v>1.2853492333901193</v>
      </c>
      <c r="AR3" s="2">
        <v>10435</v>
      </c>
      <c r="AS3" s="156">
        <f t="shared" ref="AS3:AU5" si="1">AR3/($AM3)</f>
        <v>1.2697736675590168</v>
      </c>
      <c r="AT3" s="2">
        <v>10190</v>
      </c>
      <c r="AU3" s="156">
        <f t="shared" si="1"/>
        <v>1.2399610610854221</v>
      </c>
      <c r="AV3" s="2">
        <v>10607</v>
      </c>
      <c r="AW3" s="156">
        <f t="shared" ref="AW3:BA5" si="2">AV3/($AM3)</f>
        <v>1.2907033341445606</v>
      </c>
      <c r="AX3" s="2">
        <v>9314</v>
      </c>
      <c r="AY3" s="156">
        <f t="shared" si="2"/>
        <v>1.1333657824288148</v>
      </c>
      <c r="AZ3" s="2">
        <v>9368</v>
      </c>
      <c r="BA3" s="156">
        <f t="shared" si="2"/>
        <v>1.1399367242638112</v>
      </c>
      <c r="BB3" s="2">
        <v>7676</v>
      </c>
      <c r="BC3" s="156">
        <f t="shared" ref="BC3:BC5" si="3">BB3/($AM3)</f>
        <v>0.93404721343392549</v>
      </c>
      <c r="BE3" s="2">
        <v>9891</v>
      </c>
      <c r="BG3" s="2">
        <v>7722</v>
      </c>
      <c r="BI3" s="2">
        <v>7797</v>
      </c>
      <c r="BK3" s="2">
        <v>7619</v>
      </c>
      <c r="BM3" s="2">
        <v>7440</v>
      </c>
      <c r="BO3" s="2">
        <v>8085</v>
      </c>
      <c r="BQ3" s="2">
        <v>7823</v>
      </c>
      <c r="BS3" s="2">
        <v>7679</v>
      </c>
      <c r="BU3" s="2">
        <v>7494</v>
      </c>
      <c r="BW3" s="2">
        <v>6824</v>
      </c>
      <c r="BY3" s="2">
        <v>7117</v>
      </c>
      <c r="CA3" s="2">
        <v>8783</v>
      </c>
      <c r="CC3" s="2">
        <v>8117</v>
      </c>
      <c r="CE3" s="2">
        <v>11524</v>
      </c>
      <c r="CG3" s="2">
        <v>8865</v>
      </c>
      <c r="CI3" s="2">
        <v>9615</v>
      </c>
      <c r="CK3" s="2">
        <v>21448</v>
      </c>
      <c r="CM3" s="2">
        <v>6327</v>
      </c>
      <c r="CN3" s="2" t="s">
        <v>1718</v>
      </c>
    </row>
    <row r="4" spans="1:92" s="15" customFormat="1" ht="15.75" customHeight="1" thickBot="1">
      <c r="A4" s="119"/>
      <c r="B4" s="590" t="s">
        <v>139</v>
      </c>
      <c r="C4" s="122" t="str">
        <f>G4&amp;H4&amp;I4&amp;J4</f>
        <v>{"searchDossierOrKlient":p.DossierName2,"resultType":"Dossiers"}</v>
      </c>
      <c r="D4" s="2" t="s">
        <v>28</v>
      </c>
      <c r="E4" s="2"/>
      <c r="F4" s="2"/>
      <c r="G4" s="276" t="s">
        <v>140</v>
      </c>
      <c r="H4" s="277" t="s">
        <v>513</v>
      </c>
      <c r="I4" s="276" t="s">
        <v>623</v>
      </c>
      <c r="J4" s="2"/>
      <c r="K4" s="276"/>
      <c r="L4" s="2"/>
      <c r="M4" s="276"/>
      <c r="N4" s="2"/>
      <c r="O4" s="276"/>
      <c r="P4" s="2"/>
      <c r="Q4" s="276"/>
      <c r="R4" s="2"/>
      <c r="S4" s="276"/>
      <c r="T4" s="2"/>
      <c r="U4" s="278"/>
      <c r="V4" s="2"/>
      <c r="W4" s="278"/>
      <c r="X4" s="2"/>
      <c r="Y4" s="278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>
        <v>11684</v>
      </c>
      <c r="AN4" s="2">
        <v>12080</v>
      </c>
      <c r="AO4" s="2">
        <v>12101</v>
      </c>
      <c r="AP4" s="2">
        <v>11030</v>
      </c>
      <c r="AQ4" s="156">
        <f t="shared" si="0"/>
        <v>0.94402601848681955</v>
      </c>
      <c r="AR4" s="2">
        <v>11119</v>
      </c>
      <c r="AS4" s="156">
        <f t="shared" si="1"/>
        <v>0.95164327285176309</v>
      </c>
      <c r="AT4" s="2">
        <v>11186</v>
      </c>
      <c r="AU4" s="156">
        <f t="shared" si="1"/>
        <v>0.95737761040739477</v>
      </c>
      <c r="AV4" s="2">
        <v>10699</v>
      </c>
      <c r="AW4" s="156">
        <f t="shared" si="2"/>
        <v>0.91569667921944542</v>
      </c>
      <c r="AX4" s="2">
        <v>3107</v>
      </c>
      <c r="AY4" s="156">
        <f t="shared" si="2"/>
        <v>0.265919205751455</v>
      </c>
      <c r="AZ4" s="2">
        <v>3598</v>
      </c>
      <c r="BA4" s="156">
        <f t="shared" si="2"/>
        <v>0.30794248545018832</v>
      </c>
      <c r="BB4" s="15">
        <v>5151</v>
      </c>
      <c r="BC4" s="156">
        <f t="shared" si="3"/>
        <v>0.44085929476206781</v>
      </c>
      <c r="BE4" s="15">
        <v>6907</v>
      </c>
      <c r="BG4" s="15">
        <v>5580</v>
      </c>
      <c r="BI4" s="15">
        <v>6062</v>
      </c>
      <c r="BK4" s="15">
        <v>5498</v>
      </c>
      <c r="BM4" s="15">
        <v>3167</v>
      </c>
      <c r="BO4" s="15">
        <v>3591</v>
      </c>
      <c r="BQ4" s="15">
        <v>3348</v>
      </c>
      <c r="BS4" s="15">
        <v>3624</v>
      </c>
      <c r="BU4" s="15">
        <v>3679</v>
      </c>
      <c r="BW4" s="15">
        <v>3782</v>
      </c>
      <c r="BY4" s="15">
        <v>5288</v>
      </c>
      <c r="CA4" s="15">
        <v>5283</v>
      </c>
      <c r="CC4" s="15">
        <v>4982</v>
      </c>
      <c r="CE4" s="15">
        <v>5839</v>
      </c>
      <c r="CG4" s="15">
        <v>5225</v>
      </c>
      <c r="CI4" s="15">
        <v>5229</v>
      </c>
    </row>
    <row r="5" spans="1:92" s="10" customFormat="1" ht="54" customHeight="1" thickBot="1">
      <c r="A5" s="21">
        <v>4</v>
      </c>
      <c r="B5" s="248" t="s">
        <v>1619</v>
      </c>
      <c r="C5" s="187" t="str">
        <f ca="1">D5</f>
        <v>{"Name":"BKW Energie AG","Strasse":"Weckerweg","hausNr":"12","gueltigVon":"01.11.2025","gueltigBis":"31.12.2025","typisierung.":"Krankenkasse","tel":"123123","eMail":"qwe@sss.ch","ort":"5210 Windisch","kPName":"Hoslio","kPVorname":"Huberz","kPTel":"222","kPMobile":"222","kPMail":"","kPTel":"222","kPMobile":"222","kPMail":"ww@ddd.ch","kPIBAN":p.IBAN88}</v>
      </c>
      <c r="D5" s="329" t="str">
        <f ca="1">E5&amp;F5&amp;G5&amp;H5&amp;I5&amp;J5&amp;K5&amp;L5&amp;M5&amp;N5&amp;O5&amp;P5&amp;Q5&amp;R5&amp;S5&amp;T5&amp;U5&amp;V5&amp;W5&amp;X5&amp;Y5&amp;Z5&amp;AA5&amp;AB5&amp;AC5&amp;AD5&amp;AE5&amp;AF5&amp;AG5&amp;AC5&amp;AD5&amp;AE5&amp;AF5&amp;AG5&amp;AH5&amp;AI5&amp;AJ5&amp;AK5</f>
        <v>{"Name":"BKW Energie AG","Strasse":"Weckerweg","hausNr":"12","gueltigVon":"01.11.2025","gueltigBis":"31.12.2025","typisierung.":"Krankenkasse","tel":"123123","eMail":"qwe@sss.ch","ort":"5210 Windisch","kPName":"Hoslio","kPVorname":"Huberz","kPTel":"222","kPMobile":"222","kPMail":"","kPTel":"222","kPMobile":"222","kPMail":"ww@ddd.ch","kPIBAN":p.IBAN88}</v>
      </c>
      <c r="E5" s="309" t="s">
        <v>1620</v>
      </c>
      <c r="F5" s="255" t="s">
        <v>164</v>
      </c>
      <c r="G5" s="323" t="s">
        <v>1629</v>
      </c>
      <c r="H5" s="323" t="s">
        <v>1633</v>
      </c>
      <c r="I5" s="323" t="s">
        <v>653</v>
      </c>
      <c r="J5" s="231">
        <v>12</v>
      </c>
      <c r="K5" s="323" t="s">
        <v>167</v>
      </c>
      <c r="L5" s="414" t="str">
        <f ca="1">"01."&amp;TEXT(TODAY(),"MM")&amp;"."&amp;TEXT(TODAY(),"YYYY")</f>
        <v>01.11.2025</v>
      </c>
      <c r="M5" s="323" t="s">
        <v>168</v>
      </c>
      <c r="N5" s="344" t="str">
        <f ca="1">"31.12."&amp;YEAR(TODAY())</f>
        <v>31.12.2025</v>
      </c>
      <c r="O5" s="323" t="s">
        <v>1621</v>
      </c>
      <c r="P5" s="231" t="s">
        <v>1637</v>
      </c>
      <c r="Q5" s="323" t="s">
        <v>1622</v>
      </c>
      <c r="R5" s="231">
        <v>123123</v>
      </c>
      <c r="S5" s="323" t="s">
        <v>1623</v>
      </c>
      <c r="T5" s="3726" t="s">
        <v>1638</v>
      </c>
      <c r="U5" s="323" t="s">
        <v>103</v>
      </c>
      <c r="V5" s="231" t="s">
        <v>1292</v>
      </c>
      <c r="W5" s="323"/>
      <c r="X5" s="231"/>
      <c r="Y5" s="323" t="s">
        <v>1624</v>
      </c>
      <c r="Z5" s="231" t="s">
        <v>1639</v>
      </c>
      <c r="AA5" s="323" t="s">
        <v>1625</v>
      </c>
      <c r="AB5" s="231" t="s">
        <v>1640</v>
      </c>
      <c r="AC5" s="323" t="s">
        <v>1626</v>
      </c>
      <c r="AD5" s="231">
        <v>222</v>
      </c>
      <c r="AE5" s="323" t="s">
        <v>1627</v>
      </c>
      <c r="AF5" s="231">
        <v>222</v>
      </c>
      <c r="AG5" s="323" t="s">
        <v>1628</v>
      </c>
      <c r="AH5" s="3727" t="s">
        <v>1641</v>
      </c>
      <c r="AI5" s="323" t="s">
        <v>1643</v>
      </c>
      <c r="AJ5" s="3728" t="s">
        <v>1642</v>
      </c>
      <c r="AK5" s="323" t="s">
        <v>109</v>
      </c>
      <c r="AL5" s="231"/>
      <c r="AM5" s="231">
        <v>10041</v>
      </c>
      <c r="AN5" s="231">
        <v>10138</v>
      </c>
      <c r="AO5" s="231">
        <v>10194</v>
      </c>
      <c r="AP5" s="231">
        <v>3982</v>
      </c>
      <c r="AQ5" s="156">
        <f t="shared" si="0"/>
        <v>0.39657404640972016</v>
      </c>
      <c r="AR5" s="231">
        <v>3917</v>
      </c>
      <c r="AS5" s="156">
        <f t="shared" si="1"/>
        <v>0.3901005875908774</v>
      </c>
      <c r="AT5" s="231">
        <v>3936</v>
      </c>
      <c r="AU5" s="156">
        <f t="shared" si="1"/>
        <v>0.39199282939946223</v>
      </c>
      <c r="AV5" s="231">
        <v>3973</v>
      </c>
      <c r="AW5" s="156">
        <f t="shared" si="2"/>
        <v>0.39567772134249579</v>
      </c>
      <c r="AX5" s="231">
        <v>4081</v>
      </c>
      <c r="AY5" s="156">
        <f t="shared" si="2"/>
        <v>0.40643362214918832</v>
      </c>
      <c r="AZ5" s="3">
        <v>4260</v>
      </c>
      <c r="BA5" s="156">
        <f t="shared" si="2"/>
        <v>0.42426053181953988</v>
      </c>
      <c r="BB5" s="10">
        <v>3410</v>
      </c>
      <c r="BC5" s="156">
        <f t="shared" si="3"/>
        <v>0.339607608803904</v>
      </c>
      <c r="BE5" s="10">
        <v>3140</v>
      </c>
      <c r="BG5" s="10">
        <v>3916</v>
      </c>
      <c r="BI5" s="10">
        <v>3394</v>
      </c>
      <c r="BK5" s="10">
        <v>3258</v>
      </c>
      <c r="BM5" s="10">
        <v>3238</v>
      </c>
      <c r="BO5" s="10">
        <v>3424</v>
      </c>
      <c r="BQ5" s="10">
        <v>3373</v>
      </c>
      <c r="BS5" s="10">
        <v>3289</v>
      </c>
      <c r="BU5" s="10">
        <v>3396</v>
      </c>
      <c r="BW5" s="10">
        <v>3285</v>
      </c>
      <c r="BY5" s="10">
        <v>3474</v>
      </c>
      <c r="CA5" s="10">
        <v>3362</v>
      </c>
      <c r="CC5" s="10">
        <v>4194</v>
      </c>
      <c r="CE5" s="3250">
        <v>0</v>
      </c>
      <c r="CF5" s="3251" t="s">
        <v>1500</v>
      </c>
      <c r="CG5" s="10">
        <v>3771</v>
      </c>
      <c r="CI5" s="10">
        <v>3297</v>
      </c>
      <c r="CK5" s="3924">
        <v>0</v>
      </c>
      <c r="CL5" s="3925" t="s">
        <v>1693</v>
      </c>
      <c r="CM5" s="4141">
        <v>0</v>
      </c>
      <c r="CN5" s="4142" t="s">
        <v>1741</v>
      </c>
    </row>
    <row r="6" spans="1:92">
      <c r="C6" s="12"/>
    </row>
    <row r="7" spans="1:92">
      <c r="B7" s="3685" t="s">
        <v>743</v>
      </c>
      <c r="C7" s="12"/>
    </row>
    <row r="8" spans="1:92" ht="14.25" customHeight="1">
      <c r="B8" s="2" t="s">
        <v>1593</v>
      </c>
      <c r="C8" s="168" t="s">
        <v>1594</v>
      </c>
    </row>
    <row r="9" spans="1:92" ht="14.25" customHeight="1">
      <c r="B9" s="2" t="s">
        <v>1595</v>
      </c>
      <c r="C9" s="12" t="s">
        <v>1596</v>
      </c>
    </row>
    <row r="10" spans="1:92" ht="14.25" customHeight="1">
      <c r="B10" s="2" t="s">
        <v>788</v>
      </c>
      <c r="C10" s="12" t="s">
        <v>1597</v>
      </c>
    </row>
    <row r="11" spans="1:92" ht="14.25" customHeight="1">
      <c r="B11" s="2" t="s">
        <v>1598</v>
      </c>
      <c r="C11" s="146">
        <v>12</v>
      </c>
    </row>
    <row r="12" spans="1:92" ht="14.25" customHeight="1">
      <c r="B12" s="2" t="s">
        <v>1599</v>
      </c>
      <c r="C12" s="12" t="s">
        <v>1600</v>
      </c>
    </row>
    <row r="13" spans="1:92" ht="14.25" customHeight="1">
      <c r="B13" s="2" t="s">
        <v>1601</v>
      </c>
      <c r="C13" s="12" t="s">
        <v>1602</v>
      </c>
    </row>
    <row r="14" spans="1:92" ht="14.25" customHeight="1">
      <c r="B14" s="2" t="s">
        <v>1603</v>
      </c>
      <c r="C14" s="12" t="s">
        <v>806</v>
      </c>
    </row>
    <row r="15" spans="1:92" ht="14.25" customHeight="1">
      <c r="B15" s="2" t="s">
        <v>1604</v>
      </c>
      <c r="C15" s="12">
        <v>121212</v>
      </c>
    </row>
    <row r="16" spans="1:92" ht="14.25" customHeight="1">
      <c r="B16" s="2" t="s">
        <v>1605</v>
      </c>
      <c r="C16" s="3684" t="s">
        <v>1606</v>
      </c>
    </row>
    <row r="17" spans="2:4" ht="14.25" customHeight="1">
      <c r="B17" s="2" t="s">
        <v>1607</v>
      </c>
      <c r="C17" s="12" t="s">
        <v>1608</v>
      </c>
    </row>
    <row r="18" spans="2:4" ht="14.25" customHeight="1">
      <c r="B18" s="3685" t="s">
        <v>1616</v>
      </c>
      <c r="C18" s="12"/>
    </row>
    <row r="19" spans="2:4" ht="14.25" customHeight="1">
      <c r="B19" s="2" t="s">
        <v>1609</v>
      </c>
      <c r="C19" s="12" t="s">
        <v>801</v>
      </c>
    </row>
    <row r="20" spans="2:4" ht="14.25" customHeight="1">
      <c r="B20" s="2" t="s">
        <v>1610</v>
      </c>
      <c r="C20" s="12" t="s">
        <v>1614</v>
      </c>
    </row>
    <row r="21" spans="2:4" ht="14.25" customHeight="1">
      <c r="B21" s="2" t="s">
        <v>1611</v>
      </c>
      <c r="C21" s="12">
        <v>1231234</v>
      </c>
    </row>
    <row r="22" spans="2:4" ht="14.25" customHeight="1">
      <c r="B22" s="2" t="s">
        <v>1612</v>
      </c>
      <c r="C22" s="12">
        <v>123123</v>
      </c>
    </row>
    <row r="23" spans="2:4" ht="14.25" customHeight="1">
      <c r="B23" s="2" t="s">
        <v>1613</v>
      </c>
      <c r="C23" s="3684" t="s">
        <v>1606</v>
      </c>
    </row>
    <row r="24" spans="2:4" ht="14.25" customHeight="1">
      <c r="C24" s="12"/>
    </row>
    <row r="25" spans="2:4"/>
    <row r="26" spans="2:4" ht="14.25" customHeight="1">
      <c r="B26" s="3685" t="s">
        <v>1615</v>
      </c>
    </row>
    <row r="27" spans="2:4" ht="14.25" customHeight="1">
      <c r="B27" s="2" t="s">
        <v>1617</v>
      </c>
      <c r="C27" s="3686" t="s">
        <v>1618</v>
      </c>
    </row>
    <row r="28" spans="2:4" ht="14.25" customHeight="1" thickBot="1"/>
    <row r="29" spans="2:4" ht="14.25" customHeight="1" thickBot="1">
      <c r="C29" s="329" t="str">
        <f>D29&amp;E29&amp;F29&amp;G29&amp;H29&amp;I29&amp;J29&amp;K29&amp;L29&amp;M29&amp;N29&amp;O29&amp;P29&amp;Q29&amp;R29&amp;S29&amp;T29&amp;U29&amp;V29&amp;W29&amp;X29&amp;Y29&amp;Z29&amp;AA29&amp;AB29&amp;AC29&amp;AD29&amp;AE29</f>
        <v/>
      </c>
      <c r="D29" s="329" t="str">
        <f>E29&amp;F29&amp;G29&amp;H29&amp;I29&amp;J29&amp;K29&amp;L29&amp;M29&amp;N29&amp;O29&amp;P29&amp;Q29&amp;R29&amp;S29&amp;T29&amp;U29&amp;V29&amp;W29&amp;X29&amp;Y29&amp;Z29&amp;AA29&amp;AB29&amp;AC29&amp;AD29&amp;AE29&amp;AF29</f>
        <v/>
      </c>
    </row>
  </sheetData>
  <conditionalFormatting sqref="AQ2:AQ146 AS2:AS146 AU2:AU146 AW2:AW146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Y2:AY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C16" r:id="rId1" xr:uid="{1F65D844-6A9F-4A3D-B83E-907DF9AF4A6C}"/>
    <hyperlink ref="C23" r:id="rId2" xr:uid="{87ECAEFC-7135-40DA-81E0-F3FFE45C5DB8}"/>
    <hyperlink ref="T5" r:id="rId3" xr:uid="{3479579C-8A37-41DA-9720-DC10845E387A}"/>
    <hyperlink ref="AH5" r:id="rId4" xr:uid="{191B3BA2-0F88-4F92-BFFD-F57F441901C8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006B-E057-430B-A863-957891CA72DB}">
  <sheetPr>
    <tabColor theme="0" tint="-0.34998626667073579"/>
  </sheetPr>
  <dimension ref="A1:CQ27"/>
  <sheetViews>
    <sheetView zoomScaleNormal="100" workbookViewId="0">
      <pane xSplit="2" ySplit="1" topLeftCell="C2" activePane="bottomRight" state="frozen"/>
      <selection activeCell="D5" sqref="D5"/>
      <selection pane="topRight" activeCell="D5" sqref="D5"/>
      <selection pane="bottomLeft" activeCell="D5" sqref="D5"/>
      <selection pane="bottomRight" activeCell="C18" sqref="C18"/>
    </sheetView>
  </sheetViews>
  <sheetFormatPr defaultColWidth="9.140625" defaultRowHeight="14.25" customHeight="1"/>
  <cols>
    <col min="1" max="1" width="9.140625" style="1" customWidth="1"/>
    <col min="2" max="2" width="53.5703125" style="3" customWidth="1"/>
    <col min="3" max="3" width="191.7109375" style="3" customWidth="1"/>
    <col min="4" max="4" width="9.140625" style="3" customWidth="1"/>
    <col min="5" max="5" width="9.85546875" style="3" customWidth="1"/>
    <col min="6" max="6" width="18.85546875" style="3" customWidth="1"/>
    <col min="7" max="7" width="30" style="3" customWidth="1"/>
    <col min="8" max="8" width="50" style="3" customWidth="1"/>
    <col min="9" max="9" width="10.140625" style="3" customWidth="1"/>
    <col min="10" max="10" width="15.28515625" style="3" customWidth="1"/>
    <col min="11" max="11" width="9.140625" style="3" customWidth="1"/>
    <col min="12" max="12" width="36.5703125" style="3" customWidth="1"/>
    <col min="13" max="13" width="9.140625" style="3" customWidth="1"/>
    <col min="14" max="14" width="31.7109375" style="3" customWidth="1"/>
    <col min="15" max="15" width="9.140625" style="3" customWidth="1"/>
    <col min="16" max="16" width="22.5703125" style="3" customWidth="1"/>
    <col min="17" max="17" width="13.5703125" style="3" customWidth="1"/>
    <col min="18" max="18" width="24.5703125" style="3" customWidth="1"/>
    <col min="19" max="37" width="9.140625" style="3" customWidth="1"/>
    <col min="38" max="38" width="30.28515625" style="3" customWidth="1"/>
    <col min="39" max="40" width="9.140625" style="3" customWidth="1"/>
    <col min="41" max="45" width="11.7109375" style="3" customWidth="1"/>
    <col min="46" max="46" width="11.7109375" style="12" customWidth="1"/>
    <col min="47" max="47" width="11.7109375" style="3" customWidth="1"/>
    <col min="48" max="48" width="11.7109375" style="12" customWidth="1"/>
    <col min="49" max="49" width="11.7109375" style="3" customWidth="1"/>
    <col min="50" max="50" width="11.7109375" style="12" customWidth="1"/>
    <col min="51" max="51" width="11.7109375" style="3" customWidth="1"/>
    <col min="52" max="52" width="11.7109375" style="12" customWidth="1"/>
    <col min="53" max="53" width="30" style="3" customWidth="1"/>
    <col min="54" max="54" width="11.7109375" style="12" customWidth="1"/>
    <col min="55" max="55" width="10.42578125" style="3" customWidth="1"/>
    <col min="56" max="56" width="11.7109375" style="12" customWidth="1"/>
    <col min="57" max="57" width="20" style="3" customWidth="1"/>
    <col min="58" max="58" width="11.7109375" style="12" customWidth="1"/>
    <col min="59" max="59" width="9.140625" style="3" customWidth="1"/>
    <col min="60" max="60" width="20" style="3" customWidth="1"/>
    <col min="61" max="61" width="50" style="3" customWidth="1"/>
    <col min="62" max="62" width="20" style="3" customWidth="1"/>
    <col min="63" max="63" width="50" style="3" customWidth="1"/>
    <col min="64" max="64" width="20" style="3" customWidth="1"/>
    <col min="65" max="65" width="50" style="3" customWidth="1"/>
    <col min="66" max="66" width="20" style="3" customWidth="1"/>
    <col min="67" max="67" width="50" style="3" customWidth="1"/>
    <col min="68" max="68" width="20" style="3" customWidth="1"/>
    <col min="69" max="69" width="50" style="3" customWidth="1"/>
    <col min="70" max="70" width="20" style="3" customWidth="1"/>
    <col min="71" max="71" width="50" style="3" customWidth="1"/>
    <col min="72" max="72" width="20" style="3" customWidth="1"/>
    <col min="73" max="73" width="50" style="3" customWidth="1"/>
    <col min="74" max="74" width="20" style="3" customWidth="1"/>
    <col min="75" max="75" width="50" style="3" customWidth="1"/>
    <col min="76" max="76" width="20" style="3" customWidth="1"/>
    <col min="77" max="77" width="50" style="3" customWidth="1"/>
    <col min="78" max="78" width="20" style="3" customWidth="1"/>
    <col min="79" max="79" width="50" style="3" customWidth="1"/>
    <col min="80" max="80" width="20" style="3" customWidth="1"/>
    <col min="81" max="81" width="50" style="3" customWidth="1"/>
    <col min="82" max="82" width="20" style="3" customWidth="1"/>
    <col min="83" max="83" width="50" style="3" customWidth="1"/>
    <col min="84" max="84" width="20" style="3" customWidth="1"/>
    <col min="85" max="85" width="50" style="3" customWidth="1"/>
    <col min="86" max="86" width="20" style="3" customWidth="1"/>
    <col min="87" max="87" width="50" style="3" customWidth="1"/>
    <col min="88" max="88" width="20" style="3" customWidth="1"/>
    <col min="89" max="89" width="50" style="3" customWidth="1"/>
    <col min="90" max="90" width="20" style="3" customWidth="1"/>
    <col min="91" max="91" width="50" style="3" customWidth="1"/>
    <col min="92" max="92" width="20" style="3" customWidth="1"/>
    <col min="93" max="93" width="50" style="3" customWidth="1"/>
    <col min="94" max="94" width="20" style="3" customWidth="1"/>
    <col min="95" max="95" width="50" style="3" customWidth="1"/>
    <col min="96" max="16384" width="9.140625" style="3"/>
  </cols>
  <sheetData>
    <row r="1" spans="1:95" ht="13.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3" t="s">
        <v>4</v>
      </c>
      <c r="G1" s="3687">
        <f>14*60*1000*SpeedFaktor</f>
        <v>840000</v>
      </c>
      <c r="H1" s="3">
        <v>10</v>
      </c>
      <c r="AO1" s="3" t="s">
        <v>5</v>
      </c>
      <c r="AP1" s="3" t="s">
        <v>657</v>
      </c>
      <c r="AQ1" s="3" t="s">
        <v>676</v>
      </c>
      <c r="AR1" s="3" t="s">
        <v>658</v>
      </c>
      <c r="AS1" s="3" t="s">
        <v>10</v>
      </c>
      <c r="AT1" s="231" t="s">
        <v>8</v>
      </c>
      <c r="AU1" s="3" t="s">
        <v>11</v>
      </c>
      <c r="AV1" s="231" t="s">
        <v>8</v>
      </c>
      <c r="AW1" s="3" t="s">
        <v>12</v>
      </c>
      <c r="AX1" s="231" t="s">
        <v>8</v>
      </c>
      <c r="AY1" s="3" t="s">
        <v>13</v>
      </c>
      <c r="AZ1" s="231" t="s">
        <v>8</v>
      </c>
      <c r="BA1" s="3" t="s">
        <v>65</v>
      </c>
      <c r="BB1" s="231" t="s">
        <v>8</v>
      </c>
      <c r="BC1" s="3" t="s">
        <v>15</v>
      </c>
      <c r="BD1" s="231" t="s">
        <v>8</v>
      </c>
      <c r="BE1" s="3688" t="s">
        <v>1303</v>
      </c>
      <c r="BF1" s="231" t="s">
        <v>8</v>
      </c>
      <c r="BH1" s="3689" t="s">
        <v>1317</v>
      </c>
      <c r="BI1" s="3690" t="s">
        <v>572</v>
      </c>
      <c r="BJ1" s="3691" t="s">
        <v>1318</v>
      </c>
      <c r="BK1" s="3692" t="s">
        <v>572</v>
      </c>
      <c r="BL1" s="3693" t="s">
        <v>1324</v>
      </c>
      <c r="BM1" s="3694" t="s">
        <v>572</v>
      </c>
      <c r="BN1" s="3695" t="s">
        <v>1341</v>
      </c>
      <c r="BO1" s="3696" t="s">
        <v>572</v>
      </c>
      <c r="BP1" s="3697" t="s">
        <v>1363</v>
      </c>
      <c r="BQ1" s="3698" t="s">
        <v>572</v>
      </c>
      <c r="BR1" s="3699" t="s">
        <v>1368</v>
      </c>
      <c r="BS1" s="3700" t="s">
        <v>572</v>
      </c>
      <c r="BT1" s="3701" t="s">
        <v>1372</v>
      </c>
      <c r="BU1" s="3702" t="s">
        <v>572</v>
      </c>
      <c r="BV1" s="3703" t="s">
        <v>1397</v>
      </c>
      <c r="BW1" s="3704" t="s">
        <v>572</v>
      </c>
      <c r="BX1" s="3705" t="s">
        <v>1421</v>
      </c>
      <c r="BY1" s="3706" t="s">
        <v>572</v>
      </c>
      <c r="BZ1" s="3707" t="s">
        <v>1434</v>
      </c>
      <c r="CA1" s="3708" t="s">
        <v>572</v>
      </c>
      <c r="CB1" s="3709" t="s">
        <v>1442</v>
      </c>
      <c r="CC1" s="3710" t="s">
        <v>572</v>
      </c>
      <c r="CD1" s="3711" t="s">
        <v>1460</v>
      </c>
      <c r="CE1" s="3712" t="s">
        <v>572</v>
      </c>
      <c r="CF1" s="3713" t="s">
        <v>1472</v>
      </c>
      <c r="CG1" s="3714" t="s">
        <v>572</v>
      </c>
      <c r="CH1" s="3715" t="s">
        <v>1492</v>
      </c>
      <c r="CI1" s="3716" t="s">
        <v>572</v>
      </c>
      <c r="CJ1" s="3717" t="s">
        <v>1503</v>
      </c>
      <c r="CK1" s="3718" t="s">
        <v>572</v>
      </c>
      <c r="CL1" s="3719" t="s">
        <v>1519</v>
      </c>
      <c r="CM1" s="3720" t="s">
        <v>572</v>
      </c>
      <c r="CN1" s="3926" t="s">
        <v>1666</v>
      </c>
      <c r="CO1" s="3927" t="s">
        <v>572</v>
      </c>
      <c r="CP1" s="4143" t="s">
        <v>1717</v>
      </c>
      <c r="CQ1" s="4144" t="s">
        <v>572</v>
      </c>
    </row>
    <row r="2" spans="1:95" ht="14.25" customHeight="1">
      <c r="A2" s="119">
        <v>1</v>
      </c>
      <c r="B2" s="606" t="s">
        <v>21</v>
      </c>
      <c r="C2" s="591" t="str">
        <f>'001a'!B59</f>
        <v>{"url":p.aventisURL}</v>
      </c>
      <c r="AP2" s="3">
        <v>1942</v>
      </c>
      <c r="AQ2" s="3">
        <v>2013</v>
      </c>
      <c r="AR2" s="3">
        <v>1518</v>
      </c>
      <c r="AS2" s="3">
        <v>1889</v>
      </c>
      <c r="AT2" s="156">
        <f>AS2/($AP2)</f>
        <v>0.97270854788877448</v>
      </c>
      <c r="AU2" s="3">
        <v>2225</v>
      </c>
      <c r="AV2" s="156">
        <f>AU2/($AP2)</f>
        <v>1.1457260556127704</v>
      </c>
      <c r="AW2" s="3">
        <v>1581</v>
      </c>
      <c r="AX2" s="156">
        <f>AW2/($AP2)</f>
        <v>0.81410916580844495</v>
      </c>
      <c r="AY2" s="3">
        <v>1503</v>
      </c>
      <c r="AZ2" s="156">
        <f>AY2/($AP2)</f>
        <v>0.77394438722966019</v>
      </c>
      <c r="BA2" s="3">
        <v>1793</v>
      </c>
      <c r="BB2" s="156">
        <f>BA2/($AP2)</f>
        <v>0.92327497425334704</v>
      </c>
      <c r="BC2" s="3">
        <v>951</v>
      </c>
      <c r="BD2" s="156">
        <f>BC2/($AP2)</f>
        <v>0.48970133882595263</v>
      </c>
      <c r="BE2" s="3">
        <v>1210</v>
      </c>
      <c r="BF2" s="156">
        <f>BE2/($AP2)</f>
        <v>0.62306900102986607</v>
      </c>
      <c r="BH2" s="3">
        <v>1613</v>
      </c>
      <c r="BJ2" s="3">
        <v>1203</v>
      </c>
      <c r="BL2" s="3">
        <v>1167</v>
      </c>
      <c r="BN2" s="3">
        <v>1264</v>
      </c>
      <c r="BP2" s="3">
        <v>1320</v>
      </c>
      <c r="BR2" s="3">
        <v>1176</v>
      </c>
      <c r="BT2" s="3">
        <v>1363</v>
      </c>
      <c r="BV2" s="3">
        <v>1688</v>
      </c>
      <c r="BX2" s="3">
        <v>1885</v>
      </c>
      <c r="BZ2" s="3">
        <v>1022</v>
      </c>
      <c r="CB2" s="3">
        <v>1047</v>
      </c>
      <c r="CD2" s="3">
        <v>1152</v>
      </c>
      <c r="CF2" s="3">
        <v>1489</v>
      </c>
      <c r="CH2" s="3">
        <v>1595</v>
      </c>
      <c r="CJ2" s="3">
        <v>1189</v>
      </c>
      <c r="CL2" s="3">
        <v>1239</v>
      </c>
      <c r="CN2" s="3">
        <v>911</v>
      </c>
      <c r="CP2" s="3">
        <v>396</v>
      </c>
      <c r="CQ2" s="3" t="s">
        <v>1718</v>
      </c>
    </row>
    <row r="3" spans="1:95" ht="14.25" customHeight="1">
      <c r="A3" s="119">
        <v>2</v>
      </c>
      <c r="B3" s="591" t="s">
        <v>25</v>
      </c>
      <c r="C3" s="606" t="s">
        <v>633</v>
      </c>
      <c r="D3" s="3" t="s">
        <v>28</v>
      </c>
      <c r="AP3" s="3">
        <v>8218</v>
      </c>
      <c r="AQ3" s="3">
        <v>7041</v>
      </c>
      <c r="AR3" s="3">
        <v>6973</v>
      </c>
      <c r="AS3" s="3">
        <v>10563</v>
      </c>
      <c r="AT3" s="156">
        <f>AS3/($AP3)</f>
        <v>1.2853492333901193</v>
      </c>
      <c r="AU3" s="3">
        <v>10435</v>
      </c>
      <c r="AV3" s="156">
        <f>AU3/($AP3)</f>
        <v>1.2697736675590168</v>
      </c>
      <c r="AW3" s="3">
        <v>10190</v>
      </c>
      <c r="AX3" s="156">
        <f>AW3/($AP3)</f>
        <v>1.2399610610854221</v>
      </c>
      <c r="AY3" s="3">
        <v>10607</v>
      </c>
      <c r="AZ3" s="156">
        <f>AY3/($AP3)</f>
        <v>1.2907033341445606</v>
      </c>
      <c r="BA3" s="3">
        <v>9314</v>
      </c>
      <c r="BB3" s="156">
        <f>BA3/($AP3)</f>
        <v>1.1333657824288148</v>
      </c>
      <c r="BC3" s="3">
        <v>9368</v>
      </c>
      <c r="BD3" s="156">
        <f>BC3/($AP3)</f>
        <v>1.1399367242638112</v>
      </c>
      <c r="BE3" s="3">
        <v>7676</v>
      </c>
      <c r="BF3" s="156">
        <f>BE3/($AP3)</f>
        <v>0.93404721343392549</v>
      </c>
      <c r="BH3" s="3">
        <v>9891</v>
      </c>
      <c r="BJ3" s="3">
        <v>7722</v>
      </c>
      <c r="BL3" s="3">
        <v>7797</v>
      </c>
      <c r="BN3" s="3">
        <v>7619</v>
      </c>
      <c r="BP3" s="3">
        <v>7440</v>
      </c>
      <c r="BR3" s="3">
        <v>8085</v>
      </c>
      <c r="BT3" s="3">
        <v>7823</v>
      </c>
      <c r="BV3" s="3">
        <v>7679</v>
      </c>
      <c r="BX3" s="3">
        <v>7494</v>
      </c>
      <c r="BZ3" s="3">
        <v>6824</v>
      </c>
      <c r="CB3" s="3">
        <v>7117</v>
      </c>
      <c r="CD3" s="3">
        <v>8783</v>
      </c>
      <c r="CF3" s="3">
        <v>8117</v>
      </c>
      <c r="CH3" s="3">
        <v>11524</v>
      </c>
      <c r="CJ3" s="3">
        <v>8865</v>
      </c>
      <c r="CL3" s="3">
        <v>9615</v>
      </c>
      <c r="CN3" s="3">
        <v>8829</v>
      </c>
      <c r="CP3" s="3">
        <v>5339</v>
      </c>
      <c r="CQ3" s="3" t="s">
        <v>1718</v>
      </c>
    </row>
    <row r="4" spans="1:95" s="53" customFormat="1" ht="15.75" customHeight="1" thickBot="1">
      <c r="A4" s="119"/>
      <c r="B4" s="591" t="s">
        <v>139</v>
      </c>
      <c r="C4" s="606" t="str">
        <f>G4&amp;H4&amp;I4&amp;J4</f>
        <v>{"searchDossierOrKlient":p.DossierName2,"resultType":"Dossiers"}</v>
      </c>
      <c r="D4" s="3" t="s">
        <v>28</v>
      </c>
      <c r="E4" s="3"/>
      <c r="F4" s="3"/>
      <c r="G4" s="3721" t="s">
        <v>140</v>
      </c>
      <c r="H4" s="3722" t="s">
        <v>513</v>
      </c>
      <c r="I4" s="3721" t="s">
        <v>623</v>
      </c>
      <c r="J4" s="3"/>
      <c r="K4" s="3721"/>
      <c r="L4" s="3"/>
      <c r="M4" s="3721"/>
      <c r="N4" s="3"/>
      <c r="O4" s="3721"/>
      <c r="P4" s="3"/>
      <c r="Q4" s="3721"/>
      <c r="R4" s="3"/>
      <c r="S4" s="3721"/>
      <c r="T4" s="3"/>
      <c r="U4" s="3723"/>
      <c r="V4" s="3"/>
      <c r="W4" s="3723"/>
      <c r="X4" s="3"/>
      <c r="Y4" s="372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>
        <v>11684</v>
      </c>
      <c r="AQ4" s="3">
        <v>12080</v>
      </c>
      <c r="AR4" s="3">
        <v>12101</v>
      </c>
      <c r="AS4" s="3">
        <v>11030</v>
      </c>
      <c r="AT4" s="156">
        <f>AS4/($AP4)</f>
        <v>0.94402601848681955</v>
      </c>
      <c r="AU4" s="3">
        <v>11119</v>
      </c>
      <c r="AV4" s="156">
        <f>AU4/($AP4)</f>
        <v>0.95164327285176309</v>
      </c>
      <c r="AW4" s="3">
        <v>11186</v>
      </c>
      <c r="AX4" s="156">
        <f>AW4/($AP4)</f>
        <v>0.95737761040739477</v>
      </c>
      <c r="AY4" s="3">
        <v>10699</v>
      </c>
      <c r="AZ4" s="156">
        <f>AY4/($AP4)</f>
        <v>0.91569667921944542</v>
      </c>
      <c r="BA4" s="3">
        <v>3107</v>
      </c>
      <c r="BB4" s="156">
        <f>BA4/($AP4)</f>
        <v>0.265919205751455</v>
      </c>
      <c r="BC4" s="3">
        <v>3598</v>
      </c>
      <c r="BD4" s="156">
        <f>BC4/($AP4)</f>
        <v>0.30794248545018832</v>
      </c>
      <c r="BE4" s="53">
        <v>5151</v>
      </c>
      <c r="BF4" s="156">
        <f>BE4/($AP4)</f>
        <v>0.44085929476206781</v>
      </c>
      <c r="BH4" s="53">
        <v>6907</v>
      </c>
      <c r="BJ4" s="53">
        <v>5580</v>
      </c>
      <c r="BL4" s="53">
        <v>6062</v>
      </c>
      <c r="BN4" s="53">
        <v>5498</v>
      </c>
      <c r="BP4" s="53">
        <v>3167</v>
      </c>
      <c r="BR4" s="53">
        <v>3591</v>
      </c>
      <c r="BT4" s="53">
        <v>3348</v>
      </c>
      <c r="BV4" s="53">
        <v>3624</v>
      </c>
      <c r="BX4" s="53">
        <v>3679</v>
      </c>
      <c r="BZ4" s="53">
        <v>3782</v>
      </c>
      <c r="CB4" s="53">
        <v>5288</v>
      </c>
      <c r="CD4" s="53">
        <v>5283</v>
      </c>
      <c r="CF4" s="53">
        <v>4982</v>
      </c>
      <c r="CH4" s="53">
        <v>5839</v>
      </c>
      <c r="CJ4" s="53">
        <v>5225</v>
      </c>
      <c r="CL4" s="53">
        <v>5229</v>
      </c>
    </row>
    <row r="5" spans="1:95" s="10" customFormat="1" ht="76.5" customHeight="1" thickBot="1">
      <c r="A5" s="21">
        <v>4</v>
      </c>
      <c r="B5" s="248" t="s">
        <v>1630</v>
      </c>
      <c r="C5" s="187" t="str">
        <f ca="1">D5</f>
        <v>{"name":"Müller","Strasse":"Weckerweg","vorname":"Paula","hausNr":"12","gueltigVon":"01.11.2025","gueltigBis":"31.12.2025","tel":"12123","eMail":"ahd@dd.ch","ort":"5210 Windisch","typisierung":"Kinderbetreuung","geschlecht":"weiblich","IBAN":"CH1500789100000046962"}</v>
      </c>
      <c r="D5" s="329" t="str">
        <f ca="1">E5&amp;F5&amp;G5&amp;H5&amp;I5&amp;J5&amp;K5&amp;L5&amp;M5&amp;N5&amp;O5&amp;P5&amp;Q5&amp;R5&amp;S5&amp;T5&amp;U5&amp;V5&amp;W5&amp;X5&amp;Y5&amp;Z5&amp;AA5&amp;AB5&amp;AC5&amp;AD5&amp;AE5&amp;AF5&amp;AG5&amp;AC5&amp;AD5&amp;AE5&amp;AF5&amp;AG5&amp;AH5&amp;AI5&amp;AJ5&amp;AK5&amp;AL5&amp;AM5</f>
        <v>{"name":"Müller","Strasse":"Weckerweg","vorname":"Paula","hausNr":"12","gueltigVon":"01.11.2025","gueltigBis":"31.12.2025","tel":"12123","eMail":"ahd@dd.ch","ort":"5210 Windisch","typisierung":"Kinderbetreuung","geschlecht":"weiblich","IBAN":"CH1500789100000046962"}</v>
      </c>
      <c r="E5" s="309" t="s">
        <v>1632</v>
      </c>
      <c r="F5" s="255" t="s">
        <v>1631</v>
      </c>
      <c r="G5" s="323" t="s">
        <v>1629</v>
      </c>
      <c r="H5" s="323" t="s">
        <v>1633</v>
      </c>
      <c r="I5" s="323" t="s">
        <v>452</v>
      </c>
      <c r="J5" s="323" t="s">
        <v>1634</v>
      </c>
      <c r="K5" s="323" t="s">
        <v>653</v>
      </c>
      <c r="L5" s="231">
        <v>12</v>
      </c>
      <c r="M5" s="323" t="s">
        <v>167</v>
      </c>
      <c r="N5" s="414" t="str">
        <f ca="1">"01."&amp;TEXT(TODAY(),"MM")&amp;"."&amp;TEXT(TODAY(),"YYYY")</f>
        <v>01.11.2025</v>
      </c>
      <c r="O5" s="323" t="s">
        <v>168</v>
      </c>
      <c r="P5" s="344" t="str">
        <f ca="1">"31.12."&amp;YEAR(TODAY())</f>
        <v>31.12.2025</v>
      </c>
      <c r="Q5" s="323"/>
      <c r="R5" s="231"/>
      <c r="S5" s="323" t="s">
        <v>1622</v>
      </c>
      <c r="T5" s="231">
        <v>12123</v>
      </c>
      <c r="U5" s="323" t="s">
        <v>1623</v>
      </c>
      <c r="V5" s="3726" t="s">
        <v>1635</v>
      </c>
      <c r="W5" s="323" t="s">
        <v>103</v>
      </c>
      <c r="X5" s="231" t="s">
        <v>1292</v>
      </c>
      <c r="Y5" s="323" t="s">
        <v>794</v>
      </c>
      <c r="Z5" s="231" t="s">
        <v>806</v>
      </c>
      <c r="AA5" s="323" t="s">
        <v>805</v>
      </c>
      <c r="AB5" s="231" t="s">
        <v>857</v>
      </c>
      <c r="AC5" s="323"/>
      <c r="AD5" s="231"/>
      <c r="AE5" s="323"/>
      <c r="AF5" s="231"/>
      <c r="AG5" s="323"/>
      <c r="AH5" s="231"/>
      <c r="AI5" s="323"/>
      <c r="AJ5" s="323"/>
      <c r="AK5" s="323" t="s">
        <v>465</v>
      </c>
      <c r="AL5" s="3686" t="s">
        <v>1636</v>
      </c>
      <c r="AM5" s="323" t="s">
        <v>37</v>
      </c>
      <c r="AN5" s="323"/>
      <c r="AO5" s="231"/>
      <c r="AP5" s="231">
        <v>10041</v>
      </c>
      <c r="AQ5" s="231">
        <v>10138</v>
      </c>
      <c r="AR5" s="231">
        <v>10194</v>
      </c>
      <c r="AS5" s="231">
        <v>3982</v>
      </c>
      <c r="AT5" s="156">
        <f>AS5/($AP5)</f>
        <v>0.39657404640972016</v>
      </c>
      <c r="AU5" s="231">
        <v>3917</v>
      </c>
      <c r="AV5" s="156">
        <f>AU5/($AP5)</f>
        <v>0.3901005875908774</v>
      </c>
      <c r="AW5" s="231">
        <v>3936</v>
      </c>
      <c r="AX5" s="156">
        <f>AW5/($AP5)</f>
        <v>0.39199282939946223</v>
      </c>
      <c r="AY5" s="231">
        <v>3973</v>
      </c>
      <c r="AZ5" s="156">
        <f>AY5/($AP5)</f>
        <v>0.39567772134249579</v>
      </c>
      <c r="BA5" s="231">
        <v>4081</v>
      </c>
      <c r="BB5" s="156">
        <f>BA5/($AP5)</f>
        <v>0.40643362214918832</v>
      </c>
      <c r="BC5" s="3">
        <v>4260</v>
      </c>
      <c r="BD5" s="156">
        <f>BC5/($AP5)</f>
        <v>0.42426053181953988</v>
      </c>
      <c r="BE5" s="10">
        <v>3410</v>
      </c>
      <c r="BF5" s="156">
        <f>BE5/($AP5)</f>
        <v>0.339607608803904</v>
      </c>
      <c r="BH5" s="10">
        <v>3140</v>
      </c>
      <c r="BJ5" s="10">
        <v>3916</v>
      </c>
      <c r="BL5" s="10">
        <v>3394</v>
      </c>
      <c r="BN5" s="10">
        <v>3258</v>
      </c>
      <c r="BP5" s="10">
        <v>3238</v>
      </c>
      <c r="BR5" s="10">
        <v>3424</v>
      </c>
      <c r="BT5" s="10">
        <v>3373</v>
      </c>
      <c r="BV5" s="10">
        <v>3289</v>
      </c>
      <c r="BX5" s="10">
        <v>3396</v>
      </c>
      <c r="BZ5" s="10">
        <v>3285</v>
      </c>
      <c r="CB5" s="10">
        <v>3474</v>
      </c>
      <c r="CD5" s="10">
        <v>3362</v>
      </c>
      <c r="CF5" s="10">
        <v>4194</v>
      </c>
      <c r="CH5" s="3250">
        <v>0</v>
      </c>
      <c r="CI5" s="3251" t="s">
        <v>1500</v>
      </c>
      <c r="CJ5" s="10">
        <v>3771</v>
      </c>
      <c r="CL5" s="10">
        <v>3297</v>
      </c>
    </row>
    <row r="6" spans="1:95">
      <c r="C6" s="12"/>
    </row>
    <row r="7" spans="1:95">
      <c r="B7" s="3724" t="s">
        <v>743</v>
      </c>
      <c r="C7" s="12"/>
    </row>
    <row r="8" spans="1:95" ht="14.25" customHeight="1">
      <c r="B8" s="3" t="s">
        <v>1593</v>
      </c>
      <c r="C8" s="168" t="s">
        <v>1594</v>
      </c>
    </row>
    <row r="9" spans="1:95" ht="14.25" customHeight="1">
      <c r="B9" s="3" t="s">
        <v>1595</v>
      </c>
      <c r="C9" s="12" t="s">
        <v>1596</v>
      </c>
    </row>
    <row r="10" spans="1:95" ht="14.25" customHeight="1">
      <c r="B10" s="3" t="s">
        <v>788</v>
      </c>
      <c r="C10" s="12" t="s">
        <v>1597</v>
      </c>
    </row>
    <row r="11" spans="1:95" ht="14.25" customHeight="1">
      <c r="B11" s="3" t="s">
        <v>1598</v>
      </c>
      <c r="C11" s="146">
        <v>12</v>
      </c>
    </row>
    <row r="12" spans="1:95" ht="14.25" customHeight="1">
      <c r="B12" s="3" t="s">
        <v>1599</v>
      </c>
      <c r="C12" s="12" t="s">
        <v>1600</v>
      </c>
    </row>
    <row r="13" spans="1:95" ht="14.25" customHeight="1">
      <c r="B13" s="3" t="s">
        <v>1601</v>
      </c>
      <c r="C13" s="12" t="s">
        <v>1602</v>
      </c>
    </row>
    <row r="14" spans="1:95" ht="14.25" customHeight="1">
      <c r="B14" s="3" t="s">
        <v>1603</v>
      </c>
      <c r="C14" s="12" t="s">
        <v>806</v>
      </c>
    </row>
    <row r="15" spans="1:95" ht="14.25" customHeight="1">
      <c r="B15" s="3" t="s">
        <v>1604</v>
      </c>
      <c r="C15" s="12">
        <v>121212</v>
      </c>
    </row>
    <row r="16" spans="1:95" ht="14.25" customHeight="1">
      <c r="B16" s="3" t="s">
        <v>1605</v>
      </c>
      <c r="C16" s="3684" t="s">
        <v>1606</v>
      </c>
    </row>
    <row r="17" spans="2:3" ht="14.25" customHeight="1">
      <c r="B17" s="3" t="s">
        <v>1607</v>
      </c>
      <c r="C17" s="12" t="s">
        <v>1608</v>
      </c>
    </row>
    <row r="18" spans="2:3" ht="14.25" customHeight="1">
      <c r="B18" s="3724" t="s">
        <v>1616</v>
      </c>
      <c r="C18" s="12"/>
    </row>
    <row r="19" spans="2:3" ht="14.25" customHeight="1">
      <c r="B19" s="3" t="s">
        <v>1609</v>
      </c>
      <c r="C19" s="12" t="s">
        <v>801</v>
      </c>
    </row>
    <row r="20" spans="2:3" ht="14.25" customHeight="1">
      <c r="B20" s="3" t="s">
        <v>1610</v>
      </c>
      <c r="C20" s="12" t="s">
        <v>1614</v>
      </c>
    </row>
    <row r="21" spans="2:3" ht="14.25" customHeight="1">
      <c r="B21" s="3" t="s">
        <v>1611</v>
      </c>
      <c r="C21" s="12">
        <v>1231234</v>
      </c>
    </row>
    <row r="22" spans="2:3" ht="14.25" customHeight="1">
      <c r="B22" s="3" t="s">
        <v>1612</v>
      </c>
      <c r="C22" s="12">
        <v>123123</v>
      </c>
    </row>
    <row r="23" spans="2:3" ht="14.25" customHeight="1">
      <c r="B23" s="3" t="s">
        <v>1613</v>
      </c>
      <c r="C23" s="3684" t="s">
        <v>1606</v>
      </c>
    </row>
    <row r="24" spans="2:3" ht="14.25" customHeight="1">
      <c r="C24" s="12"/>
    </row>
    <row r="25" spans="2:3"/>
    <row r="26" spans="2:3" ht="14.25" customHeight="1">
      <c r="B26" s="3724" t="s">
        <v>1615</v>
      </c>
    </row>
    <row r="27" spans="2:3" ht="14.25" customHeight="1">
      <c r="B27" s="3" t="s">
        <v>1617</v>
      </c>
      <c r="C27" s="3725" t="s">
        <v>1618</v>
      </c>
    </row>
  </sheetData>
  <conditionalFormatting sqref="AT2:AT4 AV2:AV4 AX2:AX4 AZ2:AZ4 AZ6:AZ146 AX6:AX146 AV6:AV146 AT6:AT146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V5 AT5 AX5 AZ5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2:BB4 BB6:BB146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5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4 BD6:BD146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5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4 BF6:BF146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5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C16" r:id="rId1" xr:uid="{B1EE17DD-738F-42F7-944A-A4D1F3F4C987}"/>
    <hyperlink ref="C23" r:id="rId2" xr:uid="{B31C1817-6270-4707-AA1A-7F4828511AE6}"/>
    <hyperlink ref="V5" r:id="rId3" xr:uid="{BF0B37B9-CCF9-4250-B160-0203AEBBACC8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92D050"/>
  </sheetPr>
  <dimension ref="A1:CP9"/>
  <sheetViews>
    <sheetView zoomScaleNormal="100" workbookViewId="0">
      <pane xSplit="2" ySplit="1" topLeftCell="C2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RowHeight="14.25" customHeight="1"/>
  <cols>
    <col min="1" max="1" width="9.140625" style="15" customWidth="1"/>
    <col min="2" max="2" width="72.42578125" style="15" customWidth="1"/>
    <col min="3" max="3" width="137.7109375" style="15" customWidth="1"/>
    <col min="4" max="8" width="9.140625" style="15" customWidth="1"/>
    <col min="9" max="9" width="22.5703125" style="15" customWidth="1"/>
    <col min="10" max="34" width="9.140625" style="15" customWidth="1"/>
    <col min="35" max="37" width="9.85546875" style="15" customWidth="1"/>
    <col min="38" max="38" width="30" style="15" customWidth="1"/>
    <col min="39" max="39" width="50" style="15" customWidth="1"/>
    <col min="40" max="40" width="30" style="15" customWidth="1"/>
    <col min="41" max="41" width="11.7109375" style="12" customWidth="1"/>
    <col min="42" max="42" width="30" style="15" customWidth="1"/>
    <col min="43" max="43" width="11.7109375" style="12" customWidth="1"/>
    <col min="44" max="44" width="11.140625" style="15" customWidth="1"/>
    <col min="45" max="45" width="11.7109375" style="12" customWidth="1"/>
    <col min="46" max="46" width="12.140625" style="15" customWidth="1"/>
    <col min="47" max="47" width="11.7109375" style="12" customWidth="1"/>
    <col min="48" max="48" width="11.5703125" style="15" customWidth="1"/>
    <col min="49" max="49" width="11.5703125" style="12" customWidth="1"/>
    <col min="50" max="50" width="11.5703125" style="15" customWidth="1"/>
    <col min="51" max="51" width="11.5703125" style="12" customWidth="1"/>
    <col min="52" max="52" width="11.5703125" style="15" customWidth="1"/>
    <col min="53" max="53" width="11.5703125" style="12" customWidth="1"/>
    <col min="54" max="54" width="11.5703125" style="15" customWidth="1"/>
    <col min="55" max="55" width="11.5703125" style="12" customWidth="1"/>
    <col min="56" max="56" width="11.5703125" style="15" customWidth="1"/>
    <col min="57" max="57" width="11.5703125" style="12" customWidth="1"/>
    <col min="58" max="58" width="9.140625" style="15"/>
    <col min="59" max="59" width="20" style="15" customWidth="1"/>
    <col min="60" max="60" width="50" style="15" customWidth="1"/>
    <col min="61" max="61" width="20" style="15" customWidth="1"/>
    <col min="62" max="62" width="50" style="15" customWidth="1"/>
    <col min="63" max="63" width="20" style="15" customWidth="1"/>
    <col min="64" max="64" width="50" style="15" customWidth="1"/>
    <col min="65" max="65" width="20" style="15" customWidth="1"/>
    <col min="66" max="66" width="50" style="15" customWidth="1"/>
    <col min="67" max="67" width="20" style="15" customWidth="1"/>
    <col min="68" max="68" width="50" style="15" customWidth="1"/>
    <col min="69" max="69" width="20" style="15" customWidth="1"/>
    <col min="70" max="70" width="50" style="15" customWidth="1"/>
    <col min="71" max="71" width="20" style="15" customWidth="1"/>
    <col min="72" max="72" width="50" style="15" customWidth="1"/>
    <col min="73" max="73" width="20" style="15" customWidth="1"/>
    <col min="74" max="74" width="50" style="15" customWidth="1"/>
    <col min="75" max="75" width="20" style="15" customWidth="1"/>
    <col min="76" max="76" width="50" style="15" customWidth="1"/>
    <col min="77" max="77" width="20" style="15" customWidth="1"/>
    <col min="78" max="78" width="50" style="15" customWidth="1"/>
    <col min="79" max="79" width="20" style="15" customWidth="1"/>
    <col min="80" max="80" width="50" style="15" customWidth="1"/>
    <col min="81" max="81" width="20" style="15" customWidth="1"/>
    <col min="82" max="82" width="50" style="15" customWidth="1"/>
    <col min="83" max="83" width="20" style="15" customWidth="1"/>
    <col min="84" max="84" width="50" style="15" customWidth="1"/>
    <col min="85" max="85" width="20" style="15" customWidth="1"/>
    <col min="86" max="86" width="50" style="15" customWidth="1"/>
    <col min="87" max="87" width="20" style="15" customWidth="1"/>
    <col min="88" max="88" width="50" style="15" customWidth="1"/>
    <col min="89" max="89" width="20" style="15" customWidth="1"/>
    <col min="90" max="90" width="50" style="15" customWidth="1"/>
    <col min="91" max="91" width="20" style="15" customWidth="1"/>
    <col min="92" max="92" width="50" style="15" customWidth="1"/>
    <col min="93" max="93" width="20" style="15" customWidth="1"/>
    <col min="94" max="94" width="50" style="15" customWidth="1"/>
    <col min="95" max="16384" width="9.140625" style="15"/>
  </cols>
  <sheetData>
    <row r="1" spans="1:94" s="10" customFormat="1" ht="15" customHeight="1">
      <c r="A1" s="5" t="s">
        <v>0</v>
      </c>
      <c r="B1" s="39" t="s">
        <v>1</v>
      </c>
      <c r="C1" s="39" t="s">
        <v>2</v>
      </c>
      <c r="D1" s="39" t="s">
        <v>3</v>
      </c>
      <c r="E1" s="259"/>
      <c r="F1" s="254" t="s">
        <v>263</v>
      </c>
      <c r="G1" s="2558">
        <f>14*60*1000*SpeedFaktor</f>
        <v>840000</v>
      </c>
      <c r="H1" s="2">
        <v>10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10</v>
      </c>
      <c r="AM1" s="2" t="s">
        <v>677</v>
      </c>
      <c r="AN1" s="2" t="s">
        <v>11</v>
      </c>
      <c r="AO1" s="24" t="s">
        <v>8</v>
      </c>
      <c r="AP1" s="2" t="s">
        <v>12</v>
      </c>
      <c r="AQ1" s="24" t="s">
        <v>8</v>
      </c>
      <c r="AR1" s="96" t="s">
        <v>13</v>
      </c>
      <c r="AS1" s="24" t="s">
        <v>8</v>
      </c>
      <c r="AT1" s="96" t="s">
        <v>65</v>
      </c>
      <c r="AU1" s="24" t="s">
        <v>8</v>
      </c>
      <c r="AV1" s="10" t="s">
        <v>15</v>
      </c>
      <c r="AW1" s="24" t="s">
        <v>8</v>
      </c>
      <c r="AX1" s="10" t="s">
        <v>17</v>
      </c>
      <c r="AY1" s="24" t="s">
        <v>8</v>
      </c>
      <c r="AZ1" s="10" t="s">
        <v>1285</v>
      </c>
      <c r="BA1" s="24" t="s">
        <v>8</v>
      </c>
      <c r="BB1" s="10" t="s">
        <v>1286</v>
      </c>
      <c r="BC1" s="24" t="s">
        <v>8</v>
      </c>
      <c r="BD1" s="536" t="s">
        <v>1303</v>
      </c>
      <c r="BE1" s="24" t="s">
        <v>8</v>
      </c>
      <c r="BG1" s="893" t="s">
        <v>1317</v>
      </c>
      <c r="BH1" s="894" t="s">
        <v>572</v>
      </c>
      <c r="BI1" s="1017" t="s">
        <v>1318</v>
      </c>
      <c r="BJ1" s="1018" t="s">
        <v>572</v>
      </c>
      <c r="BK1" s="1163" t="s">
        <v>1324</v>
      </c>
      <c r="BL1" s="1164" t="s">
        <v>572</v>
      </c>
      <c r="BM1" s="1366" t="s">
        <v>1341</v>
      </c>
      <c r="BN1" s="1367" t="s">
        <v>572</v>
      </c>
      <c r="BO1" s="1620" t="s">
        <v>1363</v>
      </c>
      <c r="BP1" s="1621" t="s">
        <v>572</v>
      </c>
      <c r="BQ1" s="1760" t="s">
        <v>1368</v>
      </c>
      <c r="BR1" s="1761" t="s">
        <v>572</v>
      </c>
      <c r="BS1" s="1901" t="s">
        <v>1372</v>
      </c>
      <c r="BT1" s="1902" t="s">
        <v>572</v>
      </c>
      <c r="BU1" s="2197" t="s">
        <v>1397</v>
      </c>
      <c r="BV1" s="2198" t="s">
        <v>572</v>
      </c>
      <c r="BW1" s="2374" t="s">
        <v>1421</v>
      </c>
      <c r="BX1" s="2375" t="s">
        <v>572</v>
      </c>
      <c r="BY1" s="2530" t="s">
        <v>1434</v>
      </c>
      <c r="BZ1" s="2531" t="s">
        <v>572</v>
      </c>
      <c r="CA1" s="2693" t="s">
        <v>1442</v>
      </c>
      <c r="CB1" s="2694" t="s">
        <v>572</v>
      </c>
      <c r="CC1" s="2882" t="s">
        <v>1460</v>
      </c>
      <c r="CD1" s="2883" t="s">
        <v>572</v>
      </c>
      <c r="CE1" s="3066" t="s">
        <v>1472</v>
      </c>
      <c r="CF1" s="3067" t="s">
        <v>572</v>
      </c>
      <c r="CG1" s="3252" t="s">
        <v>1492</v>
      </c>
      <c r="CH1" s="3253" t="s">
        <v>572</v>
      </c>
      <c r="CI1" s="3424" t="s">
        <v>1503</v>
      </c>
      <c r="CJ1" s="3425" t="s">
        <v>572</v>
      </c>
      <c r="CK1" s="3618" t="s">
        <v>1519</v>
      </c>
      <c r="CL1" s="3619" t="s">
        <v>572</v>
      </c>
      <c r="CM1" s="3928" t="s">
        <v>1666</v>
      </c>
      <c r="CN1" s="3929" t="s">
        <v>572</v>
      </c>
      <c r="CO1" s="4145" t="s">
        <v>1717</v>
      </c>
      <c r="CP1" s="4146" t="s">
        <v>572</v>
      </c>
    </row>
    <row r="2" spans="1:94" s="10" customFormat="1" ht="15" customHeight="1">
      <c r="A2" s="1">
        <v>1</v>
      </c>
      <c r="B2" s="2" t="s">
        <v>21</v>
      </c>
      <c r="C2" s="15" t="str">
        <f>'001a'!B59</f>
        <v>{"url":p.aventisURL}</v>
      </c>
      <c r="D2" s="2"/>
      <c r="E2" s="209"/>
      <c r="F2" s="254"/>
      <c r="G2" s="2" t="s">
        <v>603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2110</v>
      </c>
      <c r="AJ2" s="2">
        <v>2046</v>
      </c>
      <c r="AK2" s="2">
        <v>1876</v>
      </c>
      <c r="AL2" s="2">
        <v>1400</v>
      </c>
      <c r="AM2" s="2"/>
      <c r="AN2" s="2">
        <v>1462</v>
      </c>
      <c r="AO2" s="156">
        <f>AN2/($AI2)</f>
        <v>0.69289099526066356</v>
      </c>
      <c r="AP2" s="2">
        <v>1618</v>
      </c>
      <c r="AQ2" s="156">
        <f>AP2/($AI2)</f>
        <v>0.76682464454976307</v>
      </c>
      <c r="AR2" s="2">
        <v>1768</v>
      </c>
      <c r="AS2" s="156">
        <f>AR2/($AI2)</f>
        <v>0.83791469194312795</v>
      </c>
      <c r="AT2" s="2">
        <v>1331</v>
      </c>
      <c r="AU2" s="156">
        <f>AT2/($AI2)</f>
        <v>0.63080568720379149</v>
      </c>
      <c r="AV2" s="2">
        <v>1609</v>
      </c>
      <c r="AW2" s="156">
        <f>AV2/($AI2)</f>
        <v>0.76255924170616118</v>
      </c>
      <c r="AX2" s="2">
        <v>1164</v>
      </c>
      <c r="AY2" s="156">
        <f>AX2/($AI2)</f>
        <v>0.55165876777251188</v>
      </c>
      <c r="AZ2" s="2">
        <v>1179</v>
      </c>
      <c r="BA2" s="156">
        <f>AZ2/($AI2)</f>
        <v>0.55876777251184839</v>
      </c>
      <c r="BB2" s="2">
        <v>637</v>
      </c>
      <c r="BC2" s="156">
        <f>BB2/($AI2)</f>
        <v>0.30189573459715641</v>
      </c>
      <c r="BD2" s="10">
        <v>1155</v>
      </c>
      <c r="BE2" s="156">
        <f>BD2/($AI2)</f>
        <v>0.54739336492891</v>
      </c>
      <c r="BG2" s="10">
        <v>1449</v>
      </c>
      <c r="BI2" s="10">
        <v>1157</v>
      </c>
      <c r="BK2" s="10">
        <v>1191</v>
      </c>
      <c r="BM2" s="10">
        <v>1176</v>
      </c>
      <c r="BO2" s="10">
        <v>1219</v>
      </c>
      <c r="BQ2" s="10">
        <v>1067</v>
      </c>
      <c r="BS2" s="10">
        <v>1293</v>
      </c>
      <c r="BU2" s="10">
        <v>1624</v>
      </c>
      <c r="BW2" s="10">
        <v>1643</v>
      </c>
      <c r="BY2" s="10">
        <v>1627</v>
      </c>
      <c r="CA2" s="10">
        <v>1086</v>
      </c>
      <c r="CC2" s="10">
        <v>1169</v>
      </c>
      <c r="CE2" s="10">
        <v>1398</v>
      </c>
      <c r="CG2" s="10">
        <v>1078</v>
      </c>
      <c r="CI2" s="10">
        <v>1061</v>
      </c>
      <c r="CK2" s="10">
        <v>1435</v>
      </c>
      <c r="CM2" s="10">
        <v>894</v>
      </c>
      <c r="CO2" s="10">
        <v>389</v>
      </c>
      <c r="CP2" s="10" t="s">
        <v>1718</v>
      </c>
    </row>
    <row r="3" spans="1:94" s="10" customFormat="1" ht="18.75" customHeight="1">
      <c r="A3" s="1">
        <v>2</v>
      </c>
      <c r="B3" s="2" t="s">
        <v>25</v>
      </c>
      <c r="C3" s="2" t="s">
        <v>633</v>
      </c>
      <c r="D3" s="2"/>
      <c r="E3" s="209"/>
      <c r="F3" s="25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6709</v>
      </c>
      <c r="AJ3" s="2">
        <v>8092</v>
      </c>
      <c r="AK3" s="2">
        <v>6898</v>
      </c>
      <c r="AL3" s="2">
        <v>9037</v>
      </c>
      <c r="AM3" s="2"/>
      <c r="AN3" s="2">
        <v>9778</v>
      </c>
      <c r="AO3" s="156">
        <f t="shared" ref="AO3:BC5" si="0">AN3/($AI3)</f>
        <v>1.4574452228349977</v>
      </c>
      <c r="AP3" s="2">
        <v>9940</v>
      </c>
      <c r="AQ3" s="156">
        <f t="shared" si="0"/>
        <v>1.4815918914890445</v>
      </c>
      <c r="AR3" s="2">
        <v>9166</v>
      </c>
      <c r="AS3" s="156">
        <f t="shared" si="0"/>
        <v>1.3662244745863765</v>
      </c>
      <c r="AT3" s="2">
        <v>9807</v>
      </c>
      <c r="AU3" s="156">
        <f t="shared" si="0"/>
        <v>1.4617677746310926</v>
      </c>
      <c r="AV3" s="2">
        <v>9154</v>
      </c>
      <c r="AW3" s="156">
        <f t="shared" si="0"/>
        <v>1.3644358324638546</v>
      </c>
      <c r="AX3" s="2">
        <v>6787</v>
      </c>
      <c r="AY3" s="156">
        <f t="shared" si="0"/>
        <v>1.011626173796393</v>
      </c>
      <c r="AZ3" s="2">
        <v>8551</v>
      </c>
      <c r="BA3" s="156">
        <f t="shared" si="0"/>
        <v>1.2745565658071247</v>
      </c>
      <c r="BB3" s="2">
        <v>6082</v>
      </c>
      <c r="BC3" s="156">
        <f t="shared" si="0"/>
        <v>0.90654344909822626</v>
      </c>
      <c r="BD3" s="10">
        <v>6848</v>
      </c>
      <c r="BE3" s="156">
        <f t="shared" ref="BE3:BE5" si="1">BD3/($AI3)</f>
        <v>1.0207184379192129</v>
      </c>
      <c r="BG3" s="10">
        <v>9178</v>
      </c>
      <c r="BI3" s="10">
        <v>7349</v>
      </c>
      <c r="BK3" s="10">
        <v>7227</v>
      </c>
      <c r="BM3" s="10">
        <v>7243</v>
      </c>
      <c r="BO3" s="10">
        <v>6599</v>
      </c>
      <c r="BQ3" s="10">
        <v>7364</v>
      </c>
      <c r="BS3" s="10">
        <v>6993</v>
      </c>
      <c r="BU3" s="10">
        <v>6635</v>
      </c>
      <c r="BW3" s="10">
        <v>8946</v>
      </c>
      <c r="BY3" s="10">
        <v>6441</v>
      </c>
      <c r="CA3" s="10">
        <v>7396</v>
      </c>
      <c r="CC3" s="10">
        <v>8513</v>
      </c>
      <c r="CE3" s="10">
        <v>7570</v>
      </c>
      <c r="CG3" s="10">
        <v>8418</v>
      </c>
      <c r="CI3" s="10">
        <v>9153</v>
      </c>
      <c r="CK3" s="10">
        <v>9206</v>
      </c>
      <c r="CM3" s="10">
        <v>8076</v>
      </c>
      <c r="CO3" s="10">
        <v>5317</v>
      </c>
      <c r="CP3" s="10" t="s">
        <v>1718</v>
      </c>
    </row>
    <row r="4" spans="1:94" s="10" customFormat="1" ht="15.75" customHeight="1" thickBot="1">
      <c r="A4" s="1">
        <v>4</v>
      </c>
      <c r="B4" s="19" t="s">
        <v>134</v>
      </c>
      <c r="C4" s="38" t="str">
        <f>E4</f>
        <v>{"username":"Bern.Sachbearbeiterin@diartis.ch","password":"XXxa22?pdTA66-S@"}</v>
      </c>
      <c r="D4" s="2"/>
      <c r="E4" s="83" t="str">
        <f>F4&amp;G4&amp;H4&amp;I4&amp;J4&amp;K4&amp;L4&amp;M4&amp;N4&amp;O4&amp;P4&amp;Q4&amp;R4&amp;S4&amp;T4&amp;U4&amp;V4&amp;W4&amp;X4</f>
        <v>{"username":"Bern.Sachbearbeiterin@diartis.ch","password":"XXxa22?pdTA66-S@"}</v>
      </c>
      <c r="F4" s="84" t="s">
        <v>29</v>
      </c>
      <c r="G4" s="2" t="s">
        <v>30</v>
      </c>
      <c r="H4" s="84" t="s">
        <v>31</v>
      </c>
      <c r="I4" s="2" t="s">
        <v>32</v>
      </c>
      <c r="J4" s="84" t="s">
        <v>37</v>
      </c>
      <c r="K4" s="87"/>
      <c r="L4" s="84"/>
      <c r="M4" s="82"/>
      <c r="N4" s="84"/>
      <c r="O4" s="82"/>
      <c r="P4" s="84"/>
      <c r="Q4" s="82"/>
      <c r="R4" s="84"/>
      <c r="S4" s="82"/>
      <c r="T4" s="84"/>
      <c r="U4" s="82"/>
      <c r="V4" s="84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>
        <v>5272</v>
      </c>
      <c r="AJ4" s="82">
        <v>5361</v>
      </c>
      <c r="AK4" s="82">
        <v>5242</v>
      </c>
      <c r="AL4" s="82">
        <v>4380</v>
      </c>
      <c r="AM4" s="82"/>
      <c r="AN4" s="82">
        <v>5226</v>
      </c>
      <c r="AO4" s="156">
        <f t="shared" si="0"/>
        <v>0.99127465857359631</v>
      </c>
      <c r="AP4" s="82">
        <v>4959</v>
      </c>
      <c r="AQ4" s="156">
        <f t="shared" si="0"/>
        <v>0.9406297420333839</v>
      </c>
      <c r="AR4" s="82">
        <v>4504</v>
      </c>
      <c r="AS4" s="156">
        <f t="shared" si="0"/>
        <v>0.85432473444613055</v>
      </c>
      <c r="AT4" s="82">
        <v>4283</v>
      </c>
      <c r="AU4" s="156">
        <f t="shared" si="0"/>
        <v>0.81240515933232171</v>
      </c>
      <c r="AV4" s="2">
        <v>4669</v>
      </c>
      <c r="AW4" s="156">
        <f t="shared" si="0"/>
        <v>0.88562215477996964</v>
      </c>
      <c r="AX4" s="2">
        <v>9526</v>
      </c>
      <c r="AY4" s="156">
        <f t="shared" si="0"/>
        <v>1.8069044006069803</v>
      </c>
      <c r="AZ4" s="2">
        <v>10565</v>
      </c>
      <c r="BA4" s="156">
        <f t="shared" si="0"/>
        <v>2.0039833080424887</v>
      </c>
      <c r="BB4" s="2">
        <v>9149</v>
      </c>
      <c r="BC4" s="156">
        <f t="shared" si="0"/>
        <v>1.7353945371775417</v>
      </c>
      <c r="BD4" s="10">
        <v>10383</v>
      </c>
      <c r="BE4" s="156">
        <f t="shared" si="1"/>
        <v>1.9694613050075873</v>
      </c>
      <c r="BG4" s="10">
        <v>10300</v>
      </c>
      <c r="BI4" s="10">
        <v>10363</v>
      </c>
      <c r="BK4" s="10">
        <v>9622</v>
      </c>
      <c r="BM4" s="10">
        <v>9706</v>
      </c>
      <c r="BO4" s="10">
        <v>10055</v>
      </c>
      <c r="BQ4" s="10">
        <v>10217</v>
      </c>
      <c r="BS4" s="10">
        <v>10284</v>
      </c>
      <c r="BU4" s="10">
        <v>9372</v>
      </c>
      <c r="BW4" s="10">
        <v>9646</v>
      </c>
      <c r="BY4" s="10">
        <v>9846</v>
      </c>
      <c r="CA4" s="10">
        <v>10065</v>
      </c>
      <c r="CC4" s="10">
        <v>12256</v>
      </c>
      <c r="CE4" s="10">
        <v>12893</v>
      </c>
      <c r="CG4" s="10">
        <v>11912</v>
      </c>
      <c r="CI4" s="10">
        <v>12354</v>
      </c>
      <c r="CK4" s="10">
        <v>11898</v>
      </c>
      <c r="CM4" s="10">
        <v>9853</v>
      </c>
      <c r="CO4" s="10">
        <v>8590</v>
      </c>
      <c r="CP4" s="10" t="s">
        <v>1718</v>
      </c>
    </row>
    <row r="5" spans="1:94" ht="17.25" customHeight="1" thickBot="1">
      <c r="A5" s="21">
        <v>5</v>
      </c>
      <c r="B5" s="377" t="s">
        <v>1062</v>
      </c>
      <c r="C5" s="415" t="str">
        <f ca="1">E5</f>
        <v>{"dossier":p.DossierName1,"klient":`${p.FamilyName1}, ${p.GirlFirstName1}`,"inHaushaltBis":"04.12.2025","inUeBis":"04.12.2025","ereignis":"Wegzug"}</v>
      </c>
      <c r="D5" s="24" t="s">
        <v>28</v>
      </c>
      <c r="E5" s="24" t="str">
        <f ca="1">F5&amp;G5&amp;H5&amp;I5&amp;J5&amp;K5&amp;L5&amp;M5&amp;N5&amp;O5&amp;P5&amp;Q5&amp;R5&amp;S5&amp;T5&amp;U5&amp;V5&amp;W5&amp;X5</f>
        <v>{"dossier":p.DossierName1,"klient":`${p.FamilyName1}, ${p.GirlFirstName1}`,"inHaushaltBis":"04.12.2025","inUeBis":"04.12.2025","ereignis":"Wegzug"}</v>
      </c>
      <c r="F5" s="415" t="s">
        <v>159</v>
      </c>
      <c r="G5" s="24" t="s">
        <v>449</v>
      </c>
      <c r="H5" s="24" t="s">
        <v>769</v>
      </c>
      <c r="I5" s="24" t="s">
        <v>1063</v>
      </c>
      <c r="J5" s="24" t="s">
        <v>1064</v>
      </c>
      <c r="K5" s="232" t="str">
        <f ca="1">TEXT(TEXT(TODAY()+30,"DD")&amp;"."&amp;TEXT(TODAY()+30,"MM")&amp;"."&amp;TEXT(TODAY(),"YYYY"),"DD.MM.YYYY")</f>
        <v>04.12.2025</v>
      </c>
      <c r="L5" s="24" t="s">
        <v>1065</v>
      </c>
      <c r="M5" s="232" t="str">
        <f ca="1">K5</f>
        <v>04.12.2025</v>
      </c>
      <c r="N5" s="24" t="s">
        <v>155</v>
      </c>
      <c r="O5" s="24" t="s">
        <v>1066</v>
      </c>
      <c r="P5" s="24" t="s">
        <v>37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>
        <v>15995</v>
      </c>
      <c r="AJ5" s="24">
        <v>17571</v>
      </c>
      <c r="AK5" s="24">
        <v>16852</v>
      </c>
      <c r="AL5" s="24">
        <v>0</v>
      </c>
      <c r="AM5" s="24" t="s">
        <v>1067</v>
      </c>
      <c r="AN5" s="24">
        <v>0</v>
      </c>
      <c r="AO5" s="156">
        <f t="shared" si="0"/>
        <v>0</v>
      </c>
      <c r="AP5" s="24">
        <v>0</v>
      </c>
      <c r="AQ5" s="156">
        <f t="shared" si="0"/>
        <v>0</v>
      </c>
      <c r="AR5" s="24">
        <v>0</v>
      </c>
      <c r="AS5" s="156">
        <f t="shared" si="0"/>
        <v>0</v>
      </c>
      <c r="AT5" s="24">
        <v>0</v>
      </c>
      <c r="AU5" s="156">
        <f t="shared" si="0"/>
        <v>0</v>
      </c>
      <c r="AV5" s="2">
        <v>10216</v>
      </c>
      <c r="AW5" s="156">
        <f t="shared" si="0"/>
        <v>0.63869959362300721</v>
      </c>
      <c r="AX5" s="2">
        <v>9451</v>
      </c>
      <c r="AY5" s="156">
        <f t="shared" si="0"/>
        <v>0.59087214754610817</v>
      </c>
      <c r="AZ5" s="2">
        <v>12140</v>
      </c>
      <c r="BA5" s="156">
        <f t="shared" si="0"/>
        <v>0.75898718349484218</v>
      </c>
      <c r="BB5" s="2">
        <v>10563</v>
      </c>
      <c r="BC5" s="156">
        <f t="shared" si="0"/>
        <v>0.66039387308533914</v>
      </c>
      <c r="BD5" s="15">
        <v>10737</v>
      </c>
      <c r="BE5" s="156">
        <f t="shared" si="1"/>
        <v>0.67127227258518285</v>
      </c>
      <c r="BG5" s="15">
        <v>13917</v>
      </c>
      <c r="BI5" s="15">
        <v>11118</v>
      </c>
      <c r="BK5" s="15">
        <v>11008</v>
      </c>
      <c r="BM5" s="1368">
        <v>0</v>
      </c>
      <c r="BN5" s="1369" t="s">
        <v>1345</v>
      </c>
      <c r="BO5" s="15">
        <v>7813</v>
      </c>
      <c r="BQ5" s="15">
        <v>7923</v>
      </c>
      <c r="BS5" s="15">
        <v>7973</v>
      </c>
      <c r="BU5" s="15">
        <v>19936</v>
      </c>
      <c r="BW5" s="15">
        <v>12267</v>
      </c>
      <c r="BY5" s="15">
        <v>19328</v>
      </c>
      <c r="CA5" s="15">
        <v>18110</v>
      </c>
      <c r="CC5" s="15">
        <v>13561</v>
      </c>
      <c r="CE5" s="15">
        <v>11584</v>
      </c>
      <c r="CG5" s="15">
        <v>11348</v>
      </c>
      <c r="CI5" s="15">
        <v>14542</v>
      </c>
      <c r="CK5" s="3620">
        <v>0</v>
      </c>
      <c r="CL5" s="3621" t="s">
        <v>1544</v>
      </c>
      <c r="CM5" s="15">
        <v>28245</v>
      </c>
      <c r="CO5" s="15">
        <v>14596</v>
      </c>
      <c r="CP5" s="15" t="s">
        <v>1718</v>
      </c>
    </row>
    <row r="6" spans="1:94"/>
    <row r="7" spans="1:94"/>
    <row r="8" spans="1:94"/>
    <row r="9" spans="1:94" ht="14.25" customHeight="1">
      <c r="B9" s="15" t="s">
        <v>1569</v>
      </c>
    </row>
  </sheetData>
  <conditionalFormatting sqref="AO2:AO145 AQ2:AQ145 AS2:AS145 AU2:AU145 AW2:AW145 AY2:AY145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145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45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145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92D050"/>
  </sheetPr>
  <dimension ref="A1:CX6"/>
  <sheetViews>
    <sheetView zoomScale="115" zoomScaleNormal="115" workbookViewId="0">
      <pane xSplit="2" ySplit="1" topLeftCell="AD2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4.25" customHeight="1"/>
  <cols>
    <col min="1" max="1" width="4.85546875" style="1" customWidth="1"/>
    <col min="2" max="2" width="43" style="2" customWidth="1"/>
    <col min="3" max="3" width="145.8554687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9" width="36.7109375" style="2" customWidth="1"/>
    <col min="10" max="10" width="17" style="2" customWidth="1"/>
    <col min="11" max="11" width="36.5703125" style="2" customWidth="1"/>
    <col min="12" max="12" width="9.140625" style="2" customWidth="1"/>
    <col min="13" max="13" width="10.7109375" style="2" customWidth="1"/>
    <col min="14" max="14" width="9.140625" style="2" customWidth="1"/>
    <col min="15" max="15" width="22.5703125" style="2" customWidth="1"/>
    <col min="16" max="16" width="13.5703125" style="2" customWidth="1"/>
    <col min="17" max="17" width="24.5703125" style="2" customWidth="1"/>
    <col min="18" max="44" width="9.140625" style="2" customWidth="1"/>
    <col min="45" max="47" width="10.85546875" style="2" customWidth="1"/>
    <col min="48" max="48" width="10.85546875" style="12" customWidth="1"/>
    <col min="49" max="49" width="10.85546875" style="2" customWidth="1"/>
    <col min="50" max="50" width="10.85546875" style="12" customWidth="1"/>
    <col min="51" max="51" width="10.85546875" style="2" customWidth="1"/>
    <col min="52" max="52" width="10.85546875" style="12" customWidth="1"/>
    <col min="53" max="53" width="10.85546875" style="2" customWidth="1"/>
    <col min="54" max="54" width="10.85546875" style="12" customWidth="1"/>
    <col min="55" max="55" width="11" style="2" customWidth="1"/>
    <col min="56" max="56" width="9.85546875" style="12" customWidth="1"/>
    <col min="57" max="57" width="9.85546875" style="2" customWidth="1"/>
    <col min="58" max="58" width="9.85546875" style="12" customWidth="1"/>
    <col min="59" max="59" width="9.85546875" style="2" customWidth="1"/>
    <col min="60" max="60" width="9.85546875" style="12" customWidth="1"/>
    <col min="61" max="61" width="9.85546875" style="2" customWidth="1"/>
    <col min="62" max="62" width="9.85546875" style="12" customWidth="1"/>
    <col min="63" max="63" width="9.85546875" style="2" customWidth="1"/>
    <col min="64" max="64" width="9.85546875" style="12" customWidth="1"/>
    <col min="65" max="65" width="9.85546875" style="2" customWidth="1"/>
    <col min="66" max="66" width="9.85546875" style="1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95" width="20" style="2" customWidth="1"/>
    <col min="96" max="96" width="50" style="2" customWidth="1"/>
    <col min="97" max="97" width="20" style="2" customWidth="1"/>
    <col min="98" max="98" width="50" style="2" customWidth="1"/>
    <col min="99" max="99" width="20" style="2" customWidth="1"/>
    <col min="100" max="100" width="50" style="2" customWidth="1"/>
    <col min="101" max="101" width="20" style="2" customWidth="1"/>
    <col min="102" max="102" width="50" style="2" customWidth="1"/>
    <col min="103" max="16384" width="9.140625" style="2"/>
  </cols>
  <sheetData>
    <row r="1" spans="1:102" ht="14.2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14*60*1000*SpeedFaktor</f>
        <v>840000</v>
      </c>
      <c r="H1" s="2">
        <v>10</v>
      </c>
      <c r="AL1" s="764"/>
      <c r="AM1" s="764"/>
      <c r="AN1" s="764"/>
      <c r="AO1" s="764"/>
      <c r="AP1" s="764"/>
      <c r="AQ1" s="764"/>
      <c r="AR1" s="764" t="s">
        <v>5</v>
      </c>
      <c r="AS1" s="764" t="s">
        <v>676</v>
      </c>
      <c r="AT1" s="764" t="s">
        <v>658</v>
      </c>
      <c r="AU1" s="764" t="s">
        <v>10</v>
      </c>
      <c r="AV1" s="763" t="s">
        <v>8</v>
      </c>
      <c r="AW1" s="764" t="s">
        <v>11</v>
      </c>
      <c r="AX1" s="763" t="s">
        <v>8</v>
      </c>
      <c r="AY1" s="764" t="s">
        <v>12</v>
      </c>
      <c r="AZ1" s="763" t="s">
        <v>8</v>
      </c>
      <c r="BA1" s="764" t="s">
        <v>13</v>
      </c>
      <c r="BB1" s="763" t="s">
        <v>8</v>
      </c>
      <c r="BC1" s="764" t="s">
        <v>65</v>
      </c>
      <c r="BD1" s="763" t="s">
        <v>8</v>
      </c>
      <c r="BE1" s="764" t="s">
        <v>15</v>
      </c>
      <c r="BF1" s="763" t="s">
        <v>8</v>
      </c>
      <c r="BG1" s="764" t="s">
        <v>17</v>
      </c>
      <c r="BH1" s="763" t="s">
        <v>8</v>
      </c>
      <c r="BI1" s="764" t="s">
        <v>1285</v>
      </c>
      <c r="BJ1" s="763" t="s">
        <v>8</v>
      </c>
      <c r="BK1" s="764" t="s">
        <v>1286</v>
      </c>
      <c r="BL1" s="763" t="s">
        <v>8</v>
      </c>
      <c r="BM1" s="774" t="s">
        <v>1303</v>
      </c>
      <c r="BN1" s="763" t="s">
        <v>8</v>
      </c>
      <c r="BO1" s="895" t="s">
        <v>1317</v>
      </c>
      <c r="BP1" s="896" t="s">
        <v>572</v>
      </c>
      <c r="BQ1" s="1019" t="s">
        <v>1318</v>
      </c>
      <c r="BR1" s="1020" t="s">
        <v>572</v>
      </c>
      <c r="BS1" s="1165" t="s">
        <v>1324</v>
      </c>
      <c r="BT1" s="1166" t="s">
        <v>572</v>
      </c>
      <c r="BU1" s="1370" t="s">
        <v>1341</v>
      </c>
      <c r="BV1" s="1371" t="s">
        <v>572</v>
      </c>
      <c r="BW1" s="1622" t="s">
        <v>1363</v>
      </c>
      <c r="BX1" s="1623" t="s">
        <v>572</v>
      </c>
      <c r="BY1" s="1762" t="s">
        <v>1368</v>
      </c>
      <c r="BZ1" s="1763" t="s">
        <v>572</v>
      </c>
      <c r="CA1" s="1903" t="s">
        <v>1372</v>
      </c>
      <c r="CB1" s="1904" t="s">
        <v>572</v>
      </c>
      <c r="CC1" s="2199" t="s">
        <v>1397</v>
      </c>
      <c r="CD1" s="2200" t="s">
        <v>572</v>
      </c>
      <c r="CE1" s="2376" t="s">
        <v>1421</v>
      </c>
      <c r="CF1" s="2377" t="s">
        <v>572</v>
      </c>
      <c r="CG1" s="2532" t="s">
        <v>1434</v>
      </c>
      <c r="CH1" s="2533" t="s">
        <v>572</v>
      </c>
      <c r="CI1" s="2695" t="s">
        <v>1442</v>
      </c>
      <c r="CJ1" s="2696" t="s">
        <v>572</v>
      </c>
      <c r="CK1" s="2884" t="s">
        <v>1460</v>
      </c>
      <c r="CL1" s="2885" t="s">
        <v>572</v>
      </c>
      <c r="CM1" s="3068" t="s">
        <v>1472</v>
      </c>
      <c r="CN1" s="3069" t="s">
        <v>572</v>
      </c>
      <c r="CO1" s="3254" t="s">
        <v>1492</v>
      </c>
      <c r="CP1" s="3255" t="s">
        <v>572</v>
      </c>
      <c r="CQ1" s="3426" t="s">
        <v>1503</v>
      </c>
      <c r="CR1" s="3427" t="s">
        <v>572</v>
      </c>
      <c r="CS1" s="3622" t="s">
        <v>1519</v>
      </c>
      <c r="CT1" s="3623" t="s">
        <v>572</v>
      </c>
      <c r="CU1" s="3930" t="s">
        <v>1666</v>
      </c>
      <c r="CV1" s="3931" t="s">
        <v>572</v>
      </c>
      <c r="CW1" s="4147" t="s">
        <v>1717</v>
      </c>
      <c r="CX1" s="4148" t="s">
        <v>572</v>
      </c>
    </row>
    <row r="2" spans="1:102" s="10" customFormat="1" ht="14.25" customHeight="1">
      <c r="A2" s="122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3">
        <v>2049</v>
      </c>
      <c r="AT2" s="3">
        <v>2062</v>
      </c>
      <c r="AU2" s="2">
        <v>1667</v>
      </c>
      <c r="AV2" s="156">
        <f>AU2/($AS2)</f>
        <v>0.8135675939482675</v>
      </c>
      <c r="AW2" s="2">
        <v>2128</v>
      </c>
      <c r="AX2" s="156">
        <f>AW2/($AS2)</f>
        <v>1.038555392874573</v>
      </c>
      <c r="AY2" s="2">
        <v>3017</v>
      </c>
      <c r="AZ2" s="156">
        <f>AY2/($AS2)</f>
        <v>1.4724255734504637</v>
      </c>
      <c r="BA2" s="2">
        <v>2033</v>
      </c>
      <c r="BB2" s="156">
        <f>BA2/($AS2)</f>
        <v>0.99219131283552953</v>
      </c>
      <c r="BC2" s="2">
        <v>1856</v>
      </c>
      <c r="BD2" s="156">
        <f>BC2/($AS2)</f>
        <v>0.90580771107857494</v>
      </c>
      <c r="BE2" s="2">
        <v>1702</v>
      </c>
      <c r="BF2" s="156">
        <f>BE2/($AS2)</f>
        <v>0.83064909712054658</v>
      </c>
      <c r="BG2" s="2">
        <v>1103</v>
      </c>
      <c r="BH2" s="156">
        <f>BG2/($AS2)</f>
        <v>0.5383113714006833</v>
      </c>
      <c r="BI2" s="2">
        <v>1298</v>
      </c>
      <c r="BJ2" s="156">
        <f>BI2/($AS2)</f>
        <v>0.63347974621766712</v>
      </c>
      <c r="BK2" s="2">
        <v>574</v>
      </c>
      <c r="BL2" s="156">
        <f>BK2/($AS2)</f>
        <v>0.28013665202537824</v>
      </c>
      <c r="BM2" s="10">
        <v>1189</v>
      </c>
      <c r="BN2" s="156">
        <f>BM2/($AS2)</f>
        <v>0.58028306490971204</v>
      </c>
      <c r="BO2" s="10">
        <v>1278</v>
      </c>
      <c r="BQ2" s="10">
        <v>1204</v>
      </c>
      <c r="BS2" s="10">
        <v>1176</v>
      </c>
      <c r="BU2" s="10">
        <v>1293</v>
      </c>
      <c r="BW2" s="10">
        <v>1296</v>
      </c>
      <c r="BY2" s="10">
        <v>1247</v>
      </c>
      <c r="CA2" s="10">
        <v>1340</v>
      </c>
      <c r="CC2" s="10">
        <v>1662</v>
      </c>
      <c r="CE2" s="10">
        <v>1675</v>
      </c>
      <c r="CG2" s="10">
        <v>1662</v>
      </c>
      <c r="CI2" s="10">
        <v>1125</v>
      </c>
      <c r="CK2" s="10">
        <v>1168</v>
      </c>
      <c r="CM2" s="10">
        <v>1521</v>
      </c>
      <c r="CO2" s="10">
        <v>1094</v>
      </c>
      <c r="CQ2" s="10">
        <v>1120</v>
      </c>
      <c r="CS2" s="10">
        <v>1418</v>
      </c>
      <c r="CU2" s="10">
        <v>1034</v>
      </c>
      <c r="CW2" s="10">
        <v>481</v>
      </c>
      <c r="CX2" s="10" t="s">
        <v>1718</v>
      </c>
    </row>
    <row r="3" spans="1:102" s="10" customFormat="1" ht="14.25" customHeight="1">
      <c r="A3" s="122">
        <v>2</v>
      </c>
      <c r="B3" s="122" t="s">
        <v>25</v>
      </c>
      <c r="C3" s="120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">
        <v>7803</v>
      </c>
      <c r="AT3" s="3">
        <v>6544</v>
      </c>
      <c r="AU3" s="2">
        <v>9205</v>
      </c>
      <c r="AV3" s="156">
        <f t="shared" ref="AV3" si="0">AU3/($AS3)</f>
        <v>1.179674484172754</v>
      </c>
      <c r="AW3" s="2">
        <v>10462</v>
      </c>
      <c r="AX3" s="156">
        <f t="shared" ref="AX3:AZ5" si="1">AW3/($AS3)</f>
        <v>1.3407663719082403</v>
      </c>
      <c r="AY3" s="2">
        <v>9248</v>
      </c>
      <c r="AZ3" s="156">
        <f t="shared" si="1"/>
        <v>1.1851851851851851</v>
      </c>
      <c r="BA3" s="2">
        <v>9305</v>
      </c>
      <c r="BB3" s="156">
        <f t="shared" ref="BB3:BH3" si="2">BA3/($AS3)</f>
        <v>1.1924900679225938</v>
      </c>
      <c r="BC3" s="2">
        <v>10093</v>
      </c>
      <c r="BD3" s="156">
        <f t="shared" si="2"/>
        <v>1.2934768678713315</v>
      </c>
      <c r="BE3" s="2">
        <v>8552</v>
      </c>
      <c r="BF3" s="156">
        <f t="shared" si="2"/>
        <v>1.0959887222863001</v>
      </c>
      <c r="BG3" s="2">
        <v>6611</v>
      </c>
      <c r="BH3" s="156">
        <f t="shared" si="2"/>
        <v>0.84723824170190953</v>
      </c>
      <c r="BI3" s="2">
        <v>8864</v>
      </c>
      <c r="BJ3" s="156">
        <f t="shared" ref="BJ3:BJ5" si="3">BI3/($AS3)</f>
        <v>1.1359733435858004</v>
      </c>
      <c r="BK3" s="2">
        <v>4563</v>
      </c>
      <c r="BL3" s="156">
        <f t="shared" ref="BL3:BL5" si="4">BK3/($AS3)</f>
        <v>0.58477508650519028</v>
      </c>
      <c r="BM3" s="10">
        <v>7035</v>
      </c>
      <c r="BN3" s="156">
        <f t="shared" ref="BN3:BN5" si="5">BM3/($AS3)</f>
        <v>0.90157631680123029</v>
      </c>
      <c r="BO3" s="10">
        <v>9016</v>
      </c>
      <c r="BQ3" s="10">
        <v>7800</v>
      </c>
      <c r="BS3" s="10">
        <v>7906</v>
      </c>
      <c r="BU3" s="10">
        <v>7306</v>
      </c>
      <c r="BW3" s="10">
        <v>7251</v>
      </c>
      <c r="BY3" s="10">
        <v>7639</v>
      </c>
      <c r="CA3" s="10">
        <v>7300</v>
      </c>
      <c r="CC3" s="10">
        <v>7194</v>
      </c>
      <c r="CE3" s="10">
        <v>6989</v>
      </c>
      <c r="CG3" s="10">
        <v>6735</v>
      </c>
      <c r="CI3" s="10">
        <v>9510</v>
      </c>
      <c r="CK3" s="10">
        <v>8569</v>
      </c>
      <c r="CM3" s="10">
        <v>7804</v>
      </c>
      <c r="CO3" s="10">
        <v>7999</v>
      </c>
      <c r="CQ3" s="10">
        <v>8894</v>
      </c>
      <c r="CS3" s="10">
        <v>9185</v>
      </c>
      <c r="CU3" s="10">
        <v>8463</v>
      </c>
      <c r="CW3" s="10">
        <v>6628</v>
      </c>
      <c r="CX3" s="10" t="s">
        <v>1718</v>
      </c>
    </row>
    <row r="4" spans="1:102" ht="17.25" customHeight="1" thickBot="1">
      <c r="A4" s="122">
        <v>4</v>
      </c>
      <c r="B4" s="122" t="s">
        <v>139</v>
      </c>
      <c r="C4" s="606" t="str">
        <f>E4</f>
        <v>{"searchDossierOrKlient":p.DossierName2,"resultType":"Dossiers"}</v>
      </c>
      <c r="E4" s="3" t="str">
        <f>F4&amp;G4&amp;H4&amp;I4&amp;J4&amp;K4&amp;L4&amp;M4&amp;N4&amp;O4&amp;P4&amp;Q4&amp;R4&amp;S4&amp;T4&amp;U4&amp;V4&amp;W4</f>
        <v>{"searchDossierOrKlient":p.DossierName2,"resultType":"Dossiers"}</v>
      </c>
      <c r="F4" s="2" t="s">
        <v>140</v>
      </c>
      <c r="G4" s="2" t="s">
        <v>513</v>
      </c>
      <c r="H4" s="2" t="s">
        <v>623</v>
      </c>
      <c r="AS4" s="3">
        <v>11901</v>
      </c>
      <c r="AT4" s="3">
        <v>11849</v>
      </c>
      <c r="AU4" s="2">
        <v>10865</v>
      </c>
      <c r="AV4" s="156">
        <f t="shared" ref="AV4" si="6">AU4/($AS4)</f>
        <v>0.91294849172338455</v>
      </c>
      <c r="AW4" s="2">
        <v>11023</v>
      </c>
      <c r="AX4" s="156">
        <f t="shared" si="1"/>
        <v>0.92622468700109239</v>
      </c>
      <c r="AY4" s="2">
        <v>11071</v>
      </c>
      <c r="AZ4" s="156">
        <f t="shared" si="1"/>
        <v>0.93025796151583906</v>
      </c>
      <c r="BA4" s="2">
        <v>10651</v>
      </c>
      <c r="BB4" s="156">
        <f t="shared" ref="BB4:BH4" si="7">BA4/($AS4)</f>
        <v>0.89496680951180574</v>
      </c>
      <c r="BC4" s="2">
        <v>2514</v>
      </c>
      <c r="BD4" s="156">
        <f t="shared" si="7"/>
        <v>0.21124275270985632</v>
      </c>
      <c r="BE4" s="2">
        <v>2715</v>
      </c>
      <c r="BF4" s="156">
        <f t="shared" si="7"/>
        <v>0.22813208974035795</v>
      </c>
      <c r="BG4" s="2">
        <v>4668</v>
      </c>
      <c r="BH4" s="156">
        <f t="shared" si="7"/>
        <v>0.3922359465591127</v>
      </c>
      <c r="BI4" s="2">
        <v>5056</v>
      </c>
      <c r="BJ4" s="156">
        <f t="shared" si="3"/>
        <v>0.42483824888664817</v>
      </c>
      <c r="BK4" s="2">
        <v>5531</v>
      </c>
      <c r="BL4" s="156">
        <f t="shared" si="4"/>
        <v>0.46475086127216203</v>
      </c>
      <c r="BM4" s="2">
        <v>4722</v>
      </c>
      <c r="BN4" s="156">
        <f t="shared" si="5"/>
        <v>0.39677338038820265</v>
      </c>
      <c r="BO4" s="2">
        <v>5496</v>
      </c>
      <c r="BQ4" s="2">
        <v>5201</v>
      </c>
      <c r="BS4" s="2">
        <v>5517</v>
      </c>
      <c r="BU4" s="2">
        <v>5307</v>
      </c>
      <c r="BW4" s="2">
        <v>2617</v>
      </c>
      <c r="BY4" s="2">
        <v>2910</v>
      </c>
      <c r="CA4" s="2">
        <v>2986</v>
      </c>
      <c r="CC4" s="2">
        <v>5545</v>
      </c>
      <c r="CE4" s="2">
        <v>5403</v>
      </c>
      <c r="CG4" s="2">
        <v>5274</v>
      </c>
      <c r="CI4" s="2">
        <v>5026</v>
      </c>
      <c r="CK4" s="2">
        <v>4666</v>
      </c>
      <c r="CM4" s="2">
        <v>6180</v>
      </c>
      <c r="CO4" s="2">
        <v>4806</v>
      </c>
      <c r="CQ4" s="2">
        <v>4894</v>
      </c>
      <c r="CS4" s="2">
        <v>5781</v>
      </c>
      <c r="CU4" s="2">
        <v>4829</v>
      </c>
      <c r="CW4" s="2">
        <v>4711</v>
      </c>
      <c r="CX4" s="2" t="s">
        <v>1718</v>
      </c>
    </row>
    <row r="5" spans="1:102" s="304" customFormat="1" ht="33" customHeight="1" thickBot="1">
      <c r="A5" s="343">
        <v>5</v>
      </c>
      <c r="B5" s="306" t="s">
        <v>1068</v>
      </c>
      <c r="C5" s="329" t="str">
        <f ca="1">E5</f>
        <v>{"gultigVon":"09.11.2025","gultigBis":"","ohnePerson":`${p.FamilyName2}, ${p.GirlFirstName2}`,"mitPerson":`${p.FamilyName2}, ${p.ManFirstName3}`,"zusatz":"","strasse":"Neuweg","hausNr":"12b","plzOrt":"3053 Münchenbuchsee","vermieter":"AFOREM","groess":"5","miete":2500,"nebKosten":199,"documentDiv":"C:/temp/test.txt","documentMietVert":"C:/temp/test.txt","documentMZGarant":"C:/temp/test.txt","docSicherheit":"C:\temp\test.txt","mZinsGarantBetrag":3333,"mietSicherheitsLeist":444,"garantVonDate":"12.12.2024"}</v>
      </c>
      <c r="D5" s="329" t="s">
        <v>28</v>
      </c>
      <c r="E5" s="329" t="str">
        <f ca="1">F5&amp;G5&amp;H5&amp;I5&amp;J5&amp;K5&amp;L5&amp;M5&amp;N5&amp;O5&amp;P5&amp;Q5&amp;R5&amp;S5&amp;T5&amp;U5&amp;V5&amp;W5&amp;X5&amp;Y5&amp;Z5&amp;AA5&amp;AB5&amp;AC5&amp;AD5&amp;AE5&amp;AF5&amp;AG5&amp;AH5&amp;AI5&amp;AJ5&amp;AK5&amp;AL5&amp;AM5&amp;AN5&amp;AO5&amp;AP5&amp;AQ5&amp;AR5</f>
        <v>{"gultigVon":"09.11.2025","gultigBis":"","ohnePerson":`${p.FamilyName2}, ${p.GirlFirstName2}`,"mitPerson":`${p.FamilyName2}, ${p.ManFirstName3}`,"zusatz":"","strasse":"Neuweg","hausNr":"12b","plzOrt":"3053 Münchenbuchsee","vermieter":"AFOREM","groess":"5","miete":2500,"nebKosten":199,"documentDiv":"C:/temp/test.txt","documentMietVert":"C:/temp/test.txt","documentMZGarant":"C:/temp/test.txt","docSicherheit":"C:\temp\test.txt","mZinsGarantBetrag":3333,"mietSicherheitsLeist":444,"garantVonDate":"12.12.2024"}</v>
      </c>
      <c r="F5" s="306" t="s">
        <v>1069</v>
      </c>
      <c r="G5" s="329" t="str">
        <f ca="1">TEXT(DAY(TODAY()+5),"dd")&amp;"."&amp;TEXT(MONTH(TODAY()+5),"dd")&amp;"."&amp;YEAR(TODAY()+5)</f>
        <v>09.11.2025</v>
      </c>
      <c r="H5" s="329" t="s">
        <v>1070</v>
      </c>
      <c r="I5" s="289"/>
      <c r="J5" s="329" t="s">
        <v>1071</v>
      </c>
      <c r="K5" s="289" t="s">
        <v>897</v>
      </c>
      <c r="L5" s="329" t="s">
        <v>1072</v>
      </c>
      <c r="M5" s="289" t="s">
        <v>1073</v>
      </c>
      <c r="N5" s="329" t="s">
        <v>1074</v>
      </c>
      <c r="O5" s="329" t="s">
        <v>101</v>
      </c>
      <c r="P5" s="329" t="s">
        <v>1075</v>
      </c>
      <c r="Q5" s="329" t="s">
        <v>653</v>
      </c>
      <c r="R5" s="329" t="s">
        <v>1076</v>
      </c>
      <c r="S5" s="329" t="s">
        <v>1077</v>
      </c>
      <c r="T5" s="329" t="s">
        <v>104</v>
      </c>
      <c r="U5" s="329" t="s">
        <v>1078</v>
      </c>
      <c r="V5" s="329" t="s">
        <v>425</v>
      </c>
      <c r="W5" s="329" t="s">
        <v>1079</v>
      </c>
      <c r="X5" s="329">
        <v>5</v>
      </c>
      <c r="Y5" s="329" t="s">
        <v>1080</v>
      </c>
      <c r="Z5" s="329">
        <v>2500</v>
      </c>
      <c r="AA5" s="329" t="s">
        <v>1081</v>
      </c>
      <c r="AB5" s="329">
        <v>199</v>
      </c>
      <c r="AC5" s="329" t="s">
        <v>1082</v>
      </c>
      <c r="AD5" s="329" t="s">
        <v>988</v>
      </c>
      <c r="AE5" s="329" t="s">
        <v>1083</v>
      </c>
      <c r="AF5" s="329" t="s">
        <v>988</v>
      </c>
      <c r="AG5" s="329" t="s">
        <v>1084</v>
      </c>
      <c r="AH5" s="329" t="s">
        <v>988</v>
      </c>
      <c r="AI5" s="329" t="s">
        <v>1085</v>
      </c>
      <c r="AJ5" s="329" t="s">
        <v>1086</v>
      </c>
      <c r="AK5" s="329" t="s">
        <v>1087</v>
      </c>
      <c r="AL5" s="329">
        <v>3333</v>
      </c>
      <c r="AM5" s="329" t="s">
        <v>1088</v>
      </c>
      <c r="AN5" s="329">
        <v>444</v>
      </c>
      <c r="AO5" s="329" t="s">
        <v>1089</v>
      </c>
      <c r="AP5" s="329" t="s">
        <v>342</v>
      </c>
      <c r="AQ5" s="329" t="s">
        <v>37</v>
      </c>
      <c r="AR5" s="289"/>
      <c r="AS5" s="313">
        <v>2728</v>
      </c>
      <c r="AT5" s="313">
        <v>2699</v>
      </c>
      <c r="AU5" s="289">
        <v>2547</v>
      </c>
      <c r="AV5" s="290">
        <f t="shared" ref="AV5" si="8">AU5/($AS5)</f>
        <v>0.93365102639296182</v>
      </c>
      <c r="AW5" s="289">
        <v>2691</v>
      </c>
      <c r="AX5" s="290">
        <f t="shared" si="1"/>
        <v>0.98643695014662758</v>
      </c>
      <c r="AY5" s="289">
        <v>2672</v>
      </c>
      <c r="AZ5" s="290">
        <f t="shared" si="1"/>
        <v>0.97947214076246336</v>
      </c>
      <c r="BA5" s="289">
        <v>2480</v>
      </c>
      <c r="BB5" s="290">
        <f t="shared" ref="BB5:BH5" si="9">BA5/($AS5)</f>
        <v>0.90909090909090906</v>
      </c>
      <c r="BC5" s="289">
        <v>3528</v>
      </c>
      <c r="BD5" s="290">
        <f t="shared" si="9"/>
        <v>1.2932551319648093</v>
      </c>
      <c r="BE5" s="291">
        <v>0</v>
      </c>
      <c r="BF5" s="290">
        <f t="shared" si="9"/>
        <v>0</v>
      </c>
      <c r="BG5" s="291">
        <v>2251</v>
      </c>
      <c r="BH5" s="290">
        <f t="shared" si="9"/>
        <v>0.82514662756598245</v>
      </c>
      <c r="BI5" s="291">
        <v>2140</v>
      </c>
      <c r="BJ5" s="290">
        <f t="shared" si="3"/>
        <v>0.78445747800586507</v>
      </c>
      <c r="BK5" s="291">
        <v>1758</v>
      </c>
      <c r="BL5" s="290">
        <f t="shared" si="4"/>
        <v>0.6444281524926686</v>
      </c>
      <c r="BM5" s="304">
        <v>2254</v>
      </c>
      <c r="BN5" s="290">
        <f t="shared" si="5"/>
        <v>0.82624633431085048</v>
      </c>
      <c r="BO5" s="304">
        <v>3301</v>
      </c>
      <c r="BQ5" s="304">
        <v>2419</v>
      </c>
      <c r="BS5" s="304">
        <v>2472</v>
      </c>
      <c r="BU5" s="304">
        <v>2075</v>
      </c>
      <c r="BW5" s="304">
        <v>2347</v>
      </c>
      <c r="BY5" s="304">
        <v>2615</v>
      </c>
      <c r="CA5" s="304">
        <v>2311</v>
      </c>
      <c r="CC5" s="304">
        <v>2576</v>
      </c>
      <c r="CE5" s="304">
        <v>2555</v>
      </c>
      <c r="CG5" s="304">
        <v>2545</v>
      </c>
      <c r="CI5" s="304">
        <v>2802</v>
      </c>
      <c r="CK5" s="304">
        <v>2533</v>
      </c>
      <c r="CM5" s="304">
        <v>2011</v>
      </c>
      <c r="CO5" s="304">
        <v>2544</v>
      </c>
      <c r="CQ5" s="304">
        <v>2783</v>
      </c>
      <c r="CS5" s="304">
        <v>2383</v>
      </c>
      <c r="CU5" s="304">
        <v>2594</v>
      </c>
      <c r="CW5" s="304">
        <v>1426</v>
      </c>
      <c r="CX5" s="304" t="s">
        <v>1718</v>
      </c>
    </row>
    <row r="6" spans="1:102">
      <c r="AV6" s="156"/>
      <c r="AX6" s="156"/>
      <c r="AZ6" s="156"/>
      <c r="BB6" s="156"/>
      <c r="BD6" s="156"/>
      <c r="BF6" s="156"/>
      <c r="BH6" s="156"/>
      <c r="BJ6" s="156"/>
      <c r="BL6" s="156"/>
      <c r="BN6" s="156"/>
    </row>
  </sheetData>
  <conditionalFormatting sqref="AV2:AV141 AX2:AX141 AZ2:AZ141 BB2:BB141 BD2:BD141 BF2:BF141 BH2:BH141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J2:BJ141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L2:BL141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N2:BN141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92D050"/>
  </sheetPr>
  <dimension ref="A1:BK11"/>
  <sheetViews>
    <sheetView zoomScale="115" zoomScaleNormal="115" workbookViewId="0">
      <pane xSplit="2" ySplit="1" topLeftCell="D2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4.25" customHeight="1"/>
  <cols>
    <col min="1" max="1" width="4.85546875" style="1" customWidth="1"/>
    <col min="2" max="2" width="58.7109375" style="2" customWidth="1"/>
    <col min="3" max="3" width="145.8554687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9" width="36.7109375" style="2" customWidth="1"/>
    <col min="10" max="10" width="17" style="2" customWidth="1"/>
    <col min="11" max="11" width="36.5703125" style="2" customWidth="1"/>
    <col min="12" max="12" width="9.140625" style="2" customWidth="1"/>
    <col min="13" max="13" width="12.7109375" style="2" customWidth="1"/>
    <col min="14" max="14" width="10.85546875" style="2" customWidth="1"/>
    <col min="15" max="15" width="10.85546875" style="12" customWidth="1"/>
    <col min="16" max="16" width="20" style="2" customWidth="1"/>
    <col min="17" max="17" width="10.85546875" style="12" customWidth="1"/>
    <col min="18" max="18" width="20" style="2" customWidth="1"/>
    <col min="19" max="19" width="50" style="2" customWidth="1"/>
    <col min="20" max="20" width="20" style="2" customWidth="1"/>
    <col min="21" max="21" width="50" style="2" customWidth="1"/>
    <col min="22" max="22" width="20" style="2" customWidth="1"/>
    <col min="23" max="23" width="50" style="2" customWidth="1"/>
    <col min="24" max="24" width="20" style="2" customWidth="1"/>
    <col min="25" max="25" width="50" style="2" customWidth="1"/>
    <col min="26" max="26" width="20" style="2" customWidth="1"/>
    <col min="27" max="27" width="50" style="2" customWidth="1"/>
    <col min="28" max="28" width="9.140625" style="2" customWidth="1"/>
    <col min="29" max="29" width="30" style="2" customWidth="1"/>
    <col min="30" max="30" width="10.85546875" style="12" customWidth="1"/>
    <col min="31" max="31" width="30" style="2" customWidth="1"/>
    <col min="32" max="32" width="10.85546875" style="12" customWidth="1"/>
    <col min="33" max="33" width="30" style="2" customWidth="1"/>
    <col min="34" max="34" width="50" style="2" customWidth="1"/>
    <col min="35" max="35" width="30" style="2" customWidth="1"/>
    <col min="36" max="36" width="50" style="2" customWidth="1"/>
    <col min="37" max="37" width="9.140625" style="2" customWidth="1"/>
    <col min="38" max="38" width="20" style="2" customWidth="1"/>
    <col min="39" max="39" width="50" style="2" customWidth="1"/>
    <col min="40" max="40" width="20" style="2" customWidth="1"/>
    <col min="41" max="41" width="50" style="2" customWidth="1"/>
    <col min="42" max="42" width="20" style="2" customWidth="1"/>
    <col min="43" max="43" width="50" style="2" customWidth="1"/>
    <col min="44" max="44" width="20" style="2" customWidth="1"/>
    <col min="45" max="45" width="50" style="2" customWidth="1"/>
    <col min="46" max="46" width="20" style="2" customWidth="1"/>
    <col min="47" max="47" width="50" style="2" customWidth="1"/>
    <col min="48" max="48" width="20" style="2" customWidth="1"/>
    <col min="49" max="49" width="50" style="2" customWidth="1"/>
    <col min="50" max="50" width="20" style="2" customWidth="1"/>
    <col min="51" max="51" width="50" style="2" customWidth="1"/>
    <col min="52" max="52" width="20" style="2" customWidth="1"/>
    <col min="53" max="53" width="50" style="2" customWidth="1"/>
    <col min="54" max="54" width="20" style="2" customWidth="1"/>
    <col min="55" max="55" width="50" style="2" customWidth="1"/>
    <col min="56" max="56" width="20" style="2" customWidth="1"/>
    <col min="57" max="57" width="50" style="2" customWidth="1"/>
    <col min="58" max="58" width="20" style="2" customWidth="1"/>
    <col min="59" max="59" width="50" style="2" customWidth="1"/>
    <col min="60" max="60" width="20" style="2" customWidth="1"/>
    <col min="61" max="61" width="50" style="2" customWidth="1"/>
    <col min="62" max="62" width="20" style="2" customWidth="1"/>
    <col min="63" max="63" width="50" style="2" customWidth="1"/>
    <col min="64" max="16384" width="9.140625" style="2"/>
  </cols>
  <sheetData>
    <row r="1" spans="1:63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5*60*1000*SpeedFaktor</f>
        <v>300000</v>
      </c>
      <c r="H1" s="2">
        <v>10</v>
      </c>
      <c r="M1" s="2" t="s">
        <v>5</v>
      </c>
      <c r="N1" s="764" t="s">
        <v>676</v>
      </c>
      <c r="O1" s="763" t="s">
        <v>8</v>
      </c>
      <c r="P1" s="775" t="s">
        <v>1303</v>
      </c>
      <c r="Q1" s="763" t="s">
        <v>8</v>
      </c>
      <c r="R1" s="897" t="s">
        <v>1317</v>
      </c>
      <c r="S1" s="898" t="s">
        <v>572</v>
      </c>
      <c r="T1" s="1021" t="s">
        <v>1318</v>
      </c>
      <c r="U1" s="1022" t="s">
        <v>572</v>
      </c>
      <c r="V1" s="1167" t="s">
        <v>1324</v>
      </c>
      <c r="W1" s="1168" t="s">
        <v>572</v>
      </c>
      <c r="X1" s="1372" t="s">
        <v>1341</v>
      </c>
      <c r="Y1" s="1373" t="s">
        <v>572</v>
      </c>
      <c r="Z1" s="1624" t="s">
        <v>1363</v>
      </c>
      <c r="AA1" s="1625" t="s">
        <v>572</v>
      </c>
      <c r="AB1" s="7" t="s">
        <v>5</v>
      </c>
      <c r="AC1" s="2" t="s">
        <v>17</v>
      </c>
      <c r="AD1" s="24" t="s">
        <v>8</v>
      </c>
      <c r="AE1" s="2" t="s">
        <v>17</v>
      </c>
      <c r="AF1" s="24" t="s">
        <v>8</v>
      </c>
      <c r="AG1" s="2" t="s">
        <v>1285</v>
      </c>
      <c r="AH1" s="2" t="s">
        <v>19</v>
      </c>
      <c r="AI1" s="2" t="s">
        <v>1286</v>
      </c>
      <c r="AJ1" s="2" t="s">
        <v>20</v>
      </c>
      <c r="AL1" s="1764" t="s">
        <v>1368</v>
      </c>
      <c r="AM1" s="1765" t="s">
        <v>572</v>
      </c>
      <c r="AN1" s="1905" t="s">
        <v>1372</v>
      </c>
      <c r="AO1" s="1906" t="s">
        <v>572</v>
      </c>
      <c r="AP1" s="2201" t="s">
        <v>1397</v>
      </c>
      <c r="AQ1" s="2202" t="s">
        <v>572</v>
      </c>
      <c r="AR1" s="2378" t="s">
        <v>1421</v>
      </c>
      <c r="AS1" s="2379" t="s">
        <v>572</v>
      </c>
      <c r="AT1" s="2534" t="s">
        <v>1434</v>
      </c>
      <c r="AU1" s="2535" t="s">
        <v>572</v>
      </c>
      <c r="AV1" s="2697" t="s">
        <v>1442</v>
      </c>
      <c r="AW1" s="2698" t="s">
        <v>572</v>
      </c>
      <c r="AX1" s="2886" t="s">
        <v>1460</v>
      </c>
      <c r="AY1" s="2887" t="s">
        <v>572</v>
      </c>
      <c r="AZ1" s="3070" t="s">
        <v>1472</v>
      </c>
      <c r="BA1" s="3071" t="s">
        <v>572</v>
      </c>
      <c r="BB1" s="3256" t="s">
        <v>1492</v>
      </c>
      <c r="BC1" s="3257" t="s">
        <v>572</v>
      </c>
      <c r="BD1" s="3428" t="s">
        <v>1503</v>
      </c>
      <c r="BE1" s="3429" t="s">
        <v>572</v>
      </c>
      <c r="BF1" s="3624" t="s">
        <v>1519</v>
      </c>
      <c r="BG1" s="3625" t="s">
        <v>572</v>
      </c>
      <c r="BH1" s="3932" t="s">
        <v>1666</v>
      </c>
      <c r="BI1" s="3933" t="s">
        <v>572</v>
      </c>
      <c r="BJ1" s="4149" t="s">
        <v>1717</v>
      </c>
      <c r="BK1" s="4150" t="s">
        <v>572</v>
      </c>
    </row>
    <row r="2" spans="1:63" s="10" customFormat="1" ht="14.25" customHeight="1">
      <c r="A2" s="753">
        <v>1</v>
      </c>
      <c r="B2" s="2" t="s">
        <v>21</v>
      </c>
      <c r="C2" s="11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3">
        <v>2049</v>
      </c>
      <c r="O2" s="156">
        <f>N2/($N2)</f>
        <v>1</v>
      </c>
      <c r="P2" s="10">
        <v>1213</v>
      </c>
      <c r="Q2" s="156">
        <f>P2/($N2)</f>
        <v>0.59199609565641775</v>
      </c>
      <c r="R2" s="10">
        <v>1229</v>
      </c>
      <c r="T2" s="10">
        <v>1288</v>
      </c>
      <c r="V2" s="10">
        <v>1253</v>
      </c>
      <c r="X2" s="10">
        <v>1145</v>
      </c>
      <c r="Z2" s="10">
        <v>1258</v>
      </c>
      <c r="AC2" s="2">
        <v>2091</v>
      </c>
      <c r="AD2" s="156" t="e">
        <f>AC2/($AS2)</f>
        <v>#DIV/0!</v>
      </c>
      <c r="AE2" s="2">
        <v>2091</v>
      </c>
      <c r="AF2" s="156">
        <f>AE2/($AC2)</f>
        <v>1</v>
      </c>
      <c r="AG2" s="2">
        <v>1323</v>
      </c>
      <c r="AH2" s="2"/>
      <c r="AI2" s="2">
        <v>577</v>
      </c>
      <c r="AJ2" s="2"/>
      <c r="AL2" s="10">
        <v>1131</v>
      </c>
      <c r="AN2" s="10">
        <v>1294</v>
      </c>
      <c r="AP2" s="10">
        <v>1706</v>
      </c>
      <c r="AR2" s="10">
        <v>1576</v>
      </c>
      <c r="AT2" s="10">
        <v>1574</v>
      </c>
      <c r="AV2" s="10">
        <v>1042</v>
      </c>
      <c r="AX2" s="10">
        <v>1103</v>
      </c>
      <c r="AZ2" s="10">
        <v>1528</v>
      </c>
      <c r="BB2" s="10">
        <v>1126</v>
      </c>
      <c r="BD2" s="10">
        <v>1227</v>
      </c>
      <c r="BF2" s="10">
        <v>1141</v>
      </c>
      <c r="BH2" s="10">
        <v>842</v>
      </c>
      <c r="BJ2" s="10">
        <v>405</v>
      </c>
      <c r="BK2" s="10" t="s">
        <v>1718</v>
      </c>
    </row>
    <row r="3" spans="1:63" s="10" customFormat="1" ht="14.25" customHeight="1" thickBot="1">
      <c r="A3" s="753">
        <v>2</v>
      </c>
      <c r="B3" s="2" t="s">
        <v>25</v>
      </c>
      <c r="C3" s="19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3">
        <v>7803</v>
      </c>
      <c r="O3" s="156">
        <f t="shared" ref="O3:Q7" si="0">N3/($N3)</f>
        <v>1</v>
      </c>
      <c r="P3" s="10">
        <v>7489</v>
      </c>
      <c r="Q3" s="156">
        <f t="shared" si="0"/>
        <v>0.95975906702550307</v>
      </c>
      <c r="R3" s="10">
        <v>9168</v>
      </c>
      <c r="T3" s="10">
        <v>7436</v>
      </c>
      <c r="V3" s="10">
        <v>7710</v>
      </c>
      <c r="X3" s="10">
        <v>7160</v>
      </c>
      <c r="Z3" s="10">
        <v>6924</v>
      </c>
      <c r="AC3" s="2">
        <v>7682</v>
      </c>
      <c r="AD3" s="156" t="e">
        <f t="shared" ref="AD3:AD6" si="1">AC3/($AS3)</f>
        <v>#DIV/0!</v>
      </c>
      <c r="AE3" s="2">
        <v>7682</v>
      </c>
      <c r="AF3" s="156">
        <f t="shared" ref="AF3:AF7" si="2">AE3/($AC3)</f>
        <v>1</v>
      </c>
      <c r="AG3" s="2">
        <v>10110</v>
      </c>
      <c r="AH3" s="2"/>
      <c r="AI3" s="2">
        <v>4859</v>
      </c>
      <c r="AJ3" s="2"/>
      <c r="AL3" s="10">
        <v>7820</v>
      </c>
      <c r="AN3" s="10">
        <v>7459</v>
      </c>
      <c r="AP3" s="10">
        <v>6885</v>
      </c>
      <c r="AR3" s="10">
        <v>9736</v>
      </c>
      <c r="AT3" s="10">
        <v>6437</v>
      </c>
      <c r="AV3" s="10">
        <v>7606</v>
      </c>
      <c r="AX3" s="10">
        <v>9578</v>
      </c>
      <c r="AZ3" s="10">
        <v>7992</v>
      </c>
      <c r="BB3" s="10">
        <v>9075</v>
      </c>
      <c r="BD3" s="10">
        <v>8598</v>
      </c>
      <c r="BF3" s="10">
        <v>9941</v>
      </c>
      <c r="BH3" s="10">
        <v>7629</v>
      </c>
      <c r="BJ3" s="10">
        <v>6035</v>
      </c>
      <c r="BK3" s="10" t="s">
        <v>1718</v>
      </c>
    </row>
    <row r="4" spans="1:63" s="15" customFormat="1" ht="15.75" customHeight="1" thickBot="1">
      <c r="A4" s="753">
        <v>3</v>
      </c>
      <c r="B4" s="16" t="s">
        <v>22</v>
      </c>
      <c r="C4" s="17" t="s">
        <v>23</v>
      </c>
      <c r="D4" s="2"/>
      <c r="E4" s="2"/>
      <c r="F4" s="2"/>
      <c r="G4" s="2"/>
      <c r="H4" s="2"/>
      <c r="I4" s="2"/>
      <c r="J4" s="2"/>
      <c r="K4" s="2"/>
      <c r="L4" s="2"/>
      <c r="M4" s="2"/>
      <c r="N4" s="3">
        <v>4007</v>
      </c>
      <c r="O4" s="156">
        <f t="shared" si="0"/>
        <v>1</v>
      </c>
      <c r="P4" s="15">
        <v>4013</v>
      </c>
      <c r="Q4" s="156">
        <f t="shared" si="0"/>
        <v>1.0014973795857249</v>
      </c>
      <c r="R4" s="15">
        <v>4012</v>
      </c>
      <c r="T4" s="15">
        <v>4013</v>
      </c>
      <c r="V4" s="15">
        <v>4005</v>
      </c>
      <c r="X4" s="15">
        <v>4020</v>
      </c>
      <c r="Z4" s="15">
        <v>4004</v>
      </c>
      <c r="AC4" s="2">
        <v>4015</v>
      </c>
      <c r="AD4" s="156" t="e">
        <f t="shared" si="1"/>
        <v>#DIV/0!</v>
      </c>
      <c r="AE4" s="2">
        <v>4015</v>
      </c>
      <c r="AF4" s="156">
        <f t="shared" si="2"/>
        <v>1</v>
      </c>
      <c r="AG4" s="2">
        <v>4016</v>
      </c>
      <c r="AH4" s="2"/>
      <c r="AI4" s="2">
        <v>4002</v>
      </c>
      <c r="AJ4" s="2"/>
      <c r="AL4" s="15">
        <v>4018</v>
      </c>
      <c r="AN4" s="15">
        <v>4007</v>
      </c>
      <c r="AP4" s="15">
        <v>4016</v>
      </c>
      <c r="AR4" s="15">
        <v>4017</v>
      </c>
      <c r="AT4" s="15">
        <v>4012</v>
      </c>
      <c r="AV4" s="15">
        <v>4011</v>
      </c>
      <c r="AX4" s="15">
        <v>4018</v>
      </c>
      <c r="AZ4" s="15">
        <v>4014</v>
      </c>
      <c r="BB4" s="15">
        <v>4012</v>
      </c>
      <c r="BD4" s="15">
        <v>4007</v>
      </c>
      <c r="BF4" s="15">
        <v>4017</v>
      </c>
      <c r="BH4" s="15">
        <v>4008</v>
      </c>
      <c r="BJ4" s="15">
        <v>4016</v>
      </c>
      <c r="BK4" s="15" t="s">
        <v>1718</v>
      </c>
    </row>
    <row r="5" spans="1:63" s="10" customFormat="1" ht="18.75" customHeight="1" thickBot="1">
      <c r="A5" s="754">
        <v>4</v>
      </c>
      <c r="B5" s="240" t="s">
        <v>1090</v>
      </c>
      <c r="C5" s="187" t="str">
        <f>E5</f>
        <v>{"dossier":p.DossierName2,"docType":"Miet-Sicherheitsleistung","document":"c:/temp/diverseDoc.docx"}</v>
      </c>
      <c r="D5" s="187" t="s">
        <v>28</v>
      </c>
      <c r="E5" s="3" t="str">
        <f>F5&amp;G5&amp;H5&amp;I5&amp;J5&amp;K5&amp;L5</f>
        <v>{"dossier":p.DossierName2,"docType":"Miet-Sicherheitsleistung","document":"c:/temp/diverseDoc.docx"}</v>
      </c>
      <c r="F5" s="240" t="s">
        <v>159</v>
      </c>
      <c r="G5" s="187" t="s">
        <v>513</v>
      </c>
      <c r="H5" s="187" t="s">
        <v>1091</v>
      </c>
      <c r="I5" s="231" t="s">
        <v>1092</v>
      </c>
      <c r="J5" s="187" t="s">
        <v>950</v>
      </c>
      <c r="K5" s="231" t="s">
        <v>1093</v>
      </c>
      <c r="L5" s="187" t="s">
        <v>37</v>
      </c>
      <c r="M5" s="231"/>
      <c r="N5" s="231">
        <v>2728</v>
      </c>
      <c r="O5" s="156">
        <f t="shared" si="0"/>
        <v>1</v>
      </c>
      <c r="P5" s="10">
        <v>8136</v>
      </c>
      <c r="Q5" s="156">
        <f t="shared" si="0"/>
        <v>2.9824046920821115</v>
      </c>
      <c r="R5" s="10">
        <v>9282</v>
      </c>
      <c r="T5" s="10">
        <v>8541</v>
      </c>
      <c r="V5" s="10">
        <v>9215</v>
      </c>
      <c r="X5" s="10">
        <v>7994</v>
      </c>
      <c r="Z5" s="10">
        <v>4383</v>
      </c>
      <c r="AC5" s="2">
        <v>7516</v>
      </c>
      <c r="AD5" s="290" t="e">
        <f t="shared" si="1"/>
        <v>#DIV/0!</v>
      </c>
      <c r="AE5" s="2">
        <v>7516</v>
      </c>
      <c r="AF5" s="156">
        <f t="shared" si="2"/>
        <v>1</v>
      </c>
      <c r="AG5" s="2">
        <v>7556</v>
      </c>
      <c r="AH5" s="2"/>
      <c r="AI5" s="2">
        <v>7723</v>
      </c>
      <c r="AJ5" s="2"/>
      <c r="AL5" s="10">
        <v>4687</v>
      </c>
      <c r="AN5" s="10">
        <v>4372</v>
      </c>
      <c r="AP5" s="10">
        <v>6842</v>
      </c>
      <c r="AR5" s="10">
        <v>6547</v>
      </c>
      <c r="AT5" s="10">
        <v>6354</v>
      </c>
      <c r="AV5" s="10">
        <v>7255</v>
      </c>
      <c r="AX5" s="10">
        <v>7774</v>
      </c>
      <c r="AZ5" s="10">
        <v>7492</v>
      </c>
      <c r="BB5" s="10">
        <v>8224</v>
      </c>
      <c r="BD5" s="10">
        <v>7564</v>
      </c>
      <c r="BF5" s="10">
        <v>8685</v>
      </c>
      <c r="BH5" s="10">
        <v>9351</v>
      </c>
      <c r="BJ5" s="10">
        <v>7104</v>
      </c>
      <c r="BK5" s="10" t="s">
        <v>1718</v>
      </c>
    </row>
    <row r="6" spans="1:63" s="10" customFormat="1" ht="18.75" customHeight="1" thickBot="1">
      <c r="A6" s="754">
        <v>5</v>
      </c>
      <c r="B6" s="240" t="s">
        <v>1090</v>
      </c>
      <c r="C6" s="187" t="str">
        <f>E6</f>
        <v>{"dossier":p.DossierName2,"docType":"Mietvertrag","document":"c:/temp/diverseDoc.docx"}</v>
      </c>
      <c r="D6" s="187" t="s">
        <v>28</v>
      </c>
      <c r="E6" s="3" t="str">
        <f>F6&amp;G6&amp;H6&amp;I6&amp;J6&amp;K6&amp;L6</f>
        <v>{"dossier":p.DossierName2,"docType":"Mietvertrag","document":"c:/temp/diverseDoc.docx"}</v>
      </c>
      <c r="F6" s="240" t="s">
        <v>159</v>
      </c>
      <c r="G6" s="187" t="s">
        <v>513</v>
      </c>
      <c r="H6" s="187" t="s">
        <v>1091</v>
      </c>
      <c r="I6" s="231" t="s">
        <v>1094</v>
      </c>
      <c r="J6" s="187" t="s">
        <v>950</v>
      </c>
      <c r="K6" s="231" t="s">
        <v>1093</v>
      </c>
      <c r="L6" s="187" t="s">
        <v>37</v>
      </c>
      <c r="M6" s="231"/>
      <c r="N6" s="231">
        <v>2728</v>
      </c>
      <c r="O6" s="156">
        <f t="shared" si="0"/>
        <v>1</v>
      </c>
      <c r="P6" s="10">
        <v>7032</v>
      </c>
      <c r="Q6" s="156">
        <f t="shared" si="0"/>
        <v>2.5777126099706744</v>
      </c>
      <c r="R6" s="10">
        <v>8342</v>
      </c>
      <c r="T6" s="10">
        <v>7458</v>
      </c>
      <c r="V6" s="10">
        <v>7817</v>
      </c>
      <c r="X6" s="10">
        <v>7069</v>
      </c>
      <c r="Z6" s="10">
        <v>4912</v>
      </c>
      <c r="AC6" s="2">
        <v>6924</v>
      </c>
      <c r="AD6" s="156" t="e">
        <f t="shared" si="1"/>
        <v>#DIV/0!</v>
      </c>
      <c r="AE6" s="2">
        <v>6924</v>
      </c>
      <c r="AF6" s="156">
        <f t="shared" si="2"/>
        <v>1</v>
      </c>
      <c r="AG6" s="2">
        <v>7114</v>
      </c>
      <c r="AH6" s="2"/>
      <c r="AI6" s="2">
        <v>7316</v>
      </c>
      <c r="AJ6" s="2"/>
      <c r="AL6" s="10">
        <v>4757</v>
      </c>
      <c r="AN6" s="10">
        <v>4385</v>
      </c>
      <c r="AP6" s="10">
        <v>10798</v>
      </c>
      <c r="AR6" s="10">
        <v>4836</v>
      </c>
      <c r="AT6" s="10">
        <v>5896</v>
      </c>
      <c r="AV6" s="10">
        <v>9678</v>
      </c>
      <c r="AX6" s="10">
        <v>9598</v>
      </c>
      <c r="AZ6" s="3072">
        <v>0</v>
      </c>
      <c r="BA6" s="3073" t="s">
        <v>1488</v>
      </c>
      <c r="BB6" s="10">
        <v>9800</v>
      </c>
      <c r="BD6" s="10">
        <v>9476</v>
      </c>
      <c r="BF6" s="10">
        <v>6453</v>
      </c>
      <c r="BH6" s="10">
        <v>11270</v>
      </c>
      <c r="BJ6" s="10">
        <v>9452</v>
      </c>
      <c r="BK6" s="10" t="s">
        <v>1718</v>
      </c>
    </row>
    <row r="7" spans="1:63" s="10" customFormat="1" ht="18.75" customHeight="1" thickBot="1">
      <c r="A7" s="754">
        <v>6</v>
      </c>
      <c r="B7" s="240" t="s">
        <v>1090</v>
      </c>
      <c r="C7" s="187" t="str">
        <f>E7</f>
        <v>{"dossier":p.DossierName2,"docType":"Mietzinsgarantie","document":"c:/temp/diverseDoc.docx"}</v>
      </c>
      <c r="D7" s="187" t="s">
        <v>28</v>
      </c>
      <c r="E7" s="3" t="str">
        <f>F7&amp;G7&amp;H7&amp;I7&amp;J7&amp;K7&amp;L7</f>
        <v>{"dossier":p.DossierName2,"docType":"Mietzinsgarantie","document":"c:/temp/diverseDoc.docx"}</v>
      </c>
      <c r="F7" s="240" t="s">
        <v>159</v>
      </c>
      <c r="G7" s="187" t="s">
        <v>513</v>
      </c>
      <c r="H7" s="187" t="s">
        <v>1091</v>
      </c>
      <c r="I7" s="231" t="s">
        <v>1095</v>
      </c>
      <c r="J7" s="187" t="s">
        <v>950</v>
      </c>
      <c r="K7" s="231" t="s">
        <v>1093</v>
      </c>
      <c r="L7" s="187" t="s">
        <v>37</v>
      </c>
      <c r="M7" s="231"/>
      <c r="N7" s="231">
        <v>2728</v>
      </c>
      <c r="O7" s="156">
        <f t="shared" si="0"/>
        <v>1</v>
      </c>
      <c r="P7" s="10">
        <v>6855</v>
      </c>
      <c r="Q7" s="156">
        <f t="shared" si="0"/>
        <v>2.5128299120234603</v>
      </c>
      <c r="R7" s="10">
        <v>7722</v>
      </c>
      <c r="T7" s="10">
        <v>7142</v>
      </c>
      <c r="V7" s="10">
        <v>7283</v>
      </c>
      <c r="X7" s="10">
        <v>6995</v>
      </c>
      <c r="Z7" s="10">
        <v>3880</v>
      </c>
      <c r="AC7" s="2">
        <v>6541</v>
      </c>
      <c r="AD7" s="156"/>
      <c r="AE7" s="2">
        <v>6541</v>
      </c>
      <c r="AF7" s="156">
        <f t="shared" si="2"/>
        <v>1</v>
      </c>
      <c r="AG7" s="2">
        <v>6734</v>
      </c>
      <c r="AH7" s="2"/>
      <c r="AI7" s="2">
        <v>6756</v>
      </c>
      <c r="AJ7" s="2"/>
      <c r="AL7" s="10">
        <v>4262</v>
      </c>
      <c r="AN7" s="10">
        <v>4079</v>
      </c>
      <c r="AP7" s="10">
        <v>6848</v>
      </c>
      <c r="AR7" s="10">
        <v>6701</v>
      </c>
      <c r="AT7" s="10">
        <v>7150</v>
      </c>
      <c r="AV7" s="2699">
        <v>0</v>
      </c>
      <c r="AW7" s="2700" t="s">
        <v>1488</v>
      </c>
      <c r="AX7" s="10">
        <v>10430</v>
      </c>
      <c r="AZ7" s="10">
        <v>362</v>
      </c>
      <c r="BB7" s="10">
        <v>10898</v>
      </c>
      <c r="BD7" s="10">
        <v>9238</v>
      </c>
      <c r="BF7" s="10">
        <v>9357</v>
      </c>
      <c r="BH7" s="10">
        <v>10090</v>
      </c>
      <c r="BJ7" s="10">
        <v>20829</v>
      </c>
      <c r="BK7" s="10" t="s">
        <v>1718</v>
      </c>
    </row>
    <row r="8" spans="1:63"/>
    <row r="9" spans="1:63">
      <c r="C9" s="328"/>
    </row>
    <row r="10" spans="1:63"/>
    <row r="11" spans="1:63" ht="14.25" customHeight="1">
      <c r="C11" s="416" t="s">
        <v>1096</v>
      </c>
    </row>
  </sheetData>
  <conditionalFormatting sqref="AD2:AD145 AF2:AF145 O2:O140 Q2:Q140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92D050"/>
  </sheetPr>
  <dimension ref="A1:CP8"/>
  <sheetViews>
    <sheetView zoomScaleNormal="100" workbookViewId="0">
      <pane xSplit="2" ySplit="1" topLeftCell="D2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4.25" customHeight="1"/>
  <cols>
    <col min="1" max="1" width="9.140625" style="1" customWidth="1"/>
    <col min="2" max="2" width="43" style="2" customWidth="1"/>
    <col min="3" max="3" width="156.710937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22.5703125" style="2" customWidth="1"/>
    <col min="17" max="17" width="13.5703125" style="2" customWidth="1"/>
    <col min="18" max="18" width="24.5703125" style="2" customWidth="1"/>
    <col min="19" max="22" width="9.140625" style="2" customWidth="1"/>
    <col min="23" max="23" width="25.140625" style="2" customWidth="1"/>
    <col min="24" max="34" width="9.140625" style="2" customWidth="1"/>
    <col min="35" max="37" width="9.85546875" style="2" customWidth="1"/>
    <col min="38" max="38" width="30" style="2" customWidth="1"/>
    <col min="39" max="39" width="7.140625" style="12" customWidth="1"/>
    <col min="40" max="40" width="9.42578125" style="2" customWidth="1"/>
    <col min="41" max="41" width="6.42578125" style="12" customWidth="1"/>
    <col min="42" max="42" width="9.7109375" style="2" customWidth="1"/>
    <col min="43" max="43" width="10.85546875" style="12" customWidth="1"/>
    <col min="44" max="44" width="9.85546875" style="2" customWidth="1"/>
    <col min="45" max="45" width="10.85546875" style="12" customWidth="1"/>
    <col min="46" max="46" width="11.5703125" style="2" customWidth="1"/>
    <col min="47" max="47" width="11.5703125" style="12" customWidth="1"/>
    <col min="48" max="48" width="11.5703125" style="2" customWidth="1"/>
    <col min="49" max="49" width="11.5703125" style="12" customWidth="1"/>
    <col min="50" max="50" width="11.5703125" style="2" customWidth="1"/>
    <col min="51" max="51" width="11.5703125" style="12" customWidth="1"/>
    <col min="52" max="52" width="11.5703125" style="2" customWidth="1"/>
    <col min="53" max="53" width="11.5703125" style="12" customWidth="1"/>
    <col min="54" max="54" width="11.5703125" style="2" customWidth="1"/>
    <col min="55" max="55" width="11.5703125" style="12" customWidth="1"/>
    <col min="56" max="56" width="11.5703125" style="2" customWidth="1"/>
    <col min="57" max="57" width="11.5703125" style="12" customWidth="1"/>
    <col min="58" max="58" width="9.140625" style="2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3*60*1000*SpeedFaktor</f>
        <v>180000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10</v>
      </c>
      <c r="AM1" s="763" t="s">
        <v>8</v>
      </c>
      <c r="AN1" s="764" t="s">
        <v>11</v>
      </c>
      <c r="AO1" s="763" t="s">
        <v>8</v>
      </c>
      <c r="AP1" s="764" t="s">
        <v>12</v>
      </c>
      <c r="AQ1" s="763" t="s">
        <v>8</v>
      </c>
      <c r="AR1" s="764" t="s">
        <v>13</v>
      </c>
      <c r="AS1" s="763" t="s">
        <v>8</v>
      </c>
      <c r="AT1" s="764" t="s">
        <v>65</v>
      </c>
      <c r="AU1" s="763" t="s">
        <v>8</v>
      </c>
      <c r="AV1" s="764" t="s">
        <v>15</v>
      </c>
      <c r="AW1" s="763" t="s">
        <v>8</v>
      </c>
      <c r="AX1" s="764" t="s">
        <v>17</v>
      </c>
      <c r="AY1" s="763" t="s">
        <v>8</v>
      </c>
      <c r="AZ1" s="764" t="s">
        <v>1285</v>
      </c>
      <c r="BA1" s="763" t="s">
        <v>8</v>
      </c>
      <c r="BB1" s="764" t="s">
        <v>1286</v>
      </c>
      <c r="BC1" s="763" t="s">
        <v>8</v>
      </c>
      <c r="BD1" s="778" t="s">
        <v>1303</v>
      </c>
      <c r="BE1" s="763" t="s">
        <v>8</v>
      </c>
      <c r="BG1" s="899" t="s">
        <v>1317</v>
      </c>
      <c r="BH1" s="900" t="s">
        <v>572</v>
      </c>
      <c r="BI1" s="1023" t="s">
        <v>1318</v>
      </c>
      <c r="BJ1" s="1024" t="s">
        <v>572</v>
      </c>
      <c r="BK1" s="1169" t="s">
        <v>1324</v>
      </c>
      <c r="BL1" s="1170" t="s">
        <v>572</v>
      </c>
      <c r="BM1" s="1374" t="s">
        <v>1341</v>
      </c>
      <c r="BN1" s="1375" t="s">
        <v>572</v>
      </c>
      <c r="BO1" s="1626" t="s">
        <v>1363</v>
      </c>
      <c r="BP1" s="1627" t="s">
        <v>572</v>
      </c>
      <c r="BQ1" s="1766" t="s">
        <v>1368</v>
      </c>
      <c r="BR1" s="1767" t="s">
        <v>572</v>
      </c>
      <c r="BS1" s="1907" t="s">
        <v>1372</v>
      </c>
      <c r="BT1" s="1908" t="s">
        <v>572</v>
      </c>
      <c r="BU1" s="2203" t="s">
        <v>1397</v>
      </c>
      <c r="BV1" s="2204" t="s">
        <v>572</v>
      </c>
      <c r="BW1" s="2380" t="s">
        <v>1421</v>
      </c>
      <c r="BX1" s="2381" t="s">
        <v>572</v>
      </c>
      <c r="BY1" s="2536" t="s">
        <v>1434</v>
      </c>
      <c r="BZ1" s="2537" t="s">
        <v>572</v>
      </c>
      <c r="CA1" s="2701" t="s">
        <v>1442</v>
      </c>
      <c r="CB1" s="2702" t="s">
        <v>572</v>
      </c>
      <c r="CC1" s="2888" t="s">
        <v>1460</v>
      </c>
      <c r="CD1" s="2889" t="s">
        <v>572</v>
      </c>
      <c r="CE1" s="3074" t="s">
        <v>1472</v>
      </c>
      <c r="CF1" s="3075" t="s">
        <v>572</v>
      </c>
      <c r="CG1" s="3258" t="s">
        <v>1492</v>
      </c>
      <c r="CH1" s="3259" t="s">
        <v>572</v>
      </c>
      <c r="CI1" s="3430" t="s">
        <v>1503</v>
      </c>
      <c r="CJ1" s="3431" t="s">
        <v>572</v>
      </c>
      <c r="CK1" s="3626" t="s">
        <v>1519</v>
      </c>
      <c r="CL1" s="3627" t="s">
        <v>572</v>
      </c>
      <c r="CM1" s="3934" t="s">
        <v>1666</v>
      </c>
      <c r="CN1" s="3935" t="s">
        <v>572</v>
      </c>
      <c r="CO1" s="4151" t="s">
        <v>1717</v>
      </c>
      <c r="CP1" s="4152" t="s">
        <v>572</v>
      </c>
    </row>
    <row r="2" spans="1:94" ht="14.25" customHeight="1">
      <c r="A2" s="777">
        <v>1</v>
      </c>
      <c r="B2" s="122" t="s">
        <v>21</v>
      </c>
      <c r="C2" s="590" t="str">
        <f>'001a'!B59</f>
        <v>{"url":p.aventisURL}</v>
      </c>
      <c r="AI2" s="2">
        <v>1995</v>
      </c>
      <c r="AJ2" s="2">
        <v>1930</v>
      </c>
      <c r="AK2" s="2">
        <v>2056</v>
      </c>
      <c r="AL2" s="2">
        <v>1499</v>
      </c>
      <c r="AM2" s="156">
        <f>AL2/($AI2)</f>
        <v>0.75137844611528826</v>
      </c>
      <c r="AN2" s="2">
        <v>1611</v>
      </c>
      <c r="AO2" s="156">
        <f>AN2/($AI2)</f>
        <v>0.80751879699248119</v>
      </c>
      <c r="AP2" s="2">
        <v>1455</v>
      </c>
      <c r="AQ2" s="156">
        <f>AP2/($AI2)</f>
        <v>0.72932330827067671</v>
      </c>
      <c r="AR2" s="2">
        <v>1453</v>
      </c>
      <c r="AS2" s="156">
        <f>AR2/($AI2)</f>
        <v>0.72832080200501248</v>
      </c>
      <c r="AT2" s="2">
        <v>1307</v>
      </c>
      <c r="AU2" s="156">
        <f>AT2/($AI2)</f>
        <v>0.6551378446115288</v>
      </c>
      <c r="AV2" s="2">
        <v>1290</v>
      </c>
      <c r="AW2" s="156">
        <f>AV2/($AI2)</f>
        <v>0.64661654135338342</v>
      </c>
      <c r="AX2" s="2">
        <v>1366</v>
      </c>
      <c r="AY2" s="156">
        <f>AX2/($AI2)</f>
        <v>0.6847117794486216</v>
      </c>
      <c r="AZ2" s="2">
        <v>1327</v>
      </c>
      <c r="BA2" s="156">
        <f>AZ2/($AI2)</f>
        <v>0.6651629072681704</v>
      </c>
      <c r="BB2" s="2">
        <v>599</v>
      </c>
      <c r="BC2" s="156">
        <f>BB2/($AI2)</f>
        <v>0.30025062656641605</v>
      </c>
      <c r="BD2" s="2">
        <v>1126</v>
      </c>
      <c r="BE2" s="156">
        <f>BD2/($AI2)</f>
        <v>0.56441102756892225</v>
      </c>
      <c r="BG2" s="2">
        <v>1379</v>
      </c>
      <c r="BI2" s="2">
        <v>1216</v>
      </c>
      <c r="BK2" s="2">
        <v>1207</v>
      </c>
      <c r="BM2" s="2">
        <v>1251</v>
      </c>
      <c r="BO2" s="2">
        <v>1207</v>
      </c>
      <c r="BQ2" s="2">
        <v>1179</v>
      </c>
      <c r="BS2" s="2">
        <v>1284</v>
      </c>
      <c r="BU2" s="2">
        <v>1711</v>
      </c>
      <c r="BW2" s="2">
        <v>1700</v>
      </c>
      <c r="BY2" s="2">
        <v>1556</v>
      </c>
      <c r="CA2" s="2">
        <v>1379</v>
      </c>
      <c r="CC2" s="2">
        <v>1179</v>
      </c>
      <c r="CE2" s="2">
        <v>1495</v>
      </c>
      <c r="CG2" s="2">
        <v>1223</v>
      </c>
      <c r="CI2" s="2">
        <v>1142</v>
      </c>
      <c r="CK2" s="2">
        <v>1548</v>
      </c>
      <c r="CM2" s="2">
        <v>890</v>
      </c>
      <c r="CO2" s="2">
        <v>383</v>
      </c>
      <c r="CP2" s="2" t="s">
        <v>1718</v>
      </c>
    </row>
    <row r="3" spans="1:94" ht="14.25" customHeight="1">
      <c r="A3" s="777">
        <v>2</v>
      </c>
      <c r="B3" s="122" t="s">
        <v>25</v>
      </c>
      <c r="C3" s="606" t="s">
        <v>633</v>
      </c>
      <c r="AI3" s="2">
        <v>6758</v>
      </c>
      <c r="AJ3" s="2">
        <v>6735</v>
      </c>
      <c r="AK3" s="2">
        <v>6627</v>
      </c>
      <c r="AL3" s="2">
        <v>9379</v>
      </c>
      <c r="AM3" s="156">
        <f t="shared" ref="AM3" si="0">AL3/($AI3)</f>
        <v>1.3878366380585971</v>
      </c>
      <c r="AN3" s="2">
        <v>9612</v>
      </c>
      <c r="AO3" s="156">
        <f t="shared" ref="AO3:AQ5" si="1">AN3/($AI3)</f>
        <v>1.4223142941698728</v>
      </c>
      <c r="AP3" s="2">
        <v>9050</v>
      </c>
      <c r="AQ3" s="156">
        <f t="shared" si="1"/>
        <v>1.3391535957383842</v>
      </c>
      <c r="AR3" s="2">
        <v>9373</v>
      </c>
      <c r="AS3" s="156">
        <f t="shared" ref="AS3:BC3" si="2">AR3/($AI3)</f>
        <v>1.3869488014205387</v>
      </c>
      <c r="AT3" s="2">
        <v>9220</v>
      </c>
      <c r="AU3" s="156">
        <f t="shared" si="2"/>
        <v>1.3643089671500443</v>
      </c>
      <c r="AV3" s="2">
        <v>7549</v>
      </c>
      <c r="AW3" s="156">
        <f t="shared" si="2"/>
        <v>1.1170464634507251</v>
      </c>
      <c r="AX3" s="2">
        <v>6896</v>
      </c>
      <c r="AY3" s="156">
        <f t="shared" si="2"/>
        <v>1.0204202426753477</v>
      </c>
      <c r="AZ3" s="2">
        <v>10285</v>
      </c>
      <c r="BA3" s="156">
        <f t="shared" si="2"/>
        <v>1.5218999704054454</v>
      </c>
      <c r="BB3" s="2">
        <v>5273</v>
      </c>
      <c r="BC3" s="156">
        <f t="shared" si="2"/>
        <v>0.78026043208049722</v>
      </c>
      <c r="BD3" s="2">
        <v>8068</v>
      </c>
      <c r="BE3" s="156">
        <f t="shared" ref="BE3:BE5" si="3">BD3/($AI3)</f>
        <v>1.1938443326427937</v>
      </c>
      <c r="BG3" s="2">
        <v>9341</v>
      </c>
      <c r="BI3" s="2">
        <v>7021</v>
      </c>
      <c r="BK3" s="2">
        <v>7029</v>
      </c>
      <c r="BM3" s="2">
        <v>7239</v>
      </c>
      <c r="BO3" s="2">
        <v>7159</v>
      </c>
      <c r="BQ3" s="2">
        <v>7541</v>
      </c>
      <c r="BS3" s="2">
        <v>7098</v>
      </c>
      <c r="BU3" s="2">
        <v>7955</v>
      </c>
      <c r="BW3" s="2">
        <v>6980</v>
      </c>
      <c r="BY3" s="2">
        <v>6518</v>
      </c>
      <c r="CA3" s="2">
        <v>8329</v>
      </c>
      <c r="CC3" s="2">
        <v>8962</v>
      </c>
      <c r="CE3" s="2">
        <v>8983</v>
      </c>
      <c r="CG3" s="2">
        <v>9732</v>
      </c>
      <c r="CI3" s="2">
        <v>8613</v>
      </c>
      <c r="CK3" s="2">
        <v>8422</v>
      </c>
      <c r="CM3" s="2">
        <v>7828</v>
      </c>
      <c r="CO3" s="2">
        <v>6339</v>
      </c>
      <c r="CP3" s="2" t="s">
        <v>1718</v>
      </c>
    </row>
    <row r="4" spans="1:94" s="10" customFormat="1" ht="15" customHeight="1" thickBot="1">
      <c r="A4" s="777">
        <v>3</v>
      </c>
      <c r="B4" s="122" t="s">
        <v>139</v>
      </c>
      <c r="C4" s="122" t="str">
        <f>G4&amp;H4&amp;I4&amp;J4</f>
        <v>{"searchDossierOrKlient":p.DossierName1,"resultType":"Dossiers"}</v>
      </c>
      <c r="D4" s="2"/>
      <c r="E4" s="209"/>
      <c r="F4" s="254"/>
      <c r="G4" s="2" t="s">
        <v>140</v>
      </c>
      <c r="H4" s="267" t="s">
        <v>449</v>
      </c>
      <c r="I4" s="2" t="s">
        <v>623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>
        <v>11202</v>
      </c>
      <c r="AJ4" s="2">
        <v>11854</v>
      </c>
      <c r="AK4" s="2">
        <v>11833</v>
      </c>
      <c r="AL4" s="2">
        <v>10879</v>
      </c>
      <c r="AM4" s="156">
        <f t="shared" ref="AM4" si="4">AL4/($AI4)</f>
        <v>0.97116586323870735</v>
      </c>
      <c r="AN4" s="2">
        <v>10939</v>
      </c>
      <c r="AO4" s="156">
        <f t="shared" si="1"/>
        <v>0.97652204963399392</v>
      </c>
      <c r="AP4" s="2">
        <v>11022</v>
      </c>
      <c r="AQ4" s="156">
        <f t="shared" si="1"/>
        <v>0.9839314408141403</v>
      </c>
      <c r="AR4" s="2">
        <v>10606</v>
      </c>
      <c r="AS4" s="156">
        <f t="shared" ref="AS4:BC4" si="5">AR4/($AI4)</f>
        <v>0.94679521514015352</v>
      </c>
      <c r="AT4" s="2">
        <v>2479</v>
      </c>
      <c r="AU4" s="156">
        <f t="shared" si="5"/>
        <v>0.22129976789858954</v>
      </c>
      <c r="AV4" s="2">
        <v>2691</v>
      </c>
      <c r="AW4" s="156">
        <f t="shared" si="5"/>
        <v>0.24022495982860204</v>
      </c>
      <c r="AX4" s="2">
        <v>4720</v>
      </c>
      <c r="AY4" s="156">
        <f t="shared" si="5"/>
        <v>0.42135332976254242</v>
      </c>
      <c r="AZ4" s="2">
        <v>4834</v>
      </c>
      <c r="BA4" s="156">
        <f t="shared" si="5"/>
        <v>0.43153008391358688</v>
      </c>
      <c r="BB4" s="2">
        <v>4648</v>
      </c>
      <c r="BC4" s="156">
        <f t="shared" si="5"/>
        <v>0.41492590608819852</v>
      </c>
      <c r="BD4" s="10">
        <v>4838</v>
      </c>
      <c r="BE4" s="156">
        <f t="shared" si="3"/>
        <v>0.43188716300660596</v>
      </c>
      <c r="BG4" s="10">
        <v>5685</v>
      </c>
      <c r="BI4" s="10">
        <v>5228</v>
      </c>
      <c r="BK4" s="10">
        <v>5304</v>
      </c>
      <c r="BM4" s="10">
        <v>5344</v>
      </c>
      <c r="BO4" s="10">
        <v>2540</v>
      </c>
      <c r="BQ4" s="10">
        <v>2894</v>
      </c>
      <c r="BS4" s="10">
        <v>2902</v>
      </c>
      <c r="BU4" s="10">
        <v>5343</v>
      </c>
      <c r="BW4" s="10">
        <v>5200</v>
      </c>
      <c r="BY4" s="10">
        <v>3343</v>
      </c>
      <c r="CA4" s="10">
        <v>8090</v>
      </c>
      <c r="CC4" s="10">
        <v>4752</v>
      </c>
      <c r="CE4" s="10">
        <v>4691</v>
      </c>
      <c r="CG4" s="10">
        <v>5085</v>
      </c>
      <c r="CI4" s="10">
        <v>4743</v>
      </c>
      <c r="CK4" s="10">
        <v>4617</v>
      </c>
      <c r="CM4" s="10">
        <v>4888</v>
      </c>
      <c r="CO4" s="10">
        <v>4679</v>
      </c>
      <c r="CP4" s="10" t="s">
        <v>1718</v>
      </c>
    </row>
    <row r="5" spans="1:94" s="287" customFormat="1" ht="16.5" customHeight="1" thickBot="1">
      <c r="A5" s="776">
        <v>4</v>
      </c>
      <c r="B5" s="307" t="s">
        <v>1097</v>
      </c>
      <c r="C5" s="417" t="str">
        <f ca="1">E5</f>
        <v>{"titel":"Wichtig","rueckModus":"Monatlicher Abzug","datum":"4.11.2025","verJahrung":"01.01.2034","betrag":"1000","schuldner":` ${p.FamilyName1}, ${p.ManFirstName1}`,"monatlicherBetrag":"100","erstmalig":"Februar 2025","dateiPfad":"C:/temp/test.txt","begruendung":"keine"}</v>
      </c>
      <c r="D5" s="313" t="s">
        <v>28</v>
      </c>
      <c r="E5" s="289" t="str">
        <f ca="1">F5&amp;G5&amp;H5&amp;I5&amp;J5&amp;K5&amp;L5&amp;M5&amp;N5&amp;O5&amp;P5&amp;Q5&amp;R5&amp;S5&amp;T5&amp;U5&amp;V5&amp;W5&amp;X5&amp;Y5&amp;Z5</f>
        <v>{"titel":"Wichtig","rueckModus":"Monatlicher Abzug","datum":"4.11.2025","verJahrung":"01.01.2034","betrag":"1000","schuldner":` ${p.FamilyName1}, ${p.ManFirstName1}`,"monatlicherBetrag":"100","erstmalig":"Februar 2025","dateiPfad":"C:/temp/test.txt","begruendung":"keine"}</v>
      </c>
      <c r="F5" s="318" t="s">
        <v>374</v>
      </c>
      <c r="G5" s="418" t="s">
        <v>667</v>
      </c>
      <c r="H5" s="418" t="s">
        <v>1098</v>
      </c>
      <c r="I5" s="418" t="s">
        <v>1099</v>
      </c>
      <c r="J5" s="289" t="s">
        <v>1100</v>
      </c>
      <c r="K5" s="419" t="str">
        <f ca="1">DAY(TODAY())&amp;"."&amp;MONTH(TODAY())&amp;"."&amp;TEXT(TODAY(),"YYYY")</f>
        <v>4.11.2025</v>
      </c>
      <c r="L5" s="289" t="s">
        <v>1101</v>
      </c>
      <c r="M5" s="418" t="str">
        <f ca="1">"01.01."&amp;TEXT(TODAY()+3000,"YYYY")</f>
        <v>01.01.2034</v>
      </c>
      <c r="N5" s="420" t="s">
        <v>166</v>
      </c>
      <c r="O5" s="418">
        <v>1000</v>
      </c>
      <c r="P5" s="289" t="s">
        <v>1102</v>
      </c>
      <c r="Q5" s="418" t="s">
        <v>1103</v>
      </c>
      <c r="R5" s="289" t="s">
        <v>1104</v>
      </c>
      <c r="S5" s="418">
        <v>100</v>
      </c>
      <c r="T5" s="289" t="s">
        <v>1105</v>
      </c>
      <c r="U5" s="316" t="s">
        <v>246</v>
      </c>
      <c r="V5" s="289" t="s">
        <v>1106</v>
      </c>
      <c r="W5" s="289" t="s">
        <v>988</v>
      </c>
      <c r="X5" s="289" t="s">
        <v>515</v>
      </c>
      <c r="Y5" s="289" t="s">
        <v>498</v>
      </c>
      <c r="Z5" s="289" t="s">
        <v>37</v>
      </c>
      <c r="AA5" s="289"/>
      <c r="AB5" s="289"/>
      <c r="AC5" s="289"/>
      <c r="AD5" s="289"/>
      <c r="AE5" s="289"/>
      <c r="AF5" s="289"/>
      <c r="AG5" s="289"/>
      <c r="AH5" s="289"/>
      <c r="AI5" s="289">
        <v>10352</v>
      </c>
      <c r="AJ5" s="289">
        <v>10338</v>
      </c>
      <c r="AK5" s="289">
        <v>10319</v>
      </c>
      <c r="AL5" s="289">
        <v>10901</v>
      </c>
      <c r="AM5" s="290">
        <f t="shared" ref="AM5" si="6">AL5/($AI5)</f>
        <v>1.0530332302936631</v>
      </c>
      <c r="AN5" s="289">
        <v>11086</v>
      </c>
      <c r="AO5" s="290">
        <f t="shared" si="1"/>
        <v>1.070904173106646</v>
      </c>
      <c r="AP5" s="289">
        <v>11216</v>
      </c>
      <c r="AQ5" s="290">
        <f t="shared" si="1"/>
        <v>1.0834621329211747</v>
      </c>
      <c r="AR5" s="289">
        <v>10705</v>
      </c>
      <c r="AS5" s="290">
        <f t="shared" ref="AS5:BC5" si="7">AR5/($AI5)</f>
        <v>1.0340996908809892</v>
      </c>
      <c r="AT5" s="289">
        <v>10723</v>
      </c>
      <c r="AU5" s="290">
        <f t="shared" si="7"/>
        <v>1.035838485316847</v>
      </c>
      <c r="AV5" s="291">
        <v>9717</v>
      </c>
      <c r="AW5" s="290">
        <f t="shared" si="7"/>
        <v>0.93865919629057182</v>
      </c>
      <c r="AX5" s="291">
        <v>4536</v>
      </c>
      <c r="AY5" s="290">
        <f t="shared" si="7"/>
        <v>0.4381761978361669</v>
      </c>
      <c r="AZ5" s="291">
        <v>4986</v>
      </c>
      <c r="BA5" s="290">
        <f t="shared" si="7"/>
        <v>0.48164605873261207</v>
      </c>
      <c r="BB5" s="291">
        <v>5292</v>
      </c>
      <c r="BC5" s="290">
        <f t="shared" si="7"/>
        <v>0.51120556414219476</v>
      </c>
      <c r="BD5" s="287">
        <v>6132</v>
      </c>
      <c r="BE5" s="290">
        <f t="shared" si="3"/>
        <v>0.59234930448222567</v>
      </c>
      <c r="BG5" s="287">
        <v>7806</v>
      </c>
      <c r="BI5" s="287">
        <v>6412</v>
      </c>
      <c r="BK5" s="287">
        <v>5772</v>
      </c>
      <c r="BM5" s="287">
        <v>5364</v>
      </c>
      <c r="BO5" s="287">
        <v>6276</v>
      </c>
      <c r="BQ5" s="287">
        <v>5773</v>
      </c>
      <c r="BS5" s="287">
        <v>6075</v>
      </c>
      <c r="BU5" s="2205">
        <v>0</v>
      </c>
      <c r="BV5" s="2206" t="s">
        <v>1417</v>
      </c>
      <c r="BW5" s="287">
        <v>6631</v>
      </c>
      <c r="BY5" s="287">
        <v>6259</v>
      </c>
      <c r="CA5" s="287">
        <v>7380</v>
      </c>
      <c r="CC5" s="287">
        <v>5699</v>
      </c>
      <c r="CE5" s="287">
        <v>5052</v>
      </c>
      <c r="CG5" s="287">
        <v>8036</v>
      </c>
      <c r="CI5" s="287">
        <v>6795</v>
      </c>
      <c r="CK5" s="3628">
        <v>0</v>
      </c>
      <c r="CL5" s="3629" t="s">
        <v>1545</v>
      </c>
      <c r="CM5" s="287">
        <v>14042</v>
      </c>
      <c r="CO5" s="287">
        <v>6143</v>
      </c>
      <c r="CP5" s="287" t="s">
        <v>1718</v>
      </c>
    </row>
    <row r="6" spans="1:94">
      <c r="AM6" s="156"/>
      <c r="AO6" s="156"/>
      <c r="AQ6" s="156"/>
      <c r="AS6" s="156"/>
      <c r="AU6" s="156"/>
      <c r="AW6" s="156"/>
      <c r="AY6" s="156"/>
      <c r="BA6" s="156"/>
      <c r="BC6" s="156"/>
      <c r="BE6" s="156"/>
    </row>
    <row r="7" spans="1:94">
      <c r="AM7" s="156"/>
      <c r="AO7" s="156"/>
      <c r="AQ7" s="156"/>
      <c r="AS7" s="156"/>
      <c r="AU7" s="156"/>
      <c r="AW7" s="156"/>
      <c r="AY7" s="156"/>
      <c r="BA7" s="156"/>
      <c r="BC7" s="156"/>
      <c r="BE7" s="156"/>
    </row>
    <row r="8" spans="1:94">
      <c r="C8" s="50" t="s">
        <v>1107</v>
      </c>
      <c r="AM8" s="156"/>
      <c r="AO8" s="156"/>
      <c r="AQ8" s="156"/>
      <c r="AS8" s="156"/>
      <c r="AU8" s="156"/>
      <c r="AW8" s="156"/>
      <c r="AY8" s="156"/>
      <c r="BA8" s="156"/>
      <c r="BC8" s="156"/>
      <c r="BE8" s="156"/>
    </row>
  </sheetData>
  <conditionalFormatting sqref="AM2:AM146 AO2:AO146 AQ2:AQ146 AS2:AS146 AU2:AU146 AW2:AW146 AY2:AY146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146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92D050"/>
  </sheetPr>
  <dimension ref="A1:CP16"/>
  <sheetViews>
    <sheetView zoomScaleNormal="100" workbookViewId="0">
      <pane xSplit="2" ySplit="1" topLeftCell="F2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4.25" customHeight="1"/>
  <cols>
    <col min="1" max="1" width="9.140625" style="1" customWidth="1"/>
    <col min="2" max="2" width="43" style="2" customWidth="1"/>
    <col min="3" max="3" width="156.7109375" style="2" customWidth="1"/>
    <col min="4" max="4" width="9.140625" style="2" customWidth="1"/>
    <col min="5" max="5" width="9.85546875" style="3" customWidth="1"/>
    <col min="6" max="6" width="18.85546875" style="2" customWidth="1"/>
    <col min="7" max="7" width="26.85546875" style="2" customWidth="1"/>
    <col min="8" max="8" width="36.7109375" style="2" customWidth="1"/>
    <col min="9" max="9" width="10.140625" style="2" customWidth="1"/>
    <col min="10" max="10" width="15.28515625" style="2" customWidth="1"/>
    <col min="11" max="11" width="9.140625" style="2" customWidth="1"/>
    <col min="12" max="12" width="36.5703125" style="2" customWidth="1"/>
    <col min="13" max="13" width="9.140625" style="2" customWidth="1"/>
    <col min="14" max="14" width="10.7109375" style="2" customWidth="1"/>
    <col min="15" max="15" width="9.140625" style="2" customWidth="1"/>
    <col min="16" max="16" width="22.5703125" style="2" customWidth="1"/>
    <col min="17" max="17" width="13.5703125" style="2" customWidth="1"/>
    <col min="18" max="18" width="24.5703125" style="2" customWidth="1"/>
    <col min="19" max="19" width="18.28515625" style="2" customWidth="1"/>
    <col min="20" max="34" width="9.140625" style="2" customWidth="1"/>
    <col min="35" max="37" width="10" style="2" customWidth="1"/>
    <col min="38" max="38" width="10.140625" style="2" customWidth="1"/>
    <col min="39" max="39" width="10.140625" style="12" customWidth="1"/>
    <col min="40" max="40" width="10.140625" style="2" customWidth="1"/>
    <col min="41" max="41" width="10.140625" style="12" customWidth="1"/>
    <col min="42" max="42" width="10.140625" style="2" customWidth="1"/>
    <col min="43" max="43" width="10.140625" style="12" customWidth="1"/>
    <col min="44" max="44" width="10.140625" style="2" customWidth="1"/>
    <col min="45" max="45" width="10.140625" style="12" customWidth="1"/>
    <col min="46" max="46" width="11.28515625" style="2" customWidth="1"/>
    <col min="47" max="47" width="10.140625" style="12" customWidth="1"/>
    <col min="48" max="48" width="11.7109375" style="2" customWidth="1"/>
    <col min="49" max="49" width="10.140625" style="12" customWidth="1"/>
    <col min="50" max="50" width="11.28515625" style="2" customWidth="1"/>
    <col min="51" max="51" width="10.140625" style="12" customWidth="1"/>
    <col min="52" max="52" width="10.85546875" style="2" customWidth="1"/>
    <col min="53" max="53" width="10.140625" style="12" customWidth="1"/>
    <col min="54" max="54" width="11.28515625" style="2" customWidth="1"/>
    <col min="55" max="55" width="10.140625" style="12" customWidth="1"/>
    <col min="56" max="56" width="8.140625" style="2" customWidth="1"/>
    <col min="57" max="57" width="10.140625" style="12" customWidth="1"/>
    <col min="58" max="58" width="9.140625" style="2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2*60*1000*SpeedFaktor</f>
        <v>120000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10</v>
      </c>
      <c r="AM1" s="763" t="s">
        <v>8</v>
      </c>
      <c r="AN1" s="764" t="s">
        <v>11</v>
      </c>
      <c r="AO1" s="763" t="s">
        <v>8</v>
      </c>
      <c r="AP1" s="764" t="s">
        <v>12</v>
      </c>
      <c r="AQ1" s="763" t="s">
        <v>8</v>
      </c>
      <c r="AR1" s="764" t="s">
        <v>13</v>
      </c>
      <c r="AS1" s="763" t="s">
        <v>8</v>
      </c>
      <c r="AT1" s="764" t="s">
        <v>65</v>
      </c>
      <c r="AU1" s="763" t="s">
        <v>8</v>
      </c>
      <c r="AV1" s="764" t="s">
        <v>15</v>
      </c>
      <c r="AW1" s="763" t="s">
        <v>8</v>
      </c>
      <c r="AX1" s="764" t="s">
        <v>17</v>
      </c>
      <c r="AY1" s="763" t="s">
        <v>8</v>
      </c>
      <c r="AZ1" s="764" t="s">
        <v>1285</v>
      </c>
      <c r="BA1" s="763" t="s">
        <v>8</v>
      </c>
      <c r="BB1" s="764" t="s">
        <v>1286</v>
      </c>
      <c r="BC1" s="763" t="s">
        <v>8</v>
      </c>
      <c r="BD1" s="780" t="s">
        <v>1303</v>
      </c>
      <c r="BE1" s="763" t="s">
        <v>8</v>
      </c>
      <c r="BG1" s="901" t="s">
        <v>1317</v>
      </c>
      <c r="BH1" s="902" t="s">
        <v>572</v>
      </c>
      <c r="BI1" s="1025" t="s">
        <v>1318</v>
      </c>
      <c r="BJ1" s="1026" t="s">
        <v>572</v>
      </c>
      <c r="BK1" s="1171" t="s">
        <v>1324</v>
      </c>
      <c r="BL1" s="1172" t="s">
        <v>572</v>
      </c>
      <c r="BM1" s="1376" t="s">
        <v>1341</v>
      </c>
      <c r="BN1" s="1377" t="s">
        <v>572</v>
      </c>
      <c r="BO1" s="1628" t="s">
        <v>1363</v>
      </c>
      <c r="BP1" s="1629" t="s">
        <v>572</v>
      </c>
      <c r="BQ1" s="1768" t="s">
        <v>1368</v>
      </c>
      <c r="BR1" s="1769" t="s">
        <v>572</v>
      </c>
      <c r="BS1" s="1909" t="s">
        <v>1372</v>
      </c>
      <c r="BT1" s="1910" t="s">
        <v>572</v>
      </c>
      <c r="BU1" s="2207" t="s">
        <v>1397</v>
      </c>
      <c r="BV1" s="2208" t="s">
        <v>572</v>
      </c>
      <c r="BW1" s="2382" t="s">
        <v>1421</v>
      </c>
      <c r="BX1" s="2383" t="s">
        <v>572</v>
      </c>
      <c r="BY1" s="2538" t="s">
        <v>1434</v>
      </c>
      <c r="BZ1" s="2539" t="s">
        <v>572</v>
      </c>
      <c r="CA1" s="2703" t="s">
        <v>1442</v>
      </c>
      <c r="CB1" s="2704" t="s">
        <v>572</v>
      </c>
      <c r="CC1" s="2890" t="s">
        <v>1460</v>
      </c>
      <c r="CD1" s="2891" t="s">
        <v>572</v>
      </c>
      <c r="CE1" s="3076" t="s">
        <v>1472</v>
      </c>
      <c r="CF1" s="3077" t="s">
        <v>572</v>
      </c>
      <c r="CG1" s="3260" t="s">
        <v>1492</v>
      </c>
      <c r="CH1" s="3261" t="s">
        <v>572</v>
      </c>
      <c r="CI1" s="3432" t="s">
        <v>1503</v>
      </c>
      <c r="CJ1" s="3433" t="s">
        <v>572</v>
      </c>
      <c r="CK1" s="3630" t="s">
        <v>1519</v>
      </c>
      <c r="CL1" s="3631" t="s">
        <v>572</v>
      </c>
      <c r="CM1" s="3936" t="s">
        <v>1666</v>
      </c>
      <c r="CN1" s="3937" t="s">
        <v>572</v>
      </c>
      <c r="CO1" s="4153" t="s">
        <v>1717</v>
      </c>
      <c r="CP1" s="4154" t="s">
        <v>572</v>
      </c>
    </row>
    <row r="2" spans="1:94" ht="14.25" customHeight="1">
      <c r="A2" s="726">
        <v>1</v>
      </c>
      <c r="B2" s="727" t="s">
        <v>21</v>
      </c>
      <c r="C2" s="779" t="str">
        <f>'001a'!B59</f>
        <v>{"url":p.aventisURL}</v>
      </c>
      <c r="AI2" s="2">
        <v>1995</v>
      </c>
      <c r="AJ2" s="2">
        <v>1930</v>
      </c>
      <c r="AK2" s="2">
        <v>2056</v>
      </c>
      <c r="AL2" s="2">
        <v>1432</v>
      </c>
      <c r="AM2" s="156">
        <f>AL2/($AI2)</f>
        <v>0.71779448621553887</v>
      </c>
      <c r="AN2" s="2">
        <v>1495</v>
      </c>
      <c r="AO2" s="156">
        <f>AN2/($AI2)</f>
        <v>0.74937343358395991</v>
      </c>
      <c r="AP2" s="2">
        <v>1393</v>
      </c>
      <c r="AQ2" s="156">
        <f>AP2/($AI2)</f>
        <v>0.69824561403508767</v>
      </c>
      <c r="AR2" s="2">
        <v>1531</v>
      </c>
      <c r="AS2" s="156">
        <f>AR2/($AI2)</f>
        <v>0.76741854636591478</v>
      </c>
      <c r="AT2" s="2">
        <v>1638</v>
      </c>
      <c r="AU2" s="156">
        <f>AT2/($AI2)</f>
        <v>0.82105263157894737</v>
      </c>
      <c r="AV2" s="2">
        <v>968</v>
      </c>
      <c r="AW2" s="156">
        <f>AV2/($AI2)</f>
        <v>0.48521303258145365</v>
      </c>
      <c r="AX2" s="2">
        <v>1132</v>
      </c>
      <c r="AY2" s="156">
        <f>AX2/($AI2)</f>
        <v>0.56741854636591482</v>
      </c>
      <c r="AZ2" s="2">
        <v>1052</v>
      </c>
      <c r="BA2" s="156">
        <f>AZ2/($AI2)</f>
        <v>0.52731829573934841</v>
      </c>
      <c r="BB2" s="2">
        <v>577</v>
      </c>
      <c r="BC2" s="156">
        <f>BB2/($AI2)</f>
        <v>0.28922305764411027</v>
      </c>
      <c r="BD2" s="2">
        <v>1309</v>
      </c>
      <c r="BE2" s="156">
        <f>BD2/($AI2)</f>
        <v>0.65614035087719302</v>
      </c>
      <c r="BG2" s="2">
        <v>1239</v>
      </c>
      <c r="BI2" s="2">
        <v>1219</v>
      </c>
      <c r="BK2" s="2">
        <v>1172</v>
      </c>
      <c r="BM2" s="2">
        <v>1195</v>
      </c>
      <c r="BO2" s="2">
        <v>1294</v>
      </c>
      <c r="BQ2" s="2">
        <v>1241</v>
      </c>
      <c r="BS2" s="2">
        <v>1286</v>
      </c>
      <c r="BU2" s="2">
        <v>2264</v>
      </c>
      <c r="BW2" s="2">
        <v>1902</v>
      </c>
      <c r="BY2" s="2">
        <v>1549</v>
      </c>
      <c r="CA2" s="2">
        <v>1545</v>
      </c>
      <c r="CC2" s="2">
        <v>1167</v>
      </c>
      <c r="CE2" s="2">
        <v>1392</v>
      </c>
      <c r="CG2" s="2">
        <v>1190</v>
      </c>
      <c r="CI2" s="2">
        <v>1121</v>
      </c>
      <c r="CK2" s="2">
        <v>1431</v>
      </c>
      <c r="CM2" s="2">
        <v>856</v>
      </c>
      <c r="CO2" s="2">
        <v>389</v>
      </c>
      <c r="CP2" s="2" t="s">
        <v>1718</v>
      </c>
    </row>
    <row r="3" spans="1:94" ht="14.25" customHeight="1">
      <c r="A3" s="726">
        <v>2</v>
      </c>
      <c r="B3" s="727" t="s">
        <v>25</v>
      </c>
      <c r="C3" s="728" t="s">
        <v>633</v>
      </c>
      <c r="AI3" s="2">
        <v>6758</v>
      </c>
      <c r="AJ3" s="2">
        <v>6735</v>
      </c>
      <c r="AK3" s="2">
        <v>6627</v>
      </c>
      <c r="AL3" s="2">
        <v>9625</v>
      </c>
      <c r="AM3" s="156">
        <f t="shared" ref="AM3:AM4" si="0">AL3/($AI3)</f>
        <v>1.4242379402189997</v>
      </c>
      <c r="AN3" s="2">
        <v>9665</v>
      </c>
      <c r="AO3" s="156">
        <f t="shared" ref="AO3:AO4" si="1">AN3/($AI3)</f>
        <v>1.4301568511393903</v>
      </c>
      <c r="AP3" s="2">
        <v>8883</v>
      </c>
      <c r="AQ3" s="156">
        <f t="shared" ref="AQ3:AQ4" si="2">AP3/($AI3)</f>
        <v>1.3144421426457531</v>
      </c>
      <c r="AR3" s="2">
        <v>9686</v>
      </c>
      <c r="AS3" s="156">
        <f t="shared" ref="AS3:BC4" si="3">AR3/($AI3)</f>
        <v>1.4332642793725954</v>
      </c>
      <c r="AT3" s="2">
        <v>9954</v>
      </c>
      <c r="AU3" s="156">
        <f t="shared" si="3"/>
        <v>1.4729209825392129</v>
      </c>
      <c r="AV3" s="2">
        <v>6872</v>
      </c>
      <c r="AW3" s="156">
        <f t="shared" si="3"/>
        <v>1.0168688961231134</v>
      </c>
      <c r="AX3" s="2">
        <v>7220</v>
      </c>
      <c r="AY3" s="156">
        <f t="shared" si="3"/>
        <v>1.068363421130512</v>
      </c>
      <c r="AZ3" s="2">
        <v>9837</v>
      </c>
      <c r="BA3" s="156">
        <f t="shared" si="3"/>
        <v>1.4556081680970701</v>
      </c>
      <c r="BB3" s="2">
        <v>5097</v>
      </c>
      <c r="BC3" s="156">
        <f t="shared" si="3"/>
        <v>0.75421722403077829</v>
      </c>
      <c r="BD3" s="2">
        <v>7460</v>
      </c>
      <c r="BE3" s="156">
        <f t="shared" ref="BE3:BE4" si="4">BD3/($AI3)</f>
        <v>1.1038768866528559</v>
      </c>
      <c r="BG3" s="2">
        <v>8549</v>
      </c>
      <c r="BI3" s="2">
        <v>7130</v>
      </c>
      <c r="BK3" s="2">
        <v>7237</v>
      </c>
      <c r="BM3" s="2">
        <v>7137</v>
      </c>
      <c r="BO3" s="2">
        <v>7079</v>
      </c>
      <c r="BQ3" s="2">
        <v>7267</v>
      </c>
      <c r="BS3" s="2">
        <v>6897</v>
      </c>
      <c r="BU3" s="2">
        <v>8076</v>
      </c>
      <c r="BW3" s="2">
        <v>8977</v>
      </c>
      <c r="BY3" s="2">
        <v>6444</v>
      </c>
      <c r="CA3" s="2">
        <v>7152</v>
      </c>
      <c r="CC3" s="2">
        <v>9904</v>
      </c>
      <c r="CE3" s="2">
        <v>7680</v>
      </c>
      <c r="CG3" s="2">
        <v>10198</v>
      </c>
      <c r="CI3" s="2">
        <v>8416</v>
      </c>
      <c r="CK3" s="2">
        <v>8397</v>
      </c>
      <c r="CM3" s="2">
        <v>9020</v>
      </c>
      <c r="CO3" s="2">
        <v>6101</v>
      </c>
      <c r="CP3" s="2" t="s">
        <v>1718</v>
      </c>
    </row>
    <row r="4" spans="1:94" s="53" customFormat="1" ht="99.95" customHeight="1">
      <c r="A4" s="21">
        <v>5</v>
      </c>
      <c r="B4" s="248" t="s">
        <v>1108</v>
      </c>
      <c r="C4" s="421" t="str">
        <f ca="1">E4</f>
        <v>{"dossier":p.DossierName1,"titel":"Tolle Sache","rueckModus":"Monatlicher Abzug","datum":"4.11.2025","verJahrung":"09.05.2035","betrag":"1000","schuldner":`${p.FamilyName1}, ${p.ManFirstName1}`,"monatlicherBetrag":"100","erstmalig":"01.02.2025","dateiPfad":"C:/temp/Ermittlung.docx","begruendung":"keine"}</v>
      </c>
      <c r="D4" s="231" t="s">
        <v>28</v>
      </c>
      <c r="E4" s="231" t="str">
        <f ca="1">F4&amp;G4&amp;H4&amp;I4&amp;J4&amp;K4&amp;L4&amp;M4&amp;N4&amp;O4&amp;P4&amp;Q4&amp;R4&amp;S4&amp;T4&amp;U4&amp;V4&amp;W4&amp;X4&amp;Y4&amp;Z4&amp;AA4&amp;AB4&amp;AC4</f>
        <v>{"dossier":p.DossierName1,"titel":"Tolle Sache","rueckModus":"Monatlicher Abzug","datum":"4.11.2025","verJahrung":"09.05.2035","betrag":"1000","schuldner":`${p.FamilyName1}, ${p.ManFirstName1}`,"monatlicherBetrag":"100","erstmalig":"01.02.2025","dateiPfad":"C:/temp/Ermittlung.docx","begruendung":"keine"}</v>
      </c>
      <c r="F4" s="338" t="s">
        <v>159</v>
      </c>
      <c r="G4" s="422" t="s">
        <v>449</v>
      </c>
      <c r="H4" s="280" t="s">
        <v>782</v>
      </c>
      <c r="I4" s="280" t="s">
        <v>1109</v>
      </c>
      <c r="J4" s="231" t="s">
        <v>1098</v>
      </c>
      <c r="K4" s="423" t="s">
        <v>1099</v>
      </c>
      <c r="L4" s="231" t="s">
        <v>1100</v>
      </c>
      <c r="M4" s="423" t="str">
        <f ca="1">DAY(TODAY())&amp;"."&amp;MONTH(TODAY())&amp;"."&amp;TEXT(TODAY(),"YYYY")</f>
        <v>4.11.2025</v>
      </c>
      <c r="N4" s="282" t="s">
        <v>1101</v>
      </c>
      <c r="O4" s="280" t="s">
        <v>1110</v>
      </c>
      <c r="P4" s="231" t="s">
        <v>166</v>
      </c>
      <c r="Q4" s="280">
        <v>1000</v>
      </c>
      <c r="R4" s="231" t="s">
        <v>1102</v>
      </c>
      <c r="S4" s="24" t="s">
        <v>492</v>
      </c>
      <c r="T4" s="231" t="s">
        <v>1104</v>
      </c>
      <c r="U4" s="262">
        <v>100</v>
      </c>
      <c r="V4" s="231" t="s">
        <v>1105</v>
      </c>
      <c r="W4" s="424" t="s">
        <v>1111</v>
      </c>
      <c r="X4" s="231" t="s">
        <v>1106</v>
      </c>
      <c r="Y4" s="231" t="s">
        <v>1112</v>
      </c>
      <c r="Z4" s="231" t="s">
        <v>515</v>
      </c>
      <c r="AA4" s="24" t="s">
        <v>498</v>
      </c>
      <c r="AB4" s="24" t="s">
        <v>37</v>
      </c>
      <c r="AC4" s="24"/>
      <c r="AD4" s="24"/>
      <c r="AE4" s="24"/>
      <c r="AF4" s="24"/>
      <c r="AG4" s="24"/>
      <c r="AH4" s="24"/>
      <c r="AI4" s="231">
        <v>10352</v>
      </c>
      <c r="AJ4" s="231">
        <v>10338</v>
      </c>
      <c r="AK4" s="231">
        <v>10319</v>
      </c>
      <c r="AL4" s="24">
        <v>0</v>
      </c>
      <c r="AM4" s="156">
        <f t="shared" si="0"/>
        <v>0</v>
      </c>
      <c r="AN4" s="24">
        <v>0</v>
      </c>
      <c r="AO4" s="156">
        <f t="shared" si="1"/>
        <v>0</v>
      </c>
      <c r="AP4" s="24">
        <v>0</v>
      </c>
      <c r="AQ4" s="156">
        <f t="shared" si="2"/>
        <v>0</v>
      </c>
      <c r="AR4" s="24">
        <v>18347</v>
      </c>
      <c r="AS4" s="156">
        <f t="shared" si="3"/>
        <v>1.7723145285935085</v>
      </c>
      <c r="AT4" s="24">
        <v>10785</v>
      </c>
      <c r="AU4" s="156">
        <f t="shared" si="3"/>
        <v>1.0418276661514683</v>
      </c>
      <c r="AV4" s="2">
        <v>11372</v>
      </c>
      <c r="AW4" s="156">
        <f t="shared" si="3"/>
        <v>1.0985316846986091</v>
      </c>
      <c r="AX4" s="2">
        <v>0</v>
      </c>
      <c r="AY4" s="156">
        <f t="shared" si="3"/>
        <v>0</v>
      </c>
      <c r="AZ4" s="2">
        <v>0</v>
      </c>
      <c r="BA4" s="156">
        <f t="shared" si="3"/>
        <v>0</v>
      </c>
      <c r="BB4" s="2">
        <v>9500</v>
      </c>
      <c r="BC4" s="156">
        <f t="shared" si="3"/>
        <v>0.91769706336939727</v>
      </c>
      <c r="BD4" s="53">
        <v>10458</v>
      </c>
      <c r="BE4" s="156">
        <f t="shared" si="4"/>
        <v>1.0102395672333848</v>
      </c>
      <c r="BG4" s="53">
        <v>13302</v>
      </c>
      <c r="BI4" s="53">
        <v>10671</v>
      </c>
      <c r="BK4" s="53">
        <v>11325</v>
      </c>
      <c r="BM4" s="53">
        <v>9918</v>
      </c>
      <c r="BO4" s="53">
        <v>7819</v>
      </c>
      <c r="BQ4" s="53">
        <v>8465</v>
      </c>
      <c r="BS4" s="53">
        <v>7375</v>
      </c>
      <c r="BU4" s="2209">
        <v>0</v>
      </c>
      <c r="BV4" s="2210" t="s">
        <v>1418</v>
      </c>
      <c r="BW4" s="53">
        <v>13886</v>
      </c>
      <c r="BY4" s="53">
        <v>14341</v>
      </c>
      <c r="CA4" s="53">
        <v>16036</v>
      </c>
      <c r="CC4" s="53">
        <v>10833</v>
      </c>
      <c r="CE4" s="53">
        <v>11143</v>
      </c>
      <c r="CG4" s="53">
        <v>13006</v>
      </c>
      <c r="CI4" s="53">
        <v>11332</v>
      </c>
      <c r="CK4" s="3632">
        <v>0</v>
      </c>
      <c r="CL4" s="3633" t="s">
        <v>1546</v>
      </c>
      <c r="CM4" s="53">
        <v>14422</v>
      </c>
      <c r="CO4" s="53">
        <v>16250</v>
      </c>
      <c r="CP4" s="53" t="s">
        <v>1718</v>
      </c>
    </row>
    <row r="5" spans="1:94">
      <c r="AM5" s="156"/>
      <c r="AO5" s="156"/>
      <c r="AQ5" s="156"/>
      <c r="AS5" s="156"/>
      <c r="AU5" s="156"/>
      <c r="AW5" s="156"/>
      <c r="AY5" s="156"/>
      <c r="BA5" s="156"/>
      <c r="BC5" s="156"/>
      <c r="BE5" s="156"/>
    </row>
    <row r="6" spans="1:94">
      <c r="AM6" s="156"/>
      <c r="AO6" s="156"/>
      <c r="AQ6" s="156"/>
      <c r="AS6" s="156"/>
      <c r="AU6" s="156"/>
      <c r="AW6" s="156"/>
      <c r="AY6" s="156"/>
      <c r="BA6" s="156"/>
      <c r="BC6" s="156"/>
      <c r="BE6" s="156"/>
    </row>
    <row r="7" spans="1:94">
      <c r="C7" s="50" t="s">
        <v>1113</v>
      </c>
      <c r="AM7" s="156"/>
      <c r="AO7" s="156"/>
      <c r="AQ7" s="156"/>
      <c r="AS7" s="156"/>
      <c r="AU7" s="156"/>
      <c r="AW7" s="156"/>
      <c r="AY7" s="156"/>
      <c r="BA7" s="156"/>
      <c r="BC7" s="156"/>
      <c r="BE7" s="156"/>
    </row>
    <row r="8" spans="1:94">
      <c r="AM8" s="156"/>
      <c r="AO8" s="156"/>
      <c r="AQ8" s="156"/>
      <c r="AS8" s="156"/>
      <c r="AU8" s="156"/>
      <c r="AW8" s="156"/>
      <c r="AY8" s="156"/>
      <c r="BA8" s="156"/>
      <c r="BC8" s="156"/>
      <c r="BE8" s="156"/>
    </row>
    <row r="9" spans="1:94">
      <c r="AM9" s="156"/>
      <c r="AO9" s="156"/>
      <c r="AQ9" s="156"/>
      <c r="AS9" s="156"/>
      <c r="AU9" s="156"/>
      <c r="AW9" s="156"/>
      <c r="AY9" s="156"/>
      <c r="BA9" s="156"/>
      <c r="BC9" s="156"/>
      <c r="BE9" s="156"/>
    </row>
    <row r="10" spans="1:94" ht="15.75" customHeight="1">
      <c r="AM10" s="156"/>
      <c r="AO10" s="156"/>
      <c r="AQ10" s="156"/>
      <c r="AS10" s="156"/>
      <c r="AU10" s="156"/>
      <c r="AW10" s="156"/>
      <c r="AY10" s="156"/>
      <c r="BA10" s="156"/>
      <c r="BC10" s="156"/>
      <c r="BE10" s="156"/>
    </row>
    <row r="11" spans="1:94" ht="45.75" customHeight="1">
      <c r="B11" s="385" t="s">
        <v>1108</v>
      </c>
      <c r="C11" s="425" t="s">
        <v>1114</v>
      </c>
      <c r="AM11" s="2"/>
      <c r="AO11" s="2"/>
      <c r="AQ11" s="2"/>
      <c r="AS11" s="2"/>
      <c r="AU11" s="2"/>
      <c r="AW11" s="2"/>
      <c r="AY11" s="2"/>
      <c r="BA11" s="2"/>
      <c r="BC11" s="2"/>
      <c r="BE11" s="2"/>
    </row>
    <row r="12" spans="1:94">
      <c r="AM12" s="2"/>
      <c r="AO12" s="2"/>
      <c r="AQ12" s="2"/>
      <c r="AS12" s="2"/>
      <c r="AU12" s="2"/>
      <c r="AW12" s="2"/>
      <c r="AY12" s="2"/>
      <c r="BA12" s="2"/>
      <c r="BC12" s="2"/>
      <c r="BE12" s="2"/>
    </row>
    <row r="13" spans="1:94">
      <c r="AM13" s="2"/>
      <c r="AO13" s="2"/>
      <c r="AQ13" s="2"/>
      <c r="AS13" s="2"/>
      <c r="AU13" s="2"/>
      <c r="AW13" s="2"/>
      <c r="AY13" s="2"/>
      <c r="BA13" s="2"/>
      <c r="BC13" s="2"/>
      <c r="BE13" s="2"/>
    </row>
    <row r="14" spans="1:94" ht="15" customHeight="1">
      <c r="C14" s="422" t="s">
        <v>1115</v>
      </c>
      <c r="AM14" s="2"/>
      <c r="AO14" s="2"/>
      <c r="AQ14" s="2"/>
      <c r="AS14" s="2"/>
      <c r="AU14" s="2"/>
      <c r="AW14" s="2"/>
      <c r="AY14" s="2"/>
      <c r="BA14" s="2"/>
      <c r="BC14" s="2"/>
      <c r="BE14" s="2"/>
    </row>
    <row r="15" spans="1:94"/>
    <row r="16" spans="1:94" ht="15" customHeight="1">
      <c r="C16" s="422" t="s">
        <v>1116</v>
      </c>
    </row>
  </sheetData>
  <conditionalFormatting sqref="AM2:AM145 AO2:AO145 AQ2:AQ145 AS2:AS145 AU2:AU145 AW2:AW145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Y2:AY145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145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45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145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92D050"/>
  </sheetPr>
  <dimension ref="A1:CP6"/>
  <sheetViews>
    <sheetView zoomScaleNormal="100" workbookViewId="0">
      <pane xSplit="2" ySplit="1" topLeftCell="D2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4.25" customHeight="1"/>
  <cols>
    <col min="1" max="1" width="4.85546875" style="1" customWidth="1"/>
    <col min="2" max="2" width="47.28515625" style="2" customWidth="1"/>
    <col min="3" max="3" width="162.4257812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9" width="16.7109375" style="2" customWidth="1"/>
    <col min="10" max="10" width="10.85546875" style="2" customWidth="1"/>
    <col min="11" max="11" width="18.140625" style="2" customWidth="1"/>
    <col min="12" max="12" width="9.140625" style="2" customWidth="1"/>
    <col min="13" max="13" width="10.7109375" style="2" customWidth="1"/>
    <col min="14" max="14" width="9.140625" style="2" customWidth="1"/>
    <col min="15" max="15" width="22.5703125" style="2" customWidth="1"/>
    <col min="16" max="16" width="13.5703125" style="2" customWidth="1"/>
    <col min="17" max="17" width="24.5703125" style="2" customWidth="1"/>
    <col min="18" max="19" width="9.140625" style="2" customWidth="1"/>
    <col min="20" max="33" width="2.28515625" style="2" customWidth="1"/>
    <col min="34" max="34" width="9.140625" style="2" customWidth="1"/>
    <col min="35" max="37" width="19" style="2" customWidth="1"/>
    <col min="38" max="38" width="30" style="2" customWidth="1"/>
    <col min="39" max="39" width="10.140625" style="12" customWidth="1"/>
    <col min="40" max="40" width="30" style="2" customWidth="1"/>
    <col min="41" max="41" width="10.140625" style="12" customWidth="1"/>
    <col min="42" max="42" width="30" style="2" customWidth="1"/>
    <col min="43" max="43" width="10.140625" style="12" customWidth="1"/>
    <col min="44" max="44" width="30" style="2" customWidth="1"/>
    <col min="45" max="45" width="10.140625" style="12" customWidth="1"/>
    <col min="46" max="46" width="30" style="2" customWidth="1"/>
    <col min="47" max="47" width="10.140625" style="12" customWidth="1"/>
    <col min="48" max="48" width="30" style="2" customWidth="1"/>
    <col min="49" max="49" width="9.42578125" style="12" customWidth="1"/>
    <col min="50" max="50" width="9.42578125" style="2" customWidth="1"/>
    <col min="51" max="51" width="9.42578125" style="12" customWidth="1"/>
    <col min="52" max="52" width="9.42578125" style="2" customWidth="1"/>
    <col min="53" max="53" width="9.42578125" style="12" customWidth="1"/>
    <col min="54" max="54" width="9.42578125" style="2" customWidth="1"/>
    <col min="55" max="55" width="9.42578125" style="12" customWidth="1"/>
    <col min="56" max="56" width="9.42578125" style="2" customWidth="1"/>
    <col min="57" max="57" width="9.42578125" style="12" customWidth="1"/>
    <col min="58" max="58" width="9.140625" style="2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16384" width="9.140625" style="2"/>
  </cols>
  <sheetData>
    <row r="1" spans="1:94" ht="27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2*60*1000*SpeedFaktor</f>
        <v>120000</v>
      </c>
      <c r="H1" s="2">
        <v>10</v>
      </c>
      <c r="AH1" s="2" t="s">
        <v>5</v>
      </c>
      <c r="AI1" s="2" t="s">
        <v>657</v>
      </c>
      <c r="AJ1" s="2" t="s">
        <v>676</v>
      </c>
      <c r="AK1" s="2" t="s">
        <v>658</v>
      </c>
      <c r="AL1" s="2" t="s">
        <v>10</v>
      </c>
      <c r="AM1" s="24" t="s">
        <v>8</v>
      </c>
      <c r="AN1" s="2" t="s">
        <v>11</v>
      </c>
      <c r="AO1" s="24" t="s">
        <v>8</v>
      </c>
      <c r="AP1" s="2" t="s">
        <v>12</v>
      </c>
      <c r="AQ1" s="24" t="s">
        <v>8</v>
      </c>
      <c r="AR1" s="2" t="s">
        <v>13</v>
      </c>
      <c r="AS1" s="24" t="s">
        <v>8</v>
      </c>
      <c r="AT1" s="2" t="s">
        <v>65</v>
      </c>
      <c r="AU1" s="24" t="s">
        <v>8</v>
      </c>
      <c r="AV1" s="2" t="s">
        <v>15</v>
      </c>
      <c r="AW1" s="763" t="s">
        <v>8</v>
      </c>
      <c r="AX1" s="764" t="s">
        <v>17</v>
      </c>
      <c r="AY1" s="763" t="s">
        <v>8</v>
      </c>
      <c r="AZ1" s="764" t="s">
        <v>1285</v>
      </c>
      <c r="BA1" s="763" t="s">
        <v>8</v>
      </c>
      <c r="BB1" s="764" t="s">
        <v>1286</v>
      </c>
      <c r="BC1" s="763" t="s">
        <v>8</v>
      </c>
      <c r="BD1" s="782" t="s">
        <v>1303</v>
      </c>
      <c r="BE1" s="763" t="s">
        <v>8</v>
      </c>
      <c r="BG1" s="903" t="s">
        <v>1317</v>
      </c>
      <c r="BH1" s="904" t="s">
        <v>572</v>
      </c>
      <c r="BI1" s="1027" t="s">
        <v>1318</v>
      </c>
      <c r="BJ1" s="1028" t="s">
        <v>572</v>
      </c>
      <c r="BK1" s="1173" t="s">
        <v>1324</v>
      </c>
      <c r="BL1" s="1174" t="s">
        <v>572</v>
      </c>
      <c r="BM1" s="1378" t="s">
        <v>1341</v>
      </c>
      <c r="BN1" s="1379" t="s">
        <v>572</v>
      </c>
      <c r="BO1" s="1630" t="s">
        <v>1363</v>
      </c>
      <c r="BP1" s="1631" t="s">
        <v>572</v>
      </c>
      <c r="BQ1" s="1770" t="s">
        <v>1368</v>
      </c>
      <c r="BR1" s="1771" t="s">
        <v>572</v>
      </c>
      <c r="BS1" s="1911" t="s">
        <v>1372</v>
      </c>
      <c r="BT1" s="1912" t="s">
        <v>572</v>
      </c>
      <c r="BU1" s="2211" t="s">
        <v>1397</v>
      </c>
      <c r="BV1" s="2212" t="s">
        <v>572</v>
      </c>
      <c r="BW1" s="2384" t="s">
        <v>1421</v>
      </c>
      <c r="BX1" s="2385" t="s">
        <v>572</v>
      </c>
      <c r="BY1" s="2540" t="s">
        <v>1434</v>
      </c>
      <c r="BZ1" s="2541" t="s">
        <v>572</v>
      </c>
      <c r="CA1" s="2705" t="s">
        <v>1442</v>
      </c>
      <c r="CB1" s="2706" t="s">
        <v>572</v>
      </c>
      <c r="CC1" s="2892" t="s">
        <v>1460</v>
      </c>
      <c r="CD1" s="2893" t="s">
        <v>572</v>
      </c>
      <c r="CE1" s="3078" t="s">
        <v>1472</v>
      </c>
      <c r="CF1" s="3079" t="s">
        <v>572</v>
      </c>
      <c r="CG1" s="3262" t="s">
        <v>1492</v>
      </c>
      <c r="CH1" s="3263" t="s">
        <v>572</v>
      </c>
      <c r="CI1" s="3434" t="s">
        <v>1503</v>
      </c>
      <c r="CJ1" s="3435" t="s">
        <v>572</v>
      </c>
      <c r="CK1" s="3634" t="s">
        <v>1519</v>
      </c>
      <c r="CL1" s="3635" t="s">
        <v>572</v>
      </c>
      <c r="CM1" s="3938" t="s">
        <v>1666</v>
      </c>
      <c r="CN1" s="3939" t="s">
        <v>572</v>
      </c>
      <c r="CO1" s="4155" t="s">
        <v>1717</v>
      </c>
      <c r="CP1" s="4156" t="s">
        <v>572</v>
      </c>
    </row>
    <row r="2" spans="1:94" s="10" customFormat="1" ht="16.5" customHeight="1">
      <c r="A2" s="781">
        <v>1</v>
      </c>
      <c r="B2" s="781" t="s">
        <v>21</v>
      </c>
      <c r="C2" s="745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2">
        <v>2016</v>
      </c>
      <c r="AJ2" s="12">
        <v>2005</v>
      </c>
      <c r="AK2" s="12">
        <v>1963</v>
      </c>
      <c r="AL2" s="2">
        <v>1734</v>
      </c>
      <c r="AM2" s="156">
        <f>AL2/($AI2)</f>
        <v>0.86011904761904767</v>
      </c>
      <c r="AN2" s="2">
        <v>1414</v>
      </c>
      <c r="AO2" s="156">
        <f>AN2/($AI2)</f>
        <v>0.70138888888888884</v>
      </c>
      <c r="AP2" s="2">
        <v>1670</v>
      </c>
      <c r="AQ2" s="156">
        <f>AP2/($AI2)</f>
        <v>0.82837301587301593</v>
      </c>
      <c r="AR2" s="2">
        <v>1708</v>
      </c>
      <c r="AS2" s="156">
        <f>AR2/($AI2)</f>
        <v>0.84722222222222221</v>
      </c>
      <c r="AT2" s="2">
        <v>1539</v>
      </c>
      <c r="AU2" s="156">
        <f>AT2/($AI2)</f>
        <v>0.7633928571428571</v>
      </c>
      <c r="AV2" s="2">
        <v>946</v>
      </c>
      <c r="AW2" s="156">
        <f>AV2/($AI2)</f>
        <v>0.46924603174603174</v>
      </c>
      <c r="AX2" s="2">
        <v>1501</v>
      </c>
      <c r="AY2" s="156">
        <f>AX2/($AI2)</f>
        <v>0.74454365079365081</v>
      </c>
      <c r="AZ2" s="2">
        <v>1304</v>
      </c>
      <c r="BA2" s="156">
        <f>AZ2/($AI2)</f>
        <v>0.64682539682539686</v>
      </c>
      <c r="BB2" s="2">
        <v>565</v>
      </c>
      <c r="BC2" s="156">
        <f>BB2/($AI2)</f>
        <v>0.28025793650793651</v>
      </c>
      <c r="BD2" s="10">
        <v>1200</v>
      </c>
      <c r="BE2" s="156">
        <f>BD2/($AI2)</f>
        <v>0.59523809523809523</v>
      </c>
      <c r="BG2" s="10">
        <v>1424</v>
      </c>
      <c r="BI2" s="10">
        <v>1228</v>
      </c>
      <c r="BK2" s="10">
        <v>1239</v>
      </c>
      <c r="BM2" s="10">
        <v>1256</v>
      </c>
      <c r="BO2" s="10">
        <v>1238</v>
      </c>
      <c r="BQ2" s="10">
        <v>1228</v>
      </c>
      <c r="BS2" s="10">
        <v>1363</v>
      </c>
      <c r="BU2" s="10">
        <v>1749</v>
      </c>
      <c r="BW2" s="10">
        <v>1549</v>
      </c>
      <c r="BY2" s="10">
        <v>1503</v>
      </c>
      <c r="CA2" s="10">
        <v>1299</v>
      </c>
      <c r="CC2" s="10">
        <v>1146</v>
      </c>
      <c r="CE2" s="10">
        <v>1633</v>
      </c>
      <c r="CG2" s="10">
        <v>1077</v>
      </c>
      <c r="CI2" s="10">
        <v>1309</v>
      </c>
      <c r="CK2" s="10">
        <v>1257</v>
      </c>
      <c r="CM2" s="10">
        <v>877</v>
      </c>
      <c r="CO2" s="10">
        <v>362</v>
      </c>
      <c r="CP2" s="10" t="s">
        <v>1718</v>
      </c>
    </row>
    <row r="3" spans="1:94" s="10" customFormat="1" ht="16.5" customHeight="1" thickBot="1">
      <c r="A3" s="781">
        <v>2</v>
      </c>
      <c r="B3" s="781" t="s">
        <v>25</v>
      </c>
      <c r="C3" s="745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2">
        <v>6846</v>
      </c>
      <c r="AJ3" s="12">
        <v>8256</v>
      </c>
      <c r="AK3" s="12">
        <v>6759</v>
      </c>
      <c r="AL3" s="2">
        <v>9332</v>
      </c>
      <c r="AM3" s="156">
        <f t="shared" ref="AM3:AM4" si="0">AL3/($AI3)</f>
        <v>1.3631317557697926</v>
      </c>
      <c r="AN3" s="2">
        <v>9682</v>
      </c>
      <c r="AO3" s="156">
        <f t="shared" ref="AO3:AO4" si="1">AN3/($AI3)</f>
        <v>1.4142565001460707</v>
      </c>
      <c r="AP3" s="2">
        <v>8178</v>
      </c>
      <c r="AQ3" s="156">
        <f t="shared" ref="AQ3:AQ4" si="2">AP3/($AI3)</f>
        <v>1.1945661700262926</v>
      </c>
      <c r="AR3" s="2">
        <v>9100</v>
      </c>
      <c r="AS3" s="156">
        <f t="shared" ref="AS3:BC4" si="3">AR3/($AI3)</f>
        <v>1.3292433537832311</v>
      </c>
      <c r="AT3" s="2">
        <v>9322</v>
      </c>
      <c r="AU3" s="156">
        <f t="shared" si="3"/>
        <v>1.3616710487876131</v>
      </c>
      <c r="AV3" s="2">
        <v>6971</v>
      </c>
      <c r="AW3" s="156">
        <f t="shared" si="3"/>
        <v>1.0182588372772421</v>
      </c>
      <c r="AX3" s="2">
        <v>7781</v>
      </c>
      <c r="AY3" s="156">
        <f t="shared" si="3"/>
        <v>1.1365761028337715</v>
      </c>
      <c r="AZ3" s="2">
        <v>8535</v>
      </c>
      <c r="BA3" s="156">
        <f t="shared" si="3"/>
        <v>1.2467134092900964</v>
      </c>
      <c r="BB3" s="2">
        <v>5359</v>
      </c>
      <c r="BC3" s="156">
        <f t="shared" si="3"/>
        <v>0.78279287174992696</v>
      </c>
      <c r="BD3" s="10">
        <v>7710</v>
      </c>
      <c r="BE3" s="156">
        <f t="shared" ref="BE3:BE4" si="4">BD3/($AI3)</f>
        <v>1.1262050832602979</v>
      </c>
      <c r="BG3" s="10">
        <v>9034</v>
      </c>
      <c r="BI3" s="10">
        <v>6957</v>
      </c>
      <c r="BK3" s="10">
        <v>7239</v>
      </c>
      <c r="BM3" s="10">
        <v>6727</v>
      </c>
      <c r="BO3" s="10">
        <v>6954</v>
      </c>
      <c r="BQ3" s="10">
        <v>7596</v>
      </c>
      <c r="BS3" s="10">
        <v>7232</v>
      </c>
      <c r="BU3" s="10">
        <v>8315</v>
      </c>
      <c r="BW3" s="10">
        <v>7418</v>
      </c>
      <c r="BY3" s="10">
        <v>6912</v>
      </c>
      <c r="CA3" s="10">
        <v>7434</v>
      </c>
      <c r="CC3" s="10">
        <v>9179</v>
      </c>
      <c r="CE3" s="10">
        <v>7775</v>
      </c>
      <c r="CG3" s="10">
        <v>8074</v>
      </c>
      <c r="CI3" s="10">
        <v>8303</v>
      </c>
      <c r="CK3" s="10">
        <v>8195</v>
      </c>
      <c r="CM3" s="10">
        <v>8947</v>
      </c>
      <c r="CO3" s="10">
        <v>6097</v>
      </c>
      <c r="CP3" s="10" t="s">
        <v>1718</v>
      </c>
    </row>
    <row r="4" spans="1:94" s="304" customFormat="1" ht="18" customHeight="1" thickBot="1">
      <c r="A4" s="343">
        <v>4</v>
      </c>
      <c r="B4" s="306" t="s">
        <v>1117</v>
      </c>
      <c r="C4" s="329" t="str">
        <f ca="1">E4</f>
        <v> {"stichDatum":"31.12.2025","dossier":p.DossierName1,"person":`${p.FamilyName1}, ${p.ManFirstName1}`,"solidarSchuld":0.00,"einzelSchuld":0.00,"sozialHilfeSchuld":0.00}</v>
      </c>
      <c r="D4" s="329" t="s">
        <v>28</v>
      </c>
      <c r="E4" s="329" t="str">
        <f ca="1">F4&amp;G4&amp;H4&amp;I4&amp;J4&amp;K4&amp;L4&amp;M4&amp;N4&amp;O4&amp;P4&amp;Q4&amp;R4&amp;S4&amp;T4&amp;U4&amp;V4&amp;W4&amp;X4&amp;Y4&amp;Z4&amp;AA4&amp;AB4&amp;AC4&amp;AD4&amp;AE4</f>
        <v> {"stichDatum":"31.12.2025","dossier":p.DossierName1,"person":`${p.FamilyName1}, ${p.ManFirstName1}`,"solidarSchuld":0.00,"einzelSchuld":0.00,"sozialHilfeSchuld":0.00}</v>
      </c>
      <c r="F4" s="331" t="s">
        <v>1118</v>
      </c>
      <c r="G4" s="344" t="str">
        <f ca="1">"31.12."&amp;YEAR(TODAY())</f>
        <v>31.12.2025</v>
      </c>
      <c r="H4" s="331" t="s">
        <v>224</v>
      </c>
      <c r="I4" s="289" t="s">
        <v>449</v>
      </c>
      <c r="J4" s="329" t="s">
        <v>1119</v>
      </c>
      <c r="K4" s="426" t="s">
        <v>1120</v>
      </c>
      <c r="L4" s="340" t="s">
        <v>1121</v>
      </c>
      <c r="M4" s="427" t="s">
        <v>1122</v>
      </c>
      <c r="N4" s="329" t="s">
        <v>1123</v>
      </c>
      <c r="O4" s="427" t="s">
        <v>1122</v>
      </c>
      <c r="P4" s="329" t="s">
        <v>1124</v>
      </c>
      <c r="Q4" s="427" t="s">
        <v>1122</v>
      </c>
      <c r="R4" s="329" t="s">
        <v>109</v>
      </c>
      <c r="S4" s="289"/>
      <c r="T4" s="289"/>
      <c r="U4" s="289"/>
      <c r="V4" s="289"/>
      <c r="W4" s="289"/>
      <c r="X4" s="289"/>
      <c r="Y4" s="289"/>
      <c r="Z4" s="289"/>
      <c r="AA4" s="289"/>
      <c r="AB4" s="289"/>
      <c r="AC4" s="289"/>
      <c r="AD4" s="289"/>
      <c r="AE4" s="289"/>
      <c r="AF4" s="289"/>
      <c r="AG4" s="289"/>
      <c r="AH4" s="289"/>
      <c r="AI4" s="289">
        <v>11336</v>
      </c>
      <c r="AJ4" s="329">
        <v>0</v>
      </c>
      <c r="AK4" s="329">
        <v>0</v>
      </c>
      <c r="AL4" s="289">
        <v>0</v>
      </c>
      <c r="AM4" s="290">
        <f t="shared" si="0"/>
        <v>0</v>
      </c>
      <c r="AN4" s="289">
        <v>0</v>
      </c>
      <c r="AO4" s="290">
        <f t="shared" si="1"/>
        <v>0</v>
      </c>
      <c r="AP4" s="289">
        <v>0</v>
      </c>
      <c r="AQ4" s="290">
        <f t="shared" si="2"/>
        <v>0</v>
      </c>
      <c r="AR4" s="289">
        <v>11336</v>
      </c>
      <c r="AS4" s="290">
        <f t="shared" si="3"/>
        <v>1</v>
      </c>
      <c r="AT4" s="289">
        <v>5501</v>
      </c>
      <c r="AU4" s="290">
        <f t="shared" si="3"/>
        <v>0.48526817219477769</v>
      </c>
      <c r="AV4" s="291">
        <v>4587</v>
      </c>
      <c r="AW4" s="290">
        <f t="shared" si="3"/>
        <v>0.40464008468595625</v>
      </c>
      <c r="AX4" s="291">
        <v>6787</v>
      </c>
      <c r="AY4" s="290">
        <f t="shared" si="3"/>
        <v>0.59871206774876495</v>
      </c>
      <c r="AZ4" s="291">
        <v>7338</v>
      </c>
      <c r="BA4" s="290">
        <f t="shared" si="3"/>
        <v>0.64731827805222297</v>
      </c>
      <c r="BB4" s="291">
        <v>7390</v>
      </c>
      <c r="BC4" s="290">
        <f t="shared" si="3"/>
        <v>0.65190543401552581</v>
      </c>
      <c r="BD4" s="304">
        <v>7137</v>
      </c>
      <c r="BE4" s="290">
        <f t="shared" si="4"/>
        <v>0.62958715596330272</v>
      </c>
      <c r="BG4" s="304">
        <v>9436</v>
      </c>
      <c r="BI4" s="304">
        <v>7360</v>
      </c>
      <c r="BK4" s="304">
        <v>7698</v>
      </c>
      <c r="BM4" s="304">
        <v>7305</v>
      </c>
      <c r="BO4" s="304">
        <v>5420</v>
      </c>
      <c r="BQ4" s="304">
        <v>6015</v>
      </c>
      <c r="BS4" s="304">
        <v>5362</v>
      </c>
      <c r="BU4" s="2213">
        <v>0</v>
      </c>
      <c r="BV4" s="2214" t="s">
        <v>1547</v>
      </c>
      <c r="BW4" s="304">
        <v>8041</v>
      </c>
      <c r="BY4" s="304">
        <v>8851</v>
      </c>
      <c r="CA4" s="304">
        <v>10983</v>
      </c>
      <c r="CC4" s="304">
        <v>8588</v>
      </c>
      <c r="CE4" s="304">
        <v>7278</v>
      </c>
      <c r="CG4" s="304">
        <v>9635</v>
      </c>
      <c r="CI4" s="304">
        <v>7510</v>
      </c>
      <c r="CK4" s="3636">
        <v>0</v>
      </c>
      <c r="CL4" s="3637" t="s">
        <v>1547</v>
      </c>
      <c r="CM4" s="304">
        <v>8044</v>
      </c>
      <c r="CO4" s="304">
        <v>6265</v>
      </c>
      <c r="CP4" s="304" t="s">
        <v>1718</v>
      </c>
    </row>
    <row r="5" spans="1:94">
      <c r="AM5" s="156"/>
      <c r="AO5" s="156"/>
      <c r="AQ5" s="156"/>
      <c r="AS5" s="156"/>
      <c r="AU5" s="156"/>
      <c r="AW5" s="156"/>
      <c r="AY5" s="156"/>
      <c r="BA5" s="156"/>
      <c r="BC5" s="156"/>
      <c r="BE5" s="156"/>
    </row>
    <row r="6" spans="1:94">
      <c r="C6" s="50" t="s">
        <v>1125</v>
      </c>
      <c r="H6" s="333" t="s">
        <v>1126</v>
      </c>
      <c r="AM6" s="156"/>
      <c r="AO6" s="156"/>
      <c r="AQ6" s="156"/>
      <c r="AS6" s="156"/>
      <c r="AU6" s="156"/>
      <c r="AW6" s="156"/>
      <c r="AY6" s="156"/>
      <c r="BA6" s="156"/>
      <c r="BC6" s="156"/>
      <c r="BE6" s="156"/>
    </row>
  </sheetData>
  <conditionalFormatting sqref="AM2:AM145 AO2:AO145 AQ2:AQ145 AS2:AS145 AU2:AU145 AW2:AW145 AY2:AY145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A2:BA145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C2:BC145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E2:BE145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92D050"/>
  </sheetPr>
  <dimension ref="A1:BR7"/>
  <sheetViews>
    <sheetView zoomScaleNormal="100" workbookViewId="0">
      <pane xSplit="2" ySplit="1" topLeftCell="D2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4.25" customHeight="1"/>
  <cols>
    <col min="1" max="1" width="4.85546875" style="1" customWidth="1"/>
    <col min="2" max="2" width="56.85546875" style="2" customWidth="1"/>
    <col min="3" max="3" width="162.4257812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9" width="16.7109375" style="2" customWidth="1"/>
    <col min="10" max="10" width="10.85546875" style="2" customWidth="1"/>
    <col min="11" max="11" width="18.140625" style="2" customWidth="1"/>
    <col min="12" max="12" width="9.140625" style="2" customWidth="1"/>
    <col min="13" max="13" width="10.7109375" style="2" customWidth="1"/>
    <col min="14" max="16" width="9.140625" style="2" customWidth="1"/>
    <col min="17" max="19" width="10" style="2" customWidth="1"/>
    <col min="20" max="20" width="30" style="2" customWidth="1"/>
    <col min="21" max="21" width="10.140625" style="12" customWidth="1"/>
    <col min="22" max="22" width="9.28515625" style="2" customWidth="1"/>
    <col min="23" max="23" width="9.28515625" style="12" customWidth="1"/>
    <col min="24" max="24" width="9.28515625" style="2" customWidth="1"/>
    <col min="25" max="25" width="9.28515625" style="12" customWidth="1"/>
    <col min="26" max="26" width="9.28515625" style="2" customWidth="1"/>
    <col min="27" max="27" width="9.28515625" style="12" customWidth="1"/>
    <col min="28" max="28" width="11.140625" style="2" customWidth="1"/>
    <col min="29" max="29" width="9.28515625" style="12" customWidth="1"/>
    <col min="30" max="30" width="11.28515625" style="2" customWidth="1"/>
    <col min="31" max="31" width="9.28515625" style="12" customWidth="1"/>
    <col min="32" max="32" width="11.42578125" style="2" customWidth="1"/>
    <col min="33" max="33" width="9" style="12" customWidth="1"/>
    <col min="34" max="34" width="9" style="2" customWidth="1"/>
    <col min="35" max="35" width="9" style="12" customWidth="1"/>
    <col min="36" max="36" width="9" style="2" customWidth="1"/>
    <col min="37" max="37" width="9" style="12" customWidth="1"/>
    <col min="38" max="38" width="9" style="2" customWidth="1"/>
    <col min="39" max="39" width="9" style="12" customWidth="1"/>
    <col min="40" max="40" width="9.140625" style="2"/>
    <col min="41" max="41" width="20" style="2" customWidth="1"/>
    <col min="42" max="42" width="9" style="12" customWidth="1"/>
    <col min="43" max="43" width="20" style="2" customWidth="1"/>
    <col min="44" max="44" width="9" style="12" customWidth="1"/>
    <col min="45" max="45" width="20" style="2" customWidth="1"/>
    <col min="46" max="46" width="50" style="2" customWidth="1"/>
    <col min="47" max="47" width="20" style="2" customWidth="1"/>
    <col min="48" max="48" width="50" style="2" customWidth="1"/>
    <col min="49" max="49" width="20" style="2" customWidth="1"/>
    <col min="50" max="50" width="50" style="2" customWidth="1"/>
    <col min="51" max="51" width="20" style="2" customWidth="1"/>
    <col min="52" max="52" width="50" style="2" customWidth="1"/>
    <col min="53" max="53" width="20" style="2" customWidth="1"/>
    <col min="54" max="54" width="50" style="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16384" width="9.140625" style="2"/>
  </cols>
  <sheetData>
    <row r="1" spans="1:70" s="12" customFormat="1" ht="16.5" customHeight="1">
      <c r="A1" s="39" t="s">
        <v>0</v>
      </c>
      <c r="B1" s="39" t="s">
        <v>1</v>
      </c>
      <c r="C1" s="39" t="s">
        <v>2</v>
      </c>
      <c r="D1" s="39" t="s">
        <v>3</v>
      </c>
      <c r="E1" s="40"/>
      <c r="F1" s="12" t="s">
        <v>4</v>
      </c>
      <c r="G1" s="2558">
        <f>2*60*1000*SpeedFaktor</f>
        <v>120000</v>
      </c>
      <c r="H1" s="12">
        <v>10</v>
      </c>
      <c r="P1" s="12" t="s">
        <v>5</v>
      </c>
      <c r="Q1" s="12" t="s">
        <v>657</v>
      </c>
      <c r="R1" s="12" t="s">
        <v>676</v>
      </c>
      <c r="S1" s="12" t="s">
        <v>658</v>
      </c>
      <c r="T1" s="12" t="s">
        <v>10</v>
      </c>
      <c r="U1" s="24" t="s">
        <v>8</v>
      </c>
      <c r="V1" s="12" t="s">
        <v>11</v>
      </c>
      <c r="W1" s="24" t="s">
        <v>8</v>
      </c>
      <c r="X1" s="12" t="s">
        <v>12</v>
      </c>
      <c r="Y1" s="24" t="s">
        <v>8</v>
      </c>
      <c r="Z1" s="12" t="s">
        <v>13</v>
      </c>
      <c r="AA1" s="24" t="s">
        <v>8</v>
      </c>
      <c r="AB1" s="12" t="s">
        <v>65</v>
      </c>
      <c r="AC1" s="24" t="s">
        <v>8</v>
      </c>
      <c r="AD1" s="12" t="s">
        <v>15</v>
      </c>
      <c r="AE1" s="24" t="s">
        <v>8</v>
      </c>
      <c r="AF1" s="12" t="s">
        <v>17</v>
      </c>
      <c r="AG1" s="24" t="s">
        <v>8</v>
      </c>
      <c r="AH1" s="12" t="s">
        <v>1285</v>
      </c>
      <c r="AI1" s="24" t="s">
        <v>8</v>
      </c>
      <c r="AJ1" s="12" t="s">
        <v>1286</v>
      </c>
      <c r="AK1" s="24" t="s">
        <v>8</v>
      </c>
      <c r="AL1" s="537" t="s">
        <v>1303</v>
      </c>
      <c r="AM1" s="24" t="s">
        <v>8</v>
      </c>
      <c r="AO1" s="905" t="s">
        <v>1317</v>
      </c>
      <c r="AP1" s="24" t="s">
        <v>8</v>
      </c>
      <c r="AQ1" s="1632" t="s">
        <v>1363</v>
      </c>
      <c r="AR1" s="24" t="s">
        <v>8</v>
      </c>
      <c r="AS1" s="1772" t="s">
        <v>1368</v>
      </c>
      <c r="AT1" s="1773" t="s">
        <v>572</v>
      </c>
      <c r="AU1" s="1913" t="s">
        <v>1372</v>
      </c>
      <c r="AV1" s="1914" t="s">
        <v>572</v>
      </c>
      <c r="AW1" s="2215" t="s">
        <v>1397</v>
      </c>
      <c r="AX1" s="2216" t="s">
        <v>572</v>
      </c>
      <c r="AY1" s="2386" t="s">
        <v>1421</v>
      </c>
      <c r="AZ1" s="2387" t="s">
        <v>572</v>
      </c>
      <c r="BA1" s="2542" t="s">
        <v>1434</v>
      </c>
      <c r="BB1" s="2543" t="s">
        <v>572</v>
      </c>
      <c r="BC1" s="2707" t="s">
        <v>1442</v>
      </c>
      <c r="BD1" s="2708" t="s">
        <v>572</v>
      </c>
      <c r="BE1" s="2894" t="s">
        <v>1460</v>
      </c>
      <c r="BF1" s="2895" t="s">
        <v>572</v>
      </c>
      <c r="BG1" s="3080" t="s">
        <v>1472</v>
      </c>
      <c r="BH1" s="3081" t="s">
        <v>572</v>
      </c>
      <c r="BI1" s="3264" t="s">
        <v>1492</v>
      </c>
      <c r="BJ1" s="3265" t="s">
        <v>572</v>
      </c>
      <c r="BK1" s="3436" t="s">
        <v>1503</v>
      </c>
      <c r="BL1" s="3437" t="s">
        <v>572</v>
      </c>
      <c r="BM1" s="3638" t="s">
        <v>1519</v>
      </c>
      <c r="BN1" s="3639" t="s">
        <v>572</v>
      </c>
      <c r="BO1" s="3940" t="s">
        <v>1666</v>
      </c>
      <c r="BP1" s="3941" t="s">
        <v>572</v>
      </c>
      <c r="BQ1" s="4157" t="s">
        <v>1717</v>
      </c>
      <c r="BR1" s="4158" t="s">
        <v>572</v>
      </c>
    </row>
    <row r="2" spans="1:70" s="10" customFormat="1" ht="14.25" customHeight="1">
      <c r="A2" s="2">
        <v>1</v>
      </c>
      <c r="B2" s="2" t="s">
        <v>21</v>
      </c>
      <c r="C2" s="11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>
        <v>2248</v>
      </c>
      <c r="R2" s="3">
        <v>1871</v>
      </c>
      <c r="S2" s="3">
        <v>2114</v>
      </c>
      <c r="T2" s="2">
        <v>1910</v>
      </c>
      <c r="U2" s="156">
        <f>T2/($Q2)</f>
        <v>0.84964412811387902</v>
      </c>
      <c r="V2" s="2">
        <v>1689</v>
      </c>
      <c r="W2" s="156">
        <f>V2/($Q2)</f>
        <v>0.75133451957295372</v>
      </c>
      <c r="X2" s="2">
        <v>1379</v>
      </c>
      <c r="Y2" s="156">
        <f>X2/($Q2)</f>
        <v>0.61343416370106763</v>
      </c>
      <c r="Z2" s="2">
        <v>1481</v>
      </c>
      <c r="AA2" s="156">
        <f>Z2/($Q2)</f>
        <v>0.65880782918149461</v>
      </c>
      <c r="AB2" s="2">
        <v>1641</v>
      </c>
      <c r="AC2" s="156">
        <f>AB2/($Q2)</f>
        <v>0.729982206405694</v>
      </c>
      <c r="AD2" s="2">
        <v>913</v>
      </c>
      <c r="AE2" s="156">
        <f>AD2/($Q2)</f>
        <v>0.40613879003558717</v>
      </c>
      <c r="AF2" s="2">
        <v>1124</v>
      </c>
      <c r="AG2" s="156">
        <f>AF2/($Q2)</f>
        <v>0.5</v>
      </c>
      <c r="AH2" s="2">
        <v>1556</v>
      </c>
      <c r="AI2" s="156">
        <f>AH2/($Q2)</f>
        <v>0.69217081850533813</v>
      </c>
      <c r="AJ2" s="2">
        <v>571</v>
      </c>
      <c r="AK2" s="156">
        <f>AJ2/($Q2)</f>
        <v>0.25400355871886121</v>
      </c>
      <c r="AL2" s="10">
        <v>1278</v>
      </c>
      <c r="AM2" s="156">
        <f>AL2/($Q2)</f>
        <v>0.56850533807829184</v>
      </c>
      <c r="AO2" s="10">
        <v>1360</v>
      </c>
      <c r="AP2" s="156">
        <f>AO2/($Q2)</f>
        <v>0.604982206405694</v>
      </c>
      <c r="AQ2" s="10">
        <v>1172</v>
      </c>
      <c r="AR2" s="156">
        <f>AQ2/($Q2)</f>
        <v>0.52135231316725983</v>
      </c>
      <c r="AS2" s="10">
        <v>1260</v>
      </c>
      <c r="AU2" s="10">
        <v>1318</v>
      </c>
      <c r="AW2" s="10">
        <v>1595</v>
      </c>
      <c r="AY2" s="10">
        <v>1616</v>
      </c>
      <c r="BA2" s="10">
        <v>1426</v>
      </c>
      <c r="BC2" s="10">
        <v>1236</v>
      </c>
      <c r="BE2" s="10">
        <v>1105</v>
      </c>
      <c r="BG2" s="10">
        <v>1460</v>
      </c>
      <c r="BI2" s="10">
        <v>1164</v>
      </c>
      <c r="BK2" s="10">
        <v>1150</v>
      </c>
      <c r="BM2" s="10">
        <v>840</v>
      </c>
      <c r="BO2" s="10">
        <v>815</v>
      </c>
      <c r="BQ2" s="10">
        <v>382</v>
      </c>
      <c r="BR2" s="10" t="s">
        <v>1718</v>
      </c>
    </row>
    <row r="3" spans="1:70" s="10" customFormat="1" ht="14.25" customHeight="1" thickBot="1">
      <c r="A3" s="2">
        <v>2</v>
      </c>
      <c r="B3" s="2" t="s">
        <v>25</v>
      </c>
      <c r="C3" s="19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>
        <v>7834</v>
      </c>
      <c r="R3" s="3">
        <v>6569</v>
      </c>
      <c r="S3" s="3">
        <v>6821</v>
      </c>
      <c r="T3" s="2">
        <v>10955</v>
      </c>
      <c r="U3" s="156">
        <f t="shared" ref="U3:U4" si="0">T3/($Q3)</f>
        <v>1.398391626244575</v>
      </c>
      <c r="V3" s="2">
        <v>10851</v>
      </c>
      <c r="W3" s="156">
        <f t="shared" ref="W3:W4" si="1">V3/($Q3)</f>
        <v>1.3851161603267808</v>
      </c>
      <c r="X3" s="2">
        <v>7330</v>
      </c>
      <c r="Y3" s="156">
        <f t="shared" ref="Y3:Y4" si="2">X3/($Q3)</f>
        <v>0.93566504978299714</v>
      </c>
      <c r="Z3" s="2">
        <v>9701</v>
      </c>
      <c r="AA3" s="156">
        <f t="shared" ref="AA3:AE4" si="3">Z3/($Q3)</f>
        <v>1.238320142966556</v>
      </c>
      <c r="AB3" s="2">
        <v>9111</v>
      </c>
      <c r="AC3" s="156">
        <f t="shared" si="3"/>
        <v>1.1630074036252234</v>
      </c>
      <c r="AD3" s="2">
        <v>6923</v>
      </c>
      <c r="AE3" s="156">
        <f t="shared" si="3"/>
        <v>0.88371202450855246</v>
      </c>
      <c r="AF3" s="2">
        <v>7688</v>
      </c>
      <c r="AG3" s="156">
        <f t="shared" ref="AG3:AG4" si="4">AF3/($Q3)</f>
        <v>0.98136328823078889</v>
      </c>
      <c r="AH3" s="2">
        <v>10792</v>
      </c>
      <c r="AI3" s="156">
        <f t="shared" ref="AI3:AK4" si="5">AH3/($Q3)</f>
        <v>1.3775848863926474</v>
      </c>
      <c r="AJ3" s="2">
        <v>5352</v>
      </c>
      <c r="AK3" s="156">
        <f t="shared" si="5"/>
        <v>0.68317589992341077</v>
      </c>
      <c r="AL3" s="10">
        <v>8236</v>
      </c>
      <c r="AM3" s="156">
        <f t="shared" ref="AM3:AM4" si="6">AL3/($Q3)</f>
        <v>1.0513147817207047</v>
      </c>
      <c r="AO3" s="10">
        <v>8505</v>
      </c>
      <c r="AP3" s="156">
        <f t="shared" ref="AP3:AR4" si="7">AO3/($Q3)</f>
        <v>1.0856522849119223</v>
      </c>
      <c r="AQ3" s="10">
        <v>7209</v>
      </c>
      <c r="AR3" s="156">
        <f t="shared" si="7"/>
        <v>0.9202195557824866</v>
      </c>
      <c r="AS3" s="10">
        <v>7396</v>
      </c>
      <c r="AU3" s="10">
        <v>7129</v>
      </c>
      <c r="AW3" s="10">
        <v>6559</v>
      </c>
      <c r="AY3" s="10">
        <v>7595</v>
      </c>
      <c r="BA3" s="10">
        <v>6478</v>
      </c>
      <c r="BC3" s="10">
        <v>6769</v>
      </c>
      <c r="BE3" s="10">
        <v>8213</v>
      </c>
      <c r="BG3" s="10">
        <v>7514</v>
      </c>
      <c r="BI3" s="10">
        <v>8419</v>
      </c>
      <c r="BK3" s="10">
        <v>7798</v>
      </c>
      <c r="BM3" s="10">
        <v>8658</v>
      </c>
      <c r="BO3" s="10">
        <v>8339</v>
      </c>
      <c r="BQ3" s="10">
        <v>6235</v>
      </c>
      <c r="BR3" s="10" t="s">
        <v>1718</v>
      </c>
    </row>
    <row r="4" spans="1:70" s="10" customFormat="1" ht="42" customHeight="1" thickBot="1">
      <c r="A4" s="24">
        <v>4</v>
      </c>
      <c r="B4" s="240" t="s">
        <v>1127</v>
      </c>
      <c r="C4" s="187" t="str">
        <f ca="1">E4</f>
        <v>{"stichDatum":"31.12.2026","dossier":p.DossierName1,"klient":`${p.FamilyName1}, ${p.ManFirstName1}`,"bescheinigungsArt":"SozialhilfeschuldBescheinigung - Deutsch"}</v>
      </c>
      <c r="D4" s="187" t="s">
        <v>28</v>
      </c>
      <c r="E4" s="187" t="str">
        <f ca="1">F4&amp;G4&amp;H4&amp;I4&amp;J4&amp;K4&amp;L4&amp;M4&amp;N4</f>
        <v>{"stichDatum":"31.12.2026","dossier":p.DossierName1,"klient":`${p.FamilyName1}, ${p.ManFirstName1}`,"bescheinigungsArt":"SozialhilfeschuldBescheinigung - Deutsch"}</v>
      </c>
      <c r="F4" s="255" t="s">
        <v>1128</v>
      </c>
      <c r="G4" s="187" t="str">
        <f ca="1">"31.12."&amp;YEAR(TODAY())+1</f>
        <v>31.12.2026</v>
      </c>
      <c r="H4" s="255" t="s">
        <v>224</v>
      </c>
      <c r="I4" s="428" t="s">
        <v>449</v>
      </c>
      <c r="J4" s="264" t="s">
        <v>769</v>
      </c>
      <c r="K4" s="24" t="s">
        <v>492</v>
      </c>
      <c r="L4" s="187" t="s">
        <v>1742</v>
      </c>
      <c r="M4" s="24" t="s">
        <v>1129</v>
      </c>
      <c r="N4" s="187" t="s">
        <v>37</v>
      </c>
      <c r="O4" s="24"/>
      <c r="P4" s="24"/>
      <c r="Q4" s="231">
        <v>15112</v>
      </c>
      <c r="R4" s="231">
        <v>15440</v>
      </c>
      <c r="S4" s="231">
        <v>15333</v>
      </c>
      <c r="T4" s="24">
        <v>14785</v>
      </c>
      <c r="U4" s="156">
        <f t="shared" si="0"/>
        <v>0.978361566966649</v>
      </c>
      <c r="V4" s="24">
        <v>14991</v>
      </c>
      <c r="W4" s="156">
        <f t="shared" si="1"/>
        <v>0.99199311805187929</v>
      </c>
      <c r="X4" s="24">
        <v>14680</v>
      </c>
      <c r="Y4" s="156">
        <f t="shared" si="2"/>
        <v>0.97141344626786663</v>
      </c>
      <c r="Z4" s="24">
        <v>14532</v>
      </c>
      <c r="AA4" s="156">
        <f t="shared" si="3"/>
        <v>0.96161990471148751</v>
      </c>
      <c r="AB4" s="24">
        <v>8425</v>
      </c>
      <c r="AC4" s="156">
        <f t="shared" si="3"/>
        <v>0.55750397035468502</v>
      </c>
      <c r="AD4" s="2">
        <v>8819</v>
      </c>
      <c r="AE4" s="156">
        <f t="shared" si="3"/>
        <v>0.58357596611964002</v>
      </c>
      <c r="AF4" s="2">
        <v>0</v>
      </c>
      <c r="AG4" s="156">
        <f t="shared" si="4"/>
        <v>0</v>
      </c>
      <c r="AH4" s="2">
        <v>0</v>
      </c>
      <c r="AI4" s="156">
        <f t="shared" si="5"/>
        <v>0</v>
      </c>
      <c r="AJ4" s="2">
        <v>8904</v>
      </c>
      <c r="AK4" s="156">
        <f t="shared" si="5"/>
        <v>0.58920063525674959</v>
      </c>
      <c r="AL4" s="538">
        <v>0</v>
      </c>
      <c r="AM4" s="156">
        <f t="shared" si="6"/>
        <v>0</v>
      </c>
      <c r="AO4" s="10">
        <v>10968</v>
      </c>
      <c r="AP4" s="156">
        <f t="shared" si="7"/>
        <v>0.72578083642138702</v>
      </c>
      <c r="AQ4" s="10">
        <v>6514</v>
      </c>
      <c r="AR4" s="156">
        <f t="shared" si="7"/>
        <v>0.43104817363684489</v>
      </c>
      <c r="AS4" s="10">
        <v>6476</v>
      </c>
      <c r="AU4" s="10">
        <v>6494</v>
      </c>
      <c r="AW4" s="2217">
        <v>0</v>
      </c>
      <c r="AX4" s="2218" t="s">
        <v>1419</v>
      </c>
      <c r="AY4" s="10">
        <v>10601</v>
      </c>
      <c r="BA4" s="10">
        <v>7006</v>
      </c>
      <c r="BC4" s="2709">
        <v>0</v>
      </c>
      <c r="BD4" s="2710" t="s">
        <v>1450</v>
      </c>
      <c r="BE4" s="10">
        <v>11810</v>
      </c>
      <c r="BG4" s="3082">
        <v>0</v>
      </c>
      <c r="BH4" s="3083" t="s">
        <v>1489</v>
      </c>
      <c r="BI4" s="3266">
        <v>0</v>
      </c>
      <c r="BJ4" s="3267" t="s">
        <v>1501</v>
      </c>
      <c r="BK4" s="10">
        <v>10031</v>
      </c>
      <c r="BM4" s="3640">
        <v>0</v>
      </c>
      <c r="BN4" s="3641" t="s">
        <v>1548</v>
      </c>
      <c r="BO4" s="10">
        <v>8959</v>
      </c>
      <c r="BQ4" s="10">
        <v>7287</v>
      </c>
      <c r="BR4" s="10" t="s">
        <v>1718</v>
      </c>
    </row>
    <row r="5" spans="1:70">
      <c r="U5" s="2"/>
      <c r="W5" s="2"/>
      <c r="Y5" s="2"/>
      <c r="AA5" s="2"/>
      <c r="AC5" s="2"/>
      <c r="AE5" s="2"/>
      <c r="AG5" s="2"/>
      <c r="AI5" s="2"/>
      <c r="AK5" s="2"/>
      <c r="AM5" s="2"/>
      <c r="AP5" s="2"/>
      <c r="AR5" s="2"/>
    </row>
    <row r="6" spans="1:70"/>
    <row r="7" spans="1:70" ht="14.25" customHeight="1">
      <c r="B7" s="1029"/>
    </row>
  </sheetData>
  <conditionalFormatting sqref="U2:U146 W2:W146 Y2:Y146 AA2:AA146 AC2:AC146 AE2:AE146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G2:AG146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I2:AI146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2:AK146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M2:AM14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P2:AP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R2:AR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92D050"/>
  </sheetPr>
  <dimension ref="A1:CK4"/>
  <sheetViews>
    <sheetView zoomScaleNormal="100" workbookViewId="0">
      <pane xSplit="2" ySplit="1" topLeftCell="C2" activePane="bottomRight" state="frozen"/>
      <selection activeCell="B23" sqref="B23"/>
      <selection pane="topRight" activeCell="B23" sqref="B23"/>
      <selection pane="bottomLeft" activeCell="B23" sqref="B23"/>
      <selection pane="bottomRight" activeCell="G28" sqref="G28"/>
    </sheetView>
  </sheetViews>
  <sheetFormatPr defaultRowHeight="14.25" customHeight="1"/>
  <cols>
    <col min="1" max="1" width="9.28515625" style="15" customWidth="1"/>
    <col min="2" max="2" width="27.28515625" style="15" customWidth="1"/>
    <col min="3" max="3" width="56.85546875" style="15" customWidth="1"/>
    <col min="4" max="4" width="22.28515625" style="15" customWidth="1"/>
    <col min="5" max="27" width="5.85546875" style="15" customWidth="1"/>
    <col min="28" max="33" width="9.140625" style="15" customWidth="1"/>
    <col min="34" max="34" width="20" style="15" customWidth="1"/>
    <col min="35" max="35" width="50" style="15" customWidth="1"/>
    <col min="36" max="36" width="20" style="15" customWidth="1"/>
    <col min="37" max="37" width="50" style="15" customWidth="1"/>
    <col min="38" max="38" width="20" style="15" customWidth="1"/>
    <col min="39" max="39" width="50" style="15" customWidth="1"/>
    <col min="40" max="40" width="20" style="15" customWidth="1"/>
    <col min="41" max="41" width="50" style="15" customWidth="1"/>
    <col min="42" max="43" width="9.140625" style="15" customWidth="1"/>
    <col min="44" max="45" width="30" style="15" customWidth="1"/>
    <col min="46" max="46" width="9.28515625" style="12" customWidth="1"/>
    <col min="47" max="47" width="30" style="15" customWidth="1"/>
    <col min="48" max="48" width="9.28515625" style="12" customWidth="1"/>
    <col min="49" max="49" width="30" style="15" customWidth="1"/>
    <col min="50" max="50" width="9.28515625" style="12" customWidth="1"/>
    <col min="51" max="53" width="14" style="15" customWidth="1"/>
    <col min="54" max="54" width="13.28515625" style="12" customWidth="1"/>
    <col min="55" max="55" width="13.28515625" style="15" customWidth="1"/>
    <col min="56" max="56" width="13.28515625" style="12" customWidth="1"/>
    <col min="57" max="57" width="13.28515625" style="15" customWidth="1"/>
    <col min="58" max="58" width="13.28515625" style="12" customWidth="1"/>
    <col min="59" max="59" width="9.140625" style="15" customWidth="1"/>
    <col min="60" max="60" width="20" style="15" customWidth="1"/>
    <col min="61" max="61" width="50" style="15" customWidth="1"/>
    <col min="62" max="62" width="20" style="15" customWidth="1"/>
    <col min="63" max="63" width="50" style="15" customWidth="1"/>
    <col min="64" max="64" width="20" style="15" customWidth="1"/>
    <col min="65" max="65" width="50" style="15" customWidth="1"/>
    <col min="66" max="66" width="20" style="15" customWidth="1"/>
    <col min="67" max="67" width="50" style="15" customWidth="1"/>
    <col min="68" max="68" width="20" style="15" customWidth="1"/>
    <col min="69" max="69" width="50" style="15" customWidth="1"/>
    <col min="70" max="70" width="20" style="15" customWidth="1"/>
    <col min="71" max="71" width="50" style="15" customWidth="1"/>
    <col min="72" max="72" width="20" style="15" customWidth="1"/>
    <col min="73" max="73" width="50" style="15" customWidth="1"/>
    <col min="74" max="74" width="20" style="15" customWidth="1"/>
    <col min="75" max="75" width="50" style="15" customWidth="1"/>
    <col min="76" max="76" width="20" style="15" customWidth="1"/>
    <col min="77" max="77" width="50" style="15" customWidth="1"/>
    <col min="78" max="78" width="20" style="15" customWidth="1"/>
    <col min="79" max="79" width="50" style="15" customWidth="1"/>
    <col min="80" max="80" width="20" style="15" customWidth="1"/>
    <col min="81" max="81" width="50" style="15" customWidth="1"/>
    <col min="82" max="82" width="20" style="15" customWidth="1"/>
    <col min="83" max="83" width="50" style="15" customWidth="1"/>
    <col min="84" max="84" width="20" style="15" customWidth="1"/>
    <col min="85" max="85" width="50" style="15" customWidth="1"/>
    <col min="86" max="86" width="20" style="15" customWidth="1"/>
    <col min="87" max="87" width="50" style="15" customWidth="1"/>
    <col min="88" max="88" width="20" style="15" customWidth="1"/>
    <col min="89" max="89" width="50" style="15" customWidth="1"/>
    <col min="90" max="16384" width="9.140625" style="15"/>
  </cols>
  <sheetData>
    <row r="1" spans="1:89" s="10" customFormat="1" ht="18.75" customHeight="1">
      <c r="A1" s="5" t="s">
        <v>0</v>
      </c>
      <c r="B1" s="5" t="s">
        <v>1</v>
      </c>
      <c r="C1" s="5" t="s">
        <v>2</v>
      </c>
      <c r="D1" s="39" t="s">
        <v>3</v>
      </c>
      <c r="E1" s="429"/>
      <c r="F1" s="41"/>
      <c r="G1" s="2558">
        <f>3*60*1000*SpeedFaktor</f>
        <v>180000</v>
      </c>
      <c r="H1" s="41">
        <v>10</v>
      </c>
      <c r="I1" s="2"/>
      <c r="J1" s="41"/>
      <c r="K1" s="2"/>
      <c r="L1" s="41"/>
      <c r="M1" s="2"/>
      <c r="N1" s="41"/>
      <c r="O1" s="2"/>
      <c r="P1" s="41"/>
      <c r="Q1" s="2"/>
      <c r="R1" s="41"/>
      <c r="S1" s="2"/>
      <c r="T1" s="41"/>
      <c r="U1" s="2"/>
      <c r="V1" s="41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5</v>
      </c>
      <c r="AH1" s="539" t="s">
        <v>1303</v>
      </c>
      <c r="AI1" s="540" t="s">
        <v>572</v>
      </c>
      <c r="AJ1" s="906" t="s">
        <v>1317</v>
      </c>
      <c r="AK1" s="907" t="s">
        <v>572</v>
      </c>
      <c r="AL1" s="1030" t="s">
        <v>1318</v>
      </c>
      <c r="AM1" s="1031" t="s">
        <v>572</v>
      </c>
      <c r="AN1" s="1175" t="s">
        <v>1324</v>
      </c>
      <c r="AO1" s="1176" t="s">
        <v>572</v>
      </c>
      <c r="AP1" s="2"/>
      <c r="AQ1" s="2" t="s">
        <v>1130</v>
      </c>
      <c r="AR1" s="2" t="s">
        <v>10</v>
      </c>
      <c r="AS1" s="2" t="s">
        <v>11</v>
      </c>
      <c r="AT1" s="24" t="s">
        <v>8</v>
      </c>
      <c r="AU1" s="2" t="s">
        <v>12</v>
      </c>
      <c r="AV1" s="24" t="s">
        <v>8</v>
      </c>
      <c r="AW1" s="2" t="s">
        <v>13</v>
      </c>
      <c r="AX1" s="24" t="s">
        <v>8</v>
      </c>
      <c r="AY1" s="2" t="s">
        <v>65</v>
      </c>
      <c r="AZ1" s="2" t="s">
        <v>66</v>
      </c>
      <c r="BA1" s="10" t="s">
        <v>17</v>
      </c>
      <c r="BB1" s="24" t="s">
        <v>8</v>
      </c>
      <c r="BC1" s="10" t="s">
        <v>1285</v>
      </c>
      <c r="BD1" s="24" t="s">
        <v>8</v>
      </c>
      <c r="BE1" s="10" t="s">
        <v>1286</v>
      </c>
      <c r="BF1" s="24" t="s">
        <v>8</v>
      </c>
      <c r="BH1" s="1380" t="s">
        <v>1341</v>
      </c>
      <c r="BI1" s="1381" t="s">
        <v>572</v>
      </c>
      <c r="BJ1" s="1633" t="s">
        <v>1363</v>
      </c>
      <c r="BK1" s="1634" t="s">
        <v>572</v>
      </c>
      <c r="BL1" s="1774" t="s">
        <v>1368</v>
      </c>
      <c r="BM1" s="1775" t="s">
        <v>572</v>
      </c>
      <c r="BN1" s="1915" t="s">
        <v>1372</v>
      </c>
      <c r="BO1" s="1916" t="s">
        <v>572</v>
      </c>
      <c r="BP1" s="2219" t="s">
        <v>1397</v>
      </c>
      <c r="BQ1" s="2220" t="s">
        <v>572</v>
      </c>
      <c r="BR1" s="2388" t="s">
        <v>1421</v>
      </c>
      <c r="BS1" s="2389" t="s">
        <v>572</v>
      </c>
      <c r="BT1" s="2544" t="s">
        <v>1434</v>
      </c>
      <c r="BU1" s="2545" t="s">
        <v>572</v>
      </c>
      <c r="BV1" s="2711" t="s">
        <v>1442</v>
      </c>
      <c r="BW1" s="2712" t="s">
        <v>572</v>
      </c>
      <c r="BX1" s="2896" t="s">
        <v>1460</v>
      </c>
      <c r="BY1" s="2897" t="s">
        <v>572</v>
      </c>
      <c r="BZ1" s="3084" t="s">
        <v>1472</v>
      </c>
      <c r="CA1" s="3085" t="s">
        <v>572</v>
      </c>
      <c r="CB1" s="3268" t="s">
        <v>1492</v>
      </c>
      <c r="CC1" s="3269" t="s">
        <v>572</v>
      </c>
      <c r="CD1" s="3438" t="s">
        <v>1503</v>
      </c>
      <c r="CE1" s="3439" t="s">
        <v>572</v>
      </c>
      <c r="CF1" s="3642" t="s">
        <v>1519</v>
      </c>
      <c r="CG1" s="3643" t="s">
        <v>572</v>
      </c>
      <c r="CH1" s="3942" t="s">
        <v>1666</v>
      </c>
      <c r="CI1" s="3943" t="s">
        <v>572</v>
      </c>
      <c r="CJ1" s="4159" t="s">
        <v>1717</v>
      </c>
      <c r="CK1" s="4160" t="s">
        <v>572</v>
      </c>
    </row>
    <row r="2" spans="1:89" s="10" customFormat="1" ht="18.75" customHeight="1">
      <c r="A2" s="727">
        <v>1</v>
      </c>
      <c r="B2" s="727" t="s">
        <v>21</v>
      </c>
      <c r="C2" s="779" t="s">
        <v>231</v>
      </c>
      <c r="D2" s="2"/>
      <c r="E2" s="2"/>
      <c r="F2" s="41" t="s">
        <v>67</v>
      </c>
      <c r="G2" s="257"/>
      <c r="H2" s="41" t="s">
        <v>37</v>
      </c>
      <c r="I2" s="2"/>
      <c r="J2" s="41"/>
      <c r="K2" s="2"/>
      <c r="L2" s="41"/>
      <c r="M2" s="2"/>
      <c r="N2" s="41"/>
      <c r="O2" s="2"/>
      <c r="P2" s="41"/>
      <c r="Q2" s="2"/>
      <c r="R2" s="41"/>
      <c r="S2" s="2"/>
      <c r="T2" s="41"/>
      <c r="U2" s="2"/>
      <c r="V2" s="41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>
        <v>1203</v>
      </c>
      <c r="AI2" s="2"/>
      <c r="AJ2" s="2">
        <v>1330</v>
      </c>
      <c r="AK2" s="2"/>
      <c r="AL2" s="2">
        <v>1606</v>
      </c>
      <c r="AM2" s="2"/>
      <c r="AN2" s="2">
        <v>1330</v>
      </c>
      <c r="AO2" s="2"/>
      <c r="AP2" s="2"/>
      <c r="AQ2" s="2"/>
      <c r="AR2" s="2">
        <v>1803</v>
      </c>
      <c r="AS2" s="2">
        <v>1872</v>
      </c>
      <c r="AT2" s="156">
        <f>AS2/($AR2)</f>
        <v>1.038269550748752</v>
      </c>
      <c r="AU2" s="2">
        <v>1289</v>
      </c>
      <c r="AV2" s="156">
        <f>AU2/($AR2)</f>
        <v>0.71491957848031062</v>
      </c>
      <c r="AW2" s="2">
        <v>1799</v>
      </c>
      <c r="AX2" s="156">
        <f>AW2/($AR2)</f>
        <v>0.99778147531891292</v>
      </c>
      <c r="AY2" s="2">
        <v>1485</v>
      </c>
      <c r="AZ2" s="2"/>
      <c r="BA2" s="2">
        <v>1280</v>
      </c>
      <c r="BB2" s="156">
        <f>BA2/($AY2)</f>
        <v>0.86195286195286192</v>
      </c>
      <c r="BC2" s="2">
        <v>1317</v>
      </c>
      <c r="BD2" s="156">
        <f>BC2/($AY2)</f>
        <v>0.88686868686868692</v>
      </c>
      <c r="BE2" s="2">
        <v>572</v>
      </c>
      <c r="BF2" s="156">
        <f>BE2/($AY2)</f>
        <v>0.38518518518518519</v>
      </c>
      <c r="BH2" s="10">
        <v>1426</v>
      </c>
      <c r="BJ2" s="10">
        <v>1198</v>
      </c>
      <c r="BL2" s="10">
        <v>1400</v>
      </c>
      <c r="BN2" s="10">
        <v>1251</v>
      </c>
      <c r="BP2" s="10">
        <v>1661</v>
      </c>
      <c r="BR2" s="10">
        <v>1703</v>
      </c>
      <c r="BT2" s="10">
        <v>1569</v>
      </c>
      <c r="BV2" s="10">
        <v>1405</v>
      </c>
      <c r="BX2" s="10">
        <v>1185</v>
      </c>
      <c r="BZ2" s="10">
        <v>1763</v>
      </c>
      <c r="CB2" s="10">
        <v>1157</v>
      </c>
      <c r="CD2" s="10">
        <v>1153</v>
      </c>
      <c r="CF2" s="10">
        <v>1357</v>
      </c>
      <c r="CH2" s="10">
        <v>808</v>
      </c>
      <c r="CJ2" s="10">
        <v>378</v>
      </c>
      <c r="CK2" s="10" t="s">
        <v>1718</v>
      </c>
    </row>
    <row r="3" spans="1:89" s="10" customFormat="1" ht="18.75" customHeight="1" thickBot="1">
      <c r="A3" s="727">
        <v>2</v>
      </c>
      <c r="B3" s="727" t="s">
        <v>25</v>
      </c>
      <c r="C3" s="783" t="str">
        <f>E3</f>
        <v>{"username":"bern.sozialarbeiterin1a@diartis.ch","password":"SMze97-jkSJ59!F.","fullname":"Sozialarbeiterin 1A Bern","team":"Sozialarbeit Bern 1"}</v>
      </c>
      <c r="D3" s="2"/>
      <c r="E3" s="2" t="str">
        <f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41" t="s">
        <v>29</v>
      </c>
      <c r="G3" s="2" t="s">
        <v>71</v>
      </c>
      <c r="H3" s="41" t="s">
        <v>31</v>
      </c>
      <c r="I3" s="2" t="s">
        <v>72</v>
      </c>
      <c r="J3" s="41" t="s">
        <v>73</v>
      </c>
      <c r="K3" s="2" t="s">
        <v>74</v>
      </c>
      <c r="L3" s="41" t="s">
        <v>75</v>
      </c>
      <c r="M3" s="2" t="s">
        <v>76</v>
      </c>
      <c r="N3" s="41" t="s">
        <v>37</v>
      </c>
      <c r="O3" s="2"/>
      <c r="P3" s="41"/>
      <c r="Q3" s="2"/>
      <c r="R3" s="41"/>
      <c r="S3" s="2"/>
      <c r="T3" s="41"/>
      <c r="U3" s="2"/>
      <c r="V3" s="41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>
        <v>7290</v>
      </c>
      <c r="AI3" s="2"/>
      <c r="AJ3" s="2">
        <v>8753</v>
      </c>
      <c r="AK3" s="2"/>
      <c r="AL3" s="2">
        <v>7322</v>
      </c>
      <c r="AM3" s="2"/>
      <c r="AN3" s="2">
        <v>8105</v>
      </c>
      <c r="AO3" s="2"/>
      <c r="AP3" s="2"/>
      <c r="AQ3" s="2"/>
      <c r="AR3" s="2">
        <v>10220</v>
      </c>
      <c r="AS3" s="2">
        <v>9511</v>
      </c>
      <c r="AT3" s="156">
        <f t="shared" ref="AT3:AV4" si="0">AS3/($AR3)</f>
        <v>0.93062622309197651</v>
      </c>
      <c r="AU3" s="2">
        <v>8355</v>
      </c>
      <c r="AV3" s="156">
        <f t="shared" si="0"/>
        <v>0.81751467710371817</v>
      </c>
      <c r="AW3" s="2">
        <v>9222</v>
      </c>
      <c r="AX3" s="156">
        <f t="shared" ref="AX3" si="1">AW3/($AR3)</f>
        <v>0.90234833659491198</v>
      </c>
      <c r="AY3" s="2">
        <v>10455</v>
      </c>
      <c r="AZ3" s="2"/>
      <c r="BA3" s="2">
        <v>7612</v>
      </c>
      <c r="BB3" s="156">
        <f t="shared" ref="BB3:BF4" si="2">BA3/($AY3)</f>
        <v>0.72807269249163076</v>
      </c>
      <c r="BC3" s="2">
        <v>8060</v>
      </c>
      <c r="BD3" s="156">
        <f t="shared" si="2"/>
        <v>0.77092300334768049</v>
      </c>
      <c r="BE3" s="2">
        <v>4806</v>
      </c>
      <c r="BF3" s="156">
        <f t="shared" si="2"/>
        <v>0.45968436154949782</v>
      </c>
      <c r="BH3" s="10">
        <v>7066</v>
      </c>
      <c r="BJ3" s="10">
        <v>6971</v>
      </c>
      <c r="BL3" s="10">
        <v>8694</v>
      </c>
      <c r="BN3" s="10">
        <v>7549</v>
      </c>
      <c r="BP3" s="10">
        <v>7347</v>
      </c>
      <c r="BR3" s="10">
        <v>8747</v>
      </c>
      <c r="BT3" s="10">
        <v>6878</v>
      </c>
      <c r="BV3" s="10">
        <v>7750</v>
      </c>
      <c r="BX3" s="10">
        <v>10332</v>
      </c>
      <c r="BZ3" s="10">
        <v>8057</v>
      </c>
      <c r="CB3" s="10">
        <v>7983</v>
      </c>
      <c r="CD3" s="10">
        <v>8302</v>
      </c>
      <c r="CF3" s="10">
        <v>8292</v>
      </c>
      <c r="CH3" s="10">
        <v>8800</v>
      </c>
      <c r="CJ3" s="10">
        <v>5172</v>
      </c>
      <c r="CK3" s="10" t="s">
        <v>1718</v>
      </c>
    </row>
    <row r="4" spans="1:89" s="10" customFormat="1" ht="35.25" customHeight="1" thickBot="1">
      <c r="A4" s="24">
        <v>4</v>
      </c>
      <c r="B4" s="248" t="s">
        <v>1131</v>
      </c>
      <c r="C4" s="430" t="str">
        <f ca="1">E4</f>
        <v> {"stichDatum":"04.11.2025","klient":`${p.FamilyName3}, ${p.ManFirstName3}`,"sozialHilfeSchuld":0}</v>
      </c>
      <c r="D4" s="24"/>
      <c r="E4" s="2" t="str">
        <f ca="1">F4&amp;G4&amp;H4&amp;I4&amp;J4&amp;K4&amp;L4&amp;M4&amp;N4&amp;O4&amp;P4&amp;Q4&amp;R4&amp;S4&amp;T4&amp;U4&amp;V4&amp;W4&amp;X4</f>
        <v> {"stichDatum":"04.11.2025","klient":`${p.FamilyName3}, ${p.ManFirstName3}`,"sozialHilfeSchuld":0}</v>
      </c>
      <c r="F4" s="309" t="s">
        <v>1118</v>
      </c>
      <c r="G4" s="431" t="str">
        <f ca="1">TEXT(TEXT(TODAY(),"DD")&amp;"."&amp;TEXT(TODAY(),"MM")&amp;"."&amp;TEXT(TODAY(),"YYYY"),"DD.MM.YYYY")</f>
        <v>04.11.2025</v>
      </c>
      <c r="H4" s="24" t="s">
        <v>444</v>
      </c>
      <c r="I4" s="24" t="s">
        <v>1132</v>
      </c>
      <c r="J4" s="24" t="s">
        <v>1133</v>
      </c>
      <c r="K4" s="24">
        <v>0</v>
      </c>
      <c r="L4" s="24" t="s">
        <v>109</v>
      </c>
      <c r="M4" s="24"/>
      <c r="N4" s="24"/>
      <c r="O4" s="274"/>
      <c r="P4" s="24"/>
      <c r="Q4" s="24"/>
      <c r="R4" s="326"/>
      <c r="S4" s="432"/>
      <c r="T4" s="432"/>
      <c r="U4" s="274"/>
      <c r="V4" s="326"/>
      <c r="W4" s="274"/>
      <c r="X4" s="326"/>
      <c r="Y4" s="24"/>
      <c r="Z4" s="24"/>
      <c r="AA4" s="24"/>
      <c r="AB4" s="24"/>
      <c r="AC4" s="24"/>
      <c r="AD4" s="433"/>
      <c r="AE4" s="24"/>
      <c r="AF4" s="24"/>
      <c r="AG4" s="24"/>
      <c r="AH4" s="24">
        <v>3108</v>
      </c>
      <c r="AI4" s="24"/>
      <c r="AJ4" s="24">
        <v>3284</v>
      </c>
      <c r="AK4" s="24"/>
      <c r="AL4" s="24">
        <v>3311</v>
      </c>
      <c r="AM4" s="24"/>
      <c r="AN4" s="24">
        <v>3194</v>
      </c>
      <c r="AO4" s="24"/>
      <c r="AP4" s="24"/>
      <c r="AQ4" s="24"/>
      <c r="AR4" s="24"/>
      <c r="AS4" s="24"/>
      <c r="AT4" s="156" t="e">
        <f t="shared" si="0"/>
        <v>#DIV/0!</v>
      </c>
      <c r="AU4" s="24"/>
      <c r="AV4" s="156" t="e">
        <f t="shared" si="0"/>
        <v>#DIV/0!</v>
      </c>
      <c r="AW4" s="24"/>
      <c r="AX4" s="156" t="e">
        <f t="shared" ref="AX4" si="3">AW4/($AR4)</f>
        <v>#DIV/0!</v>
      </c>
      <c r="AY4" s="2">
        <v>3047</v>
      </c>
      <c r="AZ4" s="2">
        <v>3047</v>
      </c>
      <c r="BA4" s="2">
        <v>3047</v>
      </c>
      <c r="BB4" s="156">
        <f t="shared" si="2"/>
        <v>1</v>
      </c>
      <c r="BC4" s="2">
        <v>3160</v>
      </c>
      <c r="BD4" s="156">
        <f t="shared" si="2"/>
        <v>1.0370856580242862</v>
      </c>
      <c r="BE4" s="2">
        <v>3065</v>
      </c>
      <c r="BF4" s="156">
        <f t="shared" si="2"/>
        <v>1.0059074499507712</v>
      </c>
      <c r="BH4" s="10">
        <v>2787</v>
      </c>
      <c r="BJ4" s="10">
        <v>2715</v>
      </c>
      <c r="BL4" s="10">
        <v>3814</v>
      </c>
      <c r="BN4" s="10">
        <v>3583</v>
      </c>
      <c r="BP4" s="10">
        <v>7164</v>
      </c>
      <c r="BR4" s="10">
        <v>3435</v>
      </c>
      <c r="BT4" s="10">
        <v>3103</v>
      </c>
      <c r="BV4" s="10">
        <v>4555</v>
      </c>
      <c r="BX4" s="10">
        <v>4404</v>
      </c>
      <c r="BZ4" s="10">
        <v>2529</v>
      </c>
      <c r="CB4" s="10">
        <v>4199</v>
      </c>
      <c r="CD4" s="10">
        <v>3306</v>
      </c>
      <c r="CF4" s="10">
        <v>3565</v>
      </c>
      <c r="CH4" s="10">
        <v>7423</v>
      </c>
      <c r="CJ4" s="10">
        <v>3128</v>
      </c>
      <c r="CK4" s="10" t="s">
        <v>1718</v>
      </c>
    </row>
  </sheetData>
  <conditionalFormatting sqref="AT2:AT146 AV2:AV146 AX2:AX146 BB2:BB146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D2:BD14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F2:BF14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useFirstPageNumber="1" horizontalDpi="4294967295" verticalDpi="429496729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92D050"/>
  </sheetPr>
  <dimension ref="A1:BU4"/>
  <sheetViews>
    <sheetView zoomScaleNormal="100" workbookViewId="0">
      <pane xSplit="2" ySplit="1" topLeftCell="D2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4.25" customHeight="1"/>
  <cols>
    <col min="1" max="1" width="4.85546875" style="1" customWidth="1"/>
    <col min="2" max="2" width="37.28515625" style="2" customWidth="1"/>
    <col min="3" max="3" width="162.42578125" style="2" customWidth="1"/>
    <col min="4" max="4" width="9.140625" style="2" customWidth="1"/>
    <col min="5" max="5" width="9.85546875" style="3" customWidth="1"/>
    <col min="6" max="6" width="18.85546875" style="2" customWidth="1"/>
    <col min="7" max="8" width="26.85546875" style="2" customWidth="1"/>
    <col min="9" max="9" width="9.85546875" style="2" customWidth="1"/>
    <col min="10" max="10" width="10.85546875" style="2" customWidth="1"/>
    <col min="11" max="11" width="18.140625" style="2" customWidth="1"/>
    <col min="12" max="12" width="9.140625" style="2" customWidth="1"/>
    <col min="13" max="19" width="11.42578125" style="2" customWidth="1"/>
    <col min="20" max="20" width="11.42578125" style="12" customWidth="1"/>
    <col min="21" max="21" width="11.42578125" style="2" customWidth="1"/>
    <col min="22" max="22" width="11.42578125" style="12" customWidth="1"/>
    <col min="23" max="23" width="11.42578125" style="2" customWidth="1"/>
    <col min="24" max="24" width="11.42578125" style="12" customWidth="1"/>
    <col min="25" max="27" width="11.42578125" style="2" customWidth="1"/>
    <col min="28" max="28" width="11.42578125" style="12" customWidth="1"/>
    <col min="29" max="29" width="30" style="2" customWidth="1"/>
    <col min="30" max="30" width="11.42578125" style="12" customWidth="1"/>
    <col min="31" max="31" width="10.28515625" style="2" customWidth="1"/>
    <col min="32" max="32" width="11.42578125" style="12" customWidth="1"/>
    <col min="33" max="33" width="10.28515625" style="2" customWidth="1"/>
    <col min="34" max="34" width="11.42578125" style="12" customWidth="1"/>
    <col min="35" max="35" width="10.28515625" style="2" customWidth="1"/>
    <col min="36" max="36" width="11.42578125" style="12" customWidth="1"/>
    <col min="37" max="37" width="9.140625" style="2"/>
    <col min="38" max="38" width="20" style="2" customWidth="1"/>
    <col min="39" max="39" width="50" style="2" customWidth="1"/>
    <col min="40" max="40" width="20" style="2" customWidth="1"/>
    <col min="41" max="41" width="50" style="2" customWidth="1"/>
    <col min="42" max="42" width="20" style="2" customWidth="1"/>
    <col min="43" max="43" width="50" style="2" customWidth="1"/>
    <col min="44" max="44" width="20" style="2" customWidth="1"/>
    <col min="45" max="45" width="50" style="2" customWidth="1"/>
    <col min="46" max="46" width="20" style="2" customWidth="1"/>
    <col min="47" max="47" width="50" style="2" customWidth="1"/>
    <col min="48" max="48" width="20" style="2" customWidth="1"/>
    <col min="49" max="49" width="50" style="2" customWidth="1"/>
    <col min="50" max="50" width="20" style="2" customWidth="1"/>
    <col min="51" max="51" width="50" style="2" customWidth="1"/>
    <col min="52" max="52" width="20" style="2" customWidth="1"/>
    <col min="53" max="53" width="50" style="2" customWidth="1"/>
    <col min="54" max="54" width="20" style="2" customWidth="1"/>
    <col min="55" max="55" width="50" style="2" customWidth="1"/>
    <col min="56" max="56" width="20" style="2" customWidth="1"/>
    <col min="57" max="57" width="50" style="2" customWidth="1"/>
    <col min="58" max="58" width="20" style="2" customWidth="1"/>
    <col min="59" max="59" width="50" style="2" customWidth="1"/>
    <col min="60" max="60" width="20" style="2" customWidth="1"/>
    <col min="61" max="61" width="50" style="2" customWidth="1"/>
    <col min="62" max="62" width="20" style="2" customWidth="1"/>
    <col min="63" max="63" width="50" style="2" customWidth="1"/>
    <col min="64" max="64" width="20" style="2" customWidth="1"/>
    <col min="65" max="65" width="50" style="2" customWidth="1"/>
    <col min="66" max="66" width="20" style="2" customWidth="1"/>
    <col min="67" max="67" width="50" style="2" customWidth="1"/>
    <col min="68" max="68" width="20" style="2" customWidth="1"/>
    <col min="69" max="69" width="50" style="2" customWidth="1"/>
    <col min="70" max="70" width="20" style="2" customWidth="1"/>
    <col min="71" max="71" width="50" style="2" customWidth="1"/>
    <col min="72" max="72" width="20" style="2" customWidth="1"/>
    <col min="73" max="73" width="50" style="2" customWidth="1"/>
    <col min="74" max="16384" width="9.140625" style="2"/>
  </cols>
  <sheetData>
    <row r="1" spans="1:73" ht="1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2*60*1000*SpeedFaktor</f>
        <v>120000</v>
      </c>
      <c r="H1" s="2">
        <v>10</v>
      </c>
      <c r="O1" s="2" t="s">
        <v>5</v>
      </c>
      <c r="P1" s="2" t="s">
        <v>657</v>
      </c>
      <c r="Q1" s="2" t="s">
        <v>676</v>
      </c>
      <c r="R1" s="2" t="s">
        <v>658</v>
      </c>
      <c r="S1" s="96" t="s">
        <v>11</v>
      </c>
      <c r="T1" s="24" t="s">
        <v>8</v>
      </c>
      <c r="U1" s="96" t="s">
        <v>12</v>
      </c>
      <c r="V1" s="24" t="s">
        <v>8</v>
      </c>
      <c r="W1" s="96" t="s">
        <v>13</v>
      </c>
      <c r="X1" s="24" t="s">
        <v>8</v>
      </c>
      <c r="Y1" s="96" t="s">
        <v>65</v>
      </c>
      <c r="Z1" s="2" t="s">
        <v>66</v>
      </c>
      <c r="AA1" s="96" t="s">
        <v>15</v>
      </c>
      <c r="AB1" s="24" t="s">
        <v>8</v>
      </c>
      <c r="AC1" s="2" t="s">
        <v>17</v>
      </c>
      <c r="AD1" s="24" t="s">
        <v>8</v>
      </c>
      <c r="AE1" s="764" t="s">
        <v>1285</v>
      </c>
      <c r="AF1" s="24" t="s">
        <v>8</v>
      </c>
      <c r="AG1" s="764" t="s">
        <v>1286</v>
      </c>
      <c r="AH1" s="24" t="s">
        <v>8</v>
      </c>
      <c r="AI1" s="784" t="s">
        <v>1303</v>
      </c>
      <c r="AJ1" s="24" t="s">
        <v>8</v>
      </c>
      <c r="AL1" s="908" t="s">
        <v>1317</v>
      </c>
      <c r="AM1" s="909" t="s">
        <v>572</v>
      </c>
      <c r="AN1" s="1032" t="s">
        <v>1318</v>
      </c>
      <c r="AO1" s="1033" t="s">
        <v>572</v>
      </c>
      <c r="AP1" s="1177" t="s">
        <v>1324</v>
      </c>
      <c r="AQ1" s="1178" t="s">
        <v>572</v>
      </c>
      <c r="AR1" s="1382" t="s">
        <v>1341</v>
      </c>
      <c r="AS1" s="1383" t="s">
        <v>572</v>
      </c>
      <c r="AT1" s="1635" t="s">
        <v>1363</v>
      </c>
      <c r="AU1" s="1636" t="s">
        <v>572</v>
      </c>
      <c r="AV1" s="1776" t="s">
        <v>1368</v>
      </c>
      <c r="AW1" s="1777" t="s">
        <v>572</v>
      </c>
      <c r="AX1" s="1917" t="s">
        <v>1372</v>
      </c>
      <c r="AY1" s="1918" t="s">
        <v>572</v>
      </c>
      <c r="AZ1" s="2221" t="s">
        <v>1397</v>
      </c>
      <c r="BA1" s="2222" t="s">
        <v>572</v>
      </c>
      <c r="BB1" s="2390" t="s">
        <v>1421</v>
      </c>
      <c r="BC1" s="2391" t="s">
        <v>572</v>
      </c>
      <c r="BD1" s="2546" t="s">
        <v>1434</v>
      </c>
      <c r="BE1" s="2547" t="s">
        <v>572</v>
      </c>
      <c r="BF1" s="2713" t="s">
        <v>1442</v>
      </c>
      <c r="BG1" s="2714" t="s">
        <v>572</v>
      </c>
      <c r="BH1" s="2898" t="s">
        <v>1460</v>
      </c>
      <c r="BI1" s="2899" t="s">
        <v>572</v>
      </c>
      <c r="BJ1" s="3086" t="s">
        <v>1472</v>
      </c>
      <c r="BK1" s="3087" t="s">
        <v>572</v>
      </c>
      <c r="BL1" s="3270" t="s">
        <v>1492</v>
      </c>
      <c r="BM1" s="3271" t="s">
        <v>572</v>
      </c>
      <c r="BN1" s="3440" t="s">
        <v>1503</v>
      </c>
      <c r="BO1" s="3441" t="s">
        <v>572</v>
      </c>
      <c r="BP1" s="3644" t="s">
        <v>1519</v>
      </c>
      <c r="BQ1" s="3645" t="s">
        <v>572</v>
      </c>
      <c r="BR1" s="3944" t="s">
        <v>1666</v>
      </c>
      <c r="BS1" s="3945" t="s">
        <v>572</v>
      </c>
      <c r="BT1" s="4161" t="s">
        <v>1717</v>
      </c>
      <c r="BU1" s="4162" t="s">
        <v>572</v>
      </c>
    </row>
    <row r="2" spans="1:73" s="10" customFormat="1" ht="14.25" customHeight="1">
      <c r="A2" s="122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>
        <v>1805</v>
      </c>
      <c r="Q2" s="2">
        <v>1906</v>
      </c>
      <c r="R2" s="2">
        <v>2101</v>
      </c>
      <c r="S2" s="2">
        <v>1332</v>
      </c>
      <c r="T2" s="156">
        <f>S2/($P2)</f>
        <v>0.73795013850415514</v>
      </c>
      <c r="U2" s="2">
        <v>1503</v>
      </c>
      <c r="V2" s="156">
        <f>U2/($P2)</f>
        <v>0.83268698060941826</v>
      </c>
      <c r="W2" s="2">
        <v>1488</v>
      </c>
      <c r="X2" s="156">
        <f>W2/($P2)</f>
        <v>0.824376731301939</v>
      </c>
      <c r="Y2" s="2">
        <v>1733</v>
      </c>
      <c r="Z2" s="2"/>
      <c r="AA2" s="2">
        <v>961</v>
      </c>
      <c r="AB2" s="156">
        <f>AA2/($P2)</f>
        <v>0.53240997229916898</v>
      </c>
      <c r="AC2" s="2">
        <v>1158</v>
      </c>
      <c r="AD2" s="156">
        <f>AC2/($P2)</f>
        <v>0.64155124653739615</v>
      </c>
      <c r="AE2" s="2">
        <v>1338</v>
      </c>
      <c r="AF2" s="156">
        <f>AE2/($P2)</f>
        <v>0.74127423822714678</v>
      </c>
      <c r="AG2" s="2">
        <v>559</v>
      </c>
      <c r="AH2" s="156">
        <f>AG2/($P2)</f>
        <v>0.30969529085872577</v>
      </c>
      <c r="AI2" s="10">
        <v>1094</v>
      </c>
      <c r="AJ2" s="156">
        <f>AI2/($P2)</f>
        <v>0.60609418282548477</v>
      </c>
      <c r="AL2" s="10">
        <v>1458</v>
      </c>
      <c r="AN2" s="10">
        <v>1219</v>
      </c>
      <c r="AP2" s="10">
        <v>1153</v>
      </c>
      <c r="AR2" s="10">
        <v>1252</v>
      </c>
      <c r="AT2" s="10">
        <v>1165</v>
      </c>
      <c r="AV2" s="10">
        <v>1423</v>
      </c>
      <c r="AX2" s="10">
        <v>1248</v>
      </c>
      <c r="AZ2" s="10">
        <v>1784</v>
      </c>
      <c r="BB2" s="10">
        <v>1544</v>
      </c>
      <c r="BD2" s="10">
        <v>1470</v>
      </c>
      <c r="BF2" s="10">
        <v>1280</v>
      </c>
      <c r="BH2" s="10">
        <v>1058</v>
      </c>
      <c r="BJ2" s="10">
        <v>1714</v>
      </c>
      <c r="BL2" s="10">
        <v>1085</v>
      </c>
      <c r="BN2" s="10">
        <v>1089</v>
      </c>
      <c r="BP2" s="10">
        <v>1241</v>
      </c>
      <c r="BR2" s="10">
        <v>896</v>
      </c>
      <c r="BT2" s="10">
        <v>368</v>
      </c>
      <c r="BU2" s="10" t="s">
        <v>1718</v>
      </c>
    </row>
    <row r="3" spans="1:73" s="10" customFormat="1" ht="14.25" customHeight="1">
      <c r="A3" s="122">
        <v>2</v>
      </c>
      <c r="B3" s="122" t="s">
        <v>25</v>
      </c>
      <c r="C3" s="120" t="s">
        <v>633</v>
      </c>
      <c r="D3" s="2"/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>
        <v>8237</v>
      </c>
      <c r="Q3" s="2">
        <v>6602</v>
      </c>
      <c r="R3" s="2">
        <v>6614</v>
      </c>
      <c r="S3" s="2">
        <v>9597</v>
      </c>
      <c r="T3" s="156">
        <f t="shared" ref="T3:T4" si="0">S3/($P3)</f>
        <v>1.1651086560641011</v>
      </c>
      <c r="U3" s="2">
        <v>9613</v>
      </c>
      <c r="V3" s="156">
        <f t="shared" ref="V3:V4" si="1">U3/($P3)</f>
        <v>1.1670511108413257</v>
      </c>
      <c r="W3" s="2">
        <v>9485</v>
      </c>
      <c r="X3" s="156">
        <f t="shared" ref="X3:X4" si="2">W3/($P3)</f>
        <v>1.151511472623528</v>
      </c>
      <c r="Y3" s="2">
        <v>10141</v>
      </c>
      <c r="Z3" s="2"/>
      <c r="AA3" s="2">
        <v>6872</v>
      </c>
      <c r="AB3" s="156">
        <f t="shared" ref="AB3:AH4" si="3">AA3/($P3)</f>
        <v>0.83428432681801623</v>
      </c>
      <c r="AC3" s="2">
        <v>7536</v>
      </c>
      <c r="AD3" s="156">
        <f t="shared" si="3"/>
        <v>0.914896200072842</v>
      </c>
      <c r="AE3" s="2">
        <v>7800</v>
      </c>
      <c r="AF3" s="156">
        <f t="shared" si="3"/>
        <v>0.94694670389704994</v>
      </c>
      <c r="AG3" s="2">
        <v>5159</v>
      </c>
      <c r="AH3" s="156">
        <f t="shared" si="3"/>
        <v>0.62632026223139492</v>
      </c>
      <c r="AI3" s="10">
        <v>7061</v>
      </c>
      <c r="AJ3" s="156">
        <f t="shared" ref="AJ3:AJ4" si="4">AI3/($P3)</f>
        <v>0.85722957387398324</v>
      </c>
      <c r="AL3" s="10">
        <v>9112</v>
      </c>
      <c r="AN3" s="10">
        <v>7590</v>
      </c>
      <c r="AP3" s="10">
        <v>7062</v>
      </c>
      <c r="AR3" s="10">
        <v>7161</v>
      </c>
      <c r="AT3" s="10">
        <v>7654</v>
      </c>
      <c r="AV3" s="10">
        <v>9766</v>
      </c>
      <c r="AX3" s="10">
        <v>7294</v>
      </c>
      <c r="AZ3" s="10">
        <v>6707</v>
      </c>
      <c r="BB3" s="10">
        <v>6878</v>
      </c>
      <c r="BD3" s="10">
        <v>6658</v>
      </c>
      <c r="BF3" s="10">
        <v>6862</v>
      </c>
      <c r="BH3" s="10">
        <v>10369</v>
      </c>
      <c r="BJ3" s="10">
        <v>7407</v>
      </c>
      <c r="BL3" s="10">
        <v>11227</v>
      </c>
      <c r="BN3" s="10">
        <v>8134</v>
      </c>
      <c r="BP3" s="10">
        <v>8274</v>
      </c>
      <c r="BR3" s="10">
        <v>7817</v>
      </c>
      <c r="BT3" s="10">
        <v>6391</v>
      </c>
      <c r="BU3" s="10" t="s">
        <v>1718</v>
      </c>
    </row>
    <row r="4" spans="1:73" s="304" customFormat="1" ht="16.5" customHeight="1">
      <c r="A4" s="305">
        <v>3</v>
      </c>
      <c r="B4" s="434" t="s">
        <v>1134</v>
      </c>
      <c r="C4" s="329" t="str">
        <f ca="1">E4</f>
        <v>{"dossier":p.DossierName1,"letzerMonat":"05.2026","grundBFS":"Aufnahme einer Erwerbstätigkeit"}</v>
      </c>
      <c r="D4" s="289" t="s">
        <v>28</v>
      </c>
      <c r="E4" s="289" t="str">
        <f ca="1">F4&amp;G4&amp;H4&amp;I4&amp;J4&amp;K4&amp;L4</f>
        <v>{"dossier":p.DossierName1,"letzerMonat":"05.2026","grundBFS":"Aufnahme einer Erwerbstätigkeit"}</v>
      </c>
      <c r="F4" s="434" t="s">
        <v>159</v>
      </c>
      <c r="G4" s="289" t="s">
        <v>449</v>
      </c>
      <c r="H4" s="331" t="s">
        <v>1135</v>
      </c>
      <c r="I4" s="360" t="str">
        <f ca="1">TEXT(TODAY()+200,"MM")&amp;"."&amp;TEXT(TODAY()+200,"YYYY")</f>
        <v>05.2026</v>
      </c>
      <c r="J4" s="340" t="s">
        <v>1136</v>
      </c>
      <c r="K4" s="341" t="s">
        <v>1137</v>
      </c>
      <c r="L4" s="289" t="s">
        <v>37</v>
      </c>
      <c r="M4" s="289"/>
      <c r="N4" s="289"/>
      <c r="O4" s="289"/>
      <c r="P4" s="289">
        <v>15257</v>
      </c>
      <c r="Q4" s="289">
        <v>15985</v>
      </c>
      <c r="R4" s="289">
        <v>15735</v>
      </c>
      <c r="S4" s="289">
        <v>15270</v>
      </c>
      <c r="T4" s="290">
        <f t="shared" si="0"/>
        <v>1.0008520679032575</v>
      </c>
      <c r="U4" s="289">
        <v>14883</v>
      </c>
      <c r="V4" s="290">
        <f t="shared" si="1"/>
        <v>0.97548666186012978</v>
      </c>
      <c r="W4" s="289">
        <v>14769</v>
      </c>
      <c r="X4" s="290">
        <f t="shared" si="2"/>
        <v>0.96801468178540995</v>
      </c>
      <c r="Y4" s="289">
        <v>9921</v>
      </c>
      <c r="Z4" s="289"/>
      <c r="AA4" s="291">
        <v>8828</v>
      </c>
      <c r="AB4" s="290">
        <f t="shared" si="3"/>
        <v>0.57861964999672277</v>
      </c>
      <c r="AC4" s="291">
        <v>8387</v>
      </c>
      <c r="AD4" s="290">
        <f t="shared" si="3"/>
        <v>0.5497148849708331</v>
      </c>
      <c r="AE4" s="291">
        <v>8547</v>
      </c>
      <c r="AF4" s="290">
        <f t="shared" si="3"/>
        <v>0.56020187454938719</v>
      </c>
      <c r="AG4" s="291">
        <v>8841</v>
      </c>
      <c r="AH4" s="290">
        <f t="shared" si="3"/>
        <v>0.57947171789998031</v>
      </c>
      <c r="AI4" s="304">
        <v>8795</v>
      </c>
      <c r="AJ4" s="290">
        <f t="shared" si="4"/>
        <v>0.57645670839614604</v>
      </c>
      <c r="AL4" s="304">
        <v>11758</v>
      </c>
      <c r="AN4" s="304">
        <v>9343</v>
      </c>
      <c r="AP4" s="304">
        <v>8910</v>
      </c>
      <c r="AR4" s="304">
        <v>8791</v>
      </c>
      <c r="AT4" s="304">
        <v>6186</v>
      </c>
      <c r="AV4" s="304">
        <v>7393</v>
      </c>
      <c r="AX4" s="304">
        <v>7278</v>
      </c>
      <c r="AZ4" s="2223">
        <v>0</v>
      </c>
      <c r="BA4" s="2224" t="s">
        <v>1549</v>
      </c>
      <c r="BB4" s="304">
        <v>14581</v>
      </c>
      <c r="BD4" s="304">
        <v>11182</v>
      </c>
      <c r="BF4" s="304">
        <v>12850</v>
      </c>
      <c r="BH4" s="304">
        <v>9833</v>
      </c>
      <c r="BJ4" s="304">
        <v>10977</v>
      </c>
      <c r="BL4" s="304">
        <v>9455</v>
      </c>
      <c r="BN4" s="304">
        <v>12944</v>
      </c>
      <c r="BP4" s="3646">
        <v>0</v>
      </c>
      <c r="BQ4" s="3647" t="s">
        <v>1549</v>
      </c>
      <c r="BR4" s="304">
        <v>11236</v>
      </c>
      <c r="BT4" s="304">
        <v>11818</v>
      </c>
      <c r="BU4" s="304" t="s">
        <v>1718</v>
      </c>
    </row>
  </sheetData>
  <conditionalFormatting sqref="V2:V136 T2:T136 X2:X136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B2:AB136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D2:AD136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F2:AF136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H2:AH136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J2:AJ136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7030A0"/>
  </sheetPr>
  <dimension ref="A1:CY9"/>
  <sheetViews>
    <sheetView tabSelected="1" zoomScaleNormal="100" workbookViewId="0">
      <pane xSplit="2" ySplit="1" topLeftCell="C2" activePane="bottomRight" state="frozen"/>
      <selection activeCell="B23" sqref="B23"/>
      <selection pane="topRight" activeCell="B23" sqref="B23"/>
      <selection pane="bottomLeft" activeCell="B23" sqref="B23"/>
      <selection pane="bottomRight" activeCell="C9" sqref="C9"/>
    </sheetView>
  </sheetViews>
  <sheetFormatPr defaultColWidth="9.140625" defaultRowHeight="14.25" customHeight="1"/>
  <cols>
    <col min="1" max="1" width="4.85546875" style="1" customWidth="1"/>
    <col min="2" max="2" width="37.28515625" style="2" customWidth="1"/>
    <col min="3" max="3" width="162.42578125" style="2" customWidth="1"/>
    <col min="4" max="4" width="9.140625" style="2" customWidth="1"/>
    <col min="5" max="5" width="17" style="3" customWidth="1"/>
    <col min="6" max="6" width="18.85546875" style="2" customWidth="1"/>
    <col min="7" max="8" width="26.85546875" style="2" customWidth="1"/>
    <col min="9" max="9" width="9.85546875" style="2" customWidth="1"/>
    <col min="10" max="10" width="10.85546875" style="2" customWidth="1"/>
    <col min="11" max="11" width="18.140625" style="2" customWidth="1"/>
    <col min="12" max="12" width="9.140625" style="2" customWidth="1"/>
    <col min="13" max="13" width="10.7109375" style="2" customWidth="1"/>
    <col min="14" max="14" width="9.140625" style="2" customWidth="1"/>
    <col min="15" max="15" width="22.5703125" style="2" customWidth="1"/>
    <col min="16" max="16" width="13.5703125" style="2" customWidth="1"/>
    <col min="17" max="17" width="24.5703125" style="2" customWidth="1"/>
    <col min="18" max="20" width="9.140625" style="2" customWidth="1"/>
    <col min="21" max="33" width="9.140625" style="2" hidden="1" customWidth="1"/>
    <col min="34" max="34" width="9.140625" style="2" customWidth="1"/>
    <col min="35" max="39" width="30" style="2" customWidth="1"/>
    <col min="40" max="40" width="9.140625" style="12" customWidth="1"/>
    <col min="41" max="41" width="9.140625" style="2" customWidth="1"/>
    <col min="42" max="42" width="9.140625" style="12" customWidth="1"/>
    <col min="43" max="43" width="9.140625" style="2" customWidth="1"/>
    <col min="44" max="44" width="9.140625" style="12" customWidth="1"/>
    <col min="45" max="45" width="9.140625" style="2" customWidth="1"/>
    <col min="46" max="46" width="9.140625" style="12" customWidth="1"/>
    <col min="47" max="47" width="9.140625" style="2" customWidth="1"/>
    <col min="48" max="48" width="9.140625" style="12" customWidth="1"/>
    <col min="49" max="49" width="9.140625" style="2" customWidth="1"/>
    <col min="50" max="50" width="9.140625" style="12" customWidth="1"/>
    <col min="51" max="51" width="9.140625" style="2" customWidth="1"/>
    <col min="52" max="52" width="9.140625" style="12" customWidth="1"/>
    <col min="53" max="53" width="20" style="2" customWidth="1"/>
    <col min="54" max="54" width="50" style="2" customWidth="1"/>
    <col min="55" max="55" width="20" style="2" customWidth="1"/>
    <col min="56" max="56" width="50" style="2" customWidth="1"/>
    <col min="57" max="57" width="20" style="2" customWidth="1"/>
    <col min="58" max="58" width="50" style="2" customWidth="1"/>
    <col min="59" max="59" width="20" style="2" customWidth="1"/>
    <col min="60" max="60" width="50" style="2" customWidth="1"/>
    <col min="61" max="61" width="20" style="2" customWidth="1"/>
    <col min="62" max="62" width="50" style="2" customWidth="1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16384" width="9.140625" style="2"/>
  </cols>
  <sheetData>
    <row r="1" spans="1:103" ht="17.25" customHeight="1">
      <c r="A1" s="5" t="s">
        <v>0</v>
      </c>
      <c r="B1" s="5" t="s">
        <v>1</v>
      </c>
      <c r="C1" s="5" t="s">
        <v>2</v>
      </c>
      <c r="D1" s="5" t="s">
        <v>3</v>
      </c>
      <c r="E1" s="6"/>
      <c r="F1" s="2" t="s">
        <v>4</v>
      </c>
      <c r="G1" s="2558">
        <f>2*60*1000*SpeedFaktor</f>
        <v>120000</v>
      </c>
      <c r="H1" s="2">
        <v>10</v>
      </c>
      <c r="AH1" s="2" t="s">
        <v>5</v>
      </c>
      <c r="AI1" s="2" t="s">
        <v>658</v>
      </c>
      <c r="AJ1" s="2" t="s">
        <v>10</v>
      </c>
      <c r="AK1" s="2" t="s">
        <v>11</v>
      </c>
      <c r="AL1" s="2" t="s">
        <v>12</v>
      </c>
      <c r="AM1" s="2" t="s">
        <v>13</v>
      </c>
      <c r="AN1" s="763" t="s">
        <v>8</v>
      </c>
      <c r="AO1" s="764" t="s">
        <v>65</v>
      </c>
      <c r="AP1" s="763" t="s">
        <v>8</v>
      </c>
      <c r="AQ1" s="764" t="s">
        <v>15</v>
      </c>
      <c r="AR1" s="763" t="s">
        <v>8</v>
      </c>
      <c r="AS1" s="764" t="s">
        <v>17</v>
      </c>
      <c r="AT1" s="763" t="s">
        <v>8</v>
      </c>
      <c r="AU1" s="764" t="s">
        <v>1285</v>
      </c>
      <c r="AV1" s="763" t="s">
        <v>8</v>
      </c>
      <c r="AW1" s="764" t="s">
        <v>1286</v>
      </c>
      <c r="AX1" s="763" t="s">
        <v>8</v>
      </c>
      <c r="AY1" s="785" t="s">
        <v>1303</v>
      </c>
      <c r="AZ1" s="763" t="s">
        <v>8</v>
      </c>
      <c r="BA1" s="910" t="s">
        <v>1317</v>
      </c>
      <c r="BB1" s="911" t="s">
        <v>572</v>
      </c>
      <c r="BC1" s="1034" t="s">
        <v>1318</v>
      </c>
      <c r="BD1" s="1035" t="s">
        <v>572</v>
      </c>
      <c r="BE1" s="1179" t="s">
        <v>1324</v>
      </c>
      <c r="BF1" s="1180" t="s">
        <v>572</v>
      </c>
      <c r="BG1" s="1384" t="s">
        <v>1341</v>
      </c>
      <c r="BH1" s="1385" t="s">
        <v>572</v>
      </c>
      <c r="BI1" s="1637" t="s">
        <v>1363</v>
      </c>
      <c r="BJ1" s="1638" t="s">
        <v>572</v>
      </c>
      <c r="BK1" s="1778" t="s">
        <v>1368</v>
      </c>
      <c r="BL1" s="1779" t="s">
        <v>572</v>
      </c>
      <c r="BM1" s="1919" t="s">
        <v>1372</v>
      </c>
      <c r="BN1" s="1920" t="s">
        <v>572</v>
      </c>
      <c r="BO1" s="2225" t="s">
        <v>1397</v>
      </c>
      <c r="BP1" s="2226" t="s">
        <v>572</v>
      </c>
      <c r="BQ1" s="2392" t="s">
        <v>1421</v>
      </c>
      <c r="BR1" s="2393" t="s">
        <v>572</v>
      </c>
      <c r="BS1" s="2548" t="s">
        <v>1434</v>
      </c>
      <c r="BT1" s="2549" t="s">
        <v>572</v>
      </c>
      <c r="BU1" s="2715" t="s">
        <v>1442</v>
      </c>
      <c r="BV1" s="2716" t="s">
        <v>572</v>
      </c>
      <c r="BW1" s="2900" t="s">
        <v>1460</v>
      </c>
      <c r="BX1" s="2901" t="s">
        <v>572</v>
      </c>
      <c r="BY1" s="3088" t="s">
        <v>1472</v>
      </c>
      <c r="BZ1" s="3089" t="s">
        <v>572</v>
      </c>
      <c r="CA1" s="3272" t="s">
        <v>1492</v>
      </c>
      <c r="CB1" s="3273" t="s">
        <v>572</v>
      </c>
      <c r="CC1" s="3442" t="s">
        <v>1503</v>
      </c>
      <c r="CD1" s="3443" t="s">
        <v>572</v>
      </c>
      <c r="CE1" s="3648" t="s">
        <v>1519</v>
      </c>
      <c r="CF1" s="3649" t="s">
        <v>572</v>
      </c>
      <c r="CG1" s="3946" t="s">
        <v>1666</v>
      </c>
      <c r="CH1" s="3947" t="s">
        <v>572</v>
      </c>
      <c r="CI1" s="4163" t="s">
        <v>1717</v>
      </c>
      <c r="CJ1" s="4164" t="s">
        <v>572</v>
      </c>
    </row>
    <row r="2" spans="1:103" s="10" customFormat="1" ht="14.25" customHeight="1">
      <c r="A2" s="122">
        <v>1</v>
      </c>
      <c r="B2" s="122" t="s">
        <v>21</v>
      </c>
      <c r="C2" s="120" t="str">
        <f>'001a'!B59</f>
        <v>{"url":p.aventisURL}</v>
      </c>
      <c r="D2" s="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>
        <v>2188</v>
      </c>
      <c r="AJ2" s="2">
        <v>1487</v>
      </c>
      <c r="AK2" s="2">
        <v>1689</v>
      </c>
      <c r="AL2" s="2">
        <v>1568</v>
      </c>
      <c r="AM2" s="2">
        <v>1636</v>
      </c>
      <c r="AN2" s="156">
        <f>AM2/($AI2)</f>
        <v>0.74771480804387569</v>
      </c>
      <c r="AO2" s="2">
        <v>1474</v>
      </c>
      <c r="AP2" s="156">
        <f>AO2/($AI2)</f>
        <v>0.67367458866544794</v>
      </c>
      <c r="AQ2" s="2">
        <v>1374</v>
      </c>
      <c r="AR2" s="156">
        <f>AQ2/($AI2)</f>
        <v>0.62797074954296161</v>
      </c>
      <c r="AS2" s="2">
        <v>1340</v>
      </c>
      <c r="AT2" s="156">
        <f>AS2/($AI2)</f>
        <v>0.61243144424131624</v>
      </c>
      <c r="AU2" s="2">
        <v>1080</v>
      </c>
      <c r="AV2" s="156">
        <f>AU2/($AI2)</f>
        <v>0.49360146252285192</v>
      </c>
      <c r="AW2" s="2">
        <v>623</v>
      </c>
      <c r="AX2" s="156">
        <f>AW2/($AI2)</f>
        <v>0.28473491773308957</v>
      </c>
      <c r="AY2" s="10">
        <v>1133</v>
      </c>
      <c r="AZ2" s="156">
        <f>AY2/($AI2)</f>
        <v>0.51782449725776969</v>
      </c>
      <c r="BA2" s="10">
        <v>1490</v>
      </c>
      <c r="BC2" s="10">
        <v>1158</v>
      </c>
      <c r="BE2" s="10">
        <v>1245</v>
      </c>
      <c r="BG2" s="10">
        <v>1162</v>
      </c>
      <c r="BI2" s="10">
        <v>1212</v>
      </c>
      <c r="BK2" s="10">
        <v>1074</v>
      </c>
      <c r="BM2" s="10">
        <v>1225</v>
      </c>
      <c r="BO2" s="10">
        <v>1661</v>
      </c>
      <c r="BQ2" s="10">
        <v>1605</v>
      </c>
      <c r="BS2" s="10">
        <v>1513</v>
      </c>
      <c r="BU2" s="10">
        <v>1250</v>
      </c>
      <c r="BW2" s="10">
        <v>1159</v>
      </c>
      <c r="BY2" s="10">
        <v>1645</v>
      </c>
      <c r="CA2" s="10">
        <v>1176</v>
      </c>
      <c r="CC2" s="10">
        <v>1214</v>
      </c>
      <c r="CE2" s="10">
        <v>962</v>
      </c>
      <c r="CG2" s="10">
        <v>882</v>
      </c>
      <c r="CI2" s="10">
        <v>503</v>
      </c>
      <c r="CJ2" s="10" t="s">
        <v>1718</v>
      </c>
    </row>
    <row r="3" spans="1:103" s="10" customFormat="1" ht="15.75" customHeight="1" thickBot="1">
      <c r="A3" s="119">
        <v>4</v>
      </c>
      <c r="B3" s="120" t="s">
        <v>25</v>
      </c>
      <c r="C3" s="121" t="str">
        <f>E3</f>
        <v>{"username":"Bern.Buchhalter@diartis.ch","password":"HBcc73+ppTX42?E.","fullname":"","team":""}</v>
      </c>
      <c r="D3" s="2"/>
      <c r="E3" s="12" t="str">
        <f>F3&amp;G3&amp;H3&amp;I3&amp;J3&amp;K3&amp;L3&amp;M3&amp;N3&amp;O3&amp;P3&amp;Q3&amp;R3&amp;S3&amp;T3&amp;U3&amp;V3&amp;W3&amp;AA3</f>
        <v>{"username":"Bern.Buchhalter@diartis.ch","password":"HBcc73+ppTX42?E.","fullname":"","team":""}</v>
      </c>
      <c r="F3" s="609" t="s">
        <v>29</v>
      </c>
      <c r="G3" s="611" t="s">
        <v>219</v>
      </c>
      <c r="H3" s="609" t="s">
        <v>31</v>
      </c>
      <c r="I3" s="611" t="s">
        <v>220</v>
      </c>
      <c r="J3" s="609" t="s">
        <v>73</v>
      </c>
      <c r="K3" s="611"/>
      <c r="L3" s="609" t="s">
        <v>75</v>
      </c>
      <c r="M3" s="611"/>
      <c r="N3" s="609" t="s">
        <v>37</v>
      </c>
      <c r="O3" s="611"/>
      <c r="P3" s="609"/>
      <c r="Q3" s="611"/>
      <c r="R3" s="609"/>
      <c r="S3" s="611"/>
      <c r="T3" s="609"/>
      <c r="U3" s="611"/>
      <c r="V3" s="609"/>
      <c r="W3" s="611"/>
      <c r="X3" s="2"/>
      <c r="Y3" s="2"/>
      <c r="Z3" s="2"/>
      <c r="AA3" s="2"/>
      <c r="AB3" s="3"/>
      <c r="AC3" s="3">
        <v>10455</v>
      </c>
      <c r="AD3" s="2"/>
      <c r="AE3" s="2"/>
      <c r="AF3" s="3">
        <v>9437</v>
      </c>
      <c r="AG3" s="165">
        <f t="shared" ref="AG3:AI4" si="0">AF3/($AC3)</f>
        <v>0.90263032042085123</v>
      </c>
      <c r="AH3" s="3">
        <v>10198</v>
      </c>
      <c r="AI3" s="165">
        <f t="shared" si="0"/>
        <v>0.97541846006695365</v>
      </c>
      <c r="AJ3" s="3">
        <v>9584</v>
      </c>
      <c r="AK3" s="165">
        <f t="shared" ref="AK3:AQ4" si="1">AJ3/($AC3)</f>
        <v>0.91669057867049264</v>
      </c>
      <c r="AL3" s="2">
        <v>9145</v>
      </c>
      <c r="AM3" s="165">
        <f t="shared" si="1"/>
        <v>0.87470109995217604</v>
      </c>
      <c r="AN3" s="2">
        <v>9426</v>
      </c>
      <c r="AO3" s="165">
        <f t="shared" si="1"/>
        <v>0.90157819225251079</v>
      </c>
      <c r="AP3" s="2">
        <v>9405</v>
      </c>
      <c r="AQ3" s="165">
        <f t="shared" si="1"/>
        <v>0.8995695839311334</v>
      </c>
      <c r="AR3" s="2">
        <v>7165</v>
      </c>
      <c r="AS3" s="165">
        <f t="shared" ref="AS3:AW4" si="2">AR3/($AC3)</f>
        <v>0.68531802965088473</v>
      </c>
      <c r="AT3" s="2">
        <v>6841</v>
      </c>
      <c r="AU3" s="165">
        <f t="shared" si="2"/>
        <v>0.6543280726924916</v>
      </c>
      <c r="AV3" s="2">
        <v>4376</v>
      </c>
      <c r="AW3" s="165">
        <f t="shared" si="2"/>
        <v>0.41855571496891442</v>
      </c>
      <c r="AY3" s="10">
        <v>7472</v>
      </c>
      <c r="AZ3" s="165">
        <f t="shared" ref="AZ3:BB4" si="3">AY3/($AC3)</f>
        <v>0.71468197034911529</v>
      </c>
      <c r="BA3" s="10">
        <v>7456</v>
      </c>
      <c r="BB3" s="165">
        <f t="shared" si="3"/>
        <v>0.71315160210425632</v>
      </c>
      <c r="BC3" s="10">
        <v>7251</v>
      </c>
      <c r="BE3" s="10">
        <v>7698</v>
      </c>
      <c r="BG3" s="10">
        <v>7010</v>
      </c>
      <c r="BI3" s="10">
        <v>6734</v>
      </c>
      <c r="BK3" s="10">
        <v>7434</v>
      </c>
      <c r="BM3" s="10">
        <v>7104</v>
      </c>
      <c r="BO3" s="10">
        <v>6624</v>
      </c>
      <c r="BQ3" s="10">
        <v>6584</v>
      </c>
      <c r="BS3" s="10">
        <v>6985</v>
      </c>
      <c r="BU3" s="10">
        <v>7091</v>
      </c>
      <c r="BW3" s="10">
        <v>6506</v>
      </c>
      <c r="BY3" s="10">
        <v>7465</v>
      </c>
      <c r="CC3" s="10">
        <v>7064</v>
      </c>
      <c r="CE3" s="10">
        <v>10638</v>
      </c>
      <c r="CG3" s="10">
        <v>9162</v>
      </c>
      <c r="CI3" s="10">
        <v>7045</v>
      </c>
      <c r="CJ3" s="10" t="s">
        <v>1718</v>
      </c>
      <c r="CK3" s="10">
        <v>6443</v>
      </c>
      <c r="CM3" s="10">
        <v>5962</v>
      </c>
      <c r="CO3" s="10">
        <v>6982</v>
      </c>
      <c r="CQ3" s="10">
        <v>8452</v>
      </c>
      <c r="CS3" s="10">
        <v>8377</v>
      </c>
      <c r="CU3" s="10">
        <v>10903</v>
      </c>
      <c r="CW3" s="10">
        <v>7782</v>
      </c>
      <c r="CY3" s="10">
        <v>7783</v>
      </c>
    </row>
    <row r="4" spans="1:103" s="53" customFormat="1" ht="15.75" customHeight="1" thickBot="1">
      <c r="A4" s="119">
        <v>3</v>
      </c>
      <c r="B4" s="591" t="s">
        <v>22</v>
      </c>
      <c r="C4" s="1205" t="s">
        <v>23</v>
      </c>
      <c r="D4" s="2"/>
      <c r="E4" s="543"/>
      <c r="F4" s="624"/>
      <c r="G4" s="652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U4" s="611"/>
      <c r="V4" s="611"/>
      <c r="W4" s="611"/>
      <c r="X4" s="2"/>
      <c r="Y4" s="2"/>
      <c r="Z4" s="2"/>
      <c r="AA4" s="2"/>
      <c r="AB4" s="3"/>
      <c r="AC4" s="3">
        <v>618</v>
      </c>
      <c r="AD4" s="2"/>
      <c r="AE4" s="10" t="s">
        <v>24</v>
      </c>
      <c r="AF4" s="3">
        <v>419</v>
      </c>
      <c r="AG4" s="165">
        <f t="shared" si="0"/>
        <v>0.67799352750809061</v>
      </c>
      <c r="AH4" s="3">
        <v>421</v>
      </c>
      <c r="AI4" s="165">
        <f t="shared" si="0"/>
        <v>0.68122977346278313</v>
      </c>
      <c r="AJ4" s="3">
        <v>429</v>
      </c>
      <c r="AK4" s="165">
        <f t="shared" si="1"/>
        <v>0.69417475728155342</v>
      </c>
      <c r="AL4" s="2">
        <v>428</v>
      </c>
      <c r="AM4" s="165">
        <f t="shared" si="1"/>
        <v>0.69255663430420711</v>
      </c>
      <c r="AN4" s="2">
        <v>416</v>
      </c>
      <c r="AO4" s="165">
        <f t="shared" si="1"/>
        <v>0.67313915857605178</v>
      </c>
      <c r="AP4" s="2">
        <v>423</v>
      </c>
      <c r="AQ4" s="165">
        <f t="shared" si="1"/>
        <v>0.68446601941747576</v>
      </c>
      <c r="AR4" s="2">
        <v>406</v>
      </c>
      <c r="AS4" s="165">
        <f t="shared" si="2"/>
        <v>0.65695792880258896</v>
      </c>
      <c r="AT4" s="2">
        <v>418</v>
      </c>
      <c r="AU4" s="165">
        <f t="shared" si="2"/>
        <v>0.6763754045307443</v>
      </c>
      <c r="AV4" s="2">
        <v>413</v>
      </c>
      <c r="AW4" s="165">
        <f t="shared" si="2"/>
        <v>0.66828478964401294</v>
      </c>
      <c r="AY4" s="53">
        <v>426</v>
      </c>
      <c r="AZ4" s="165">
        <f t="shared" si="3"/>
        <v>0.68932038834951459</v>
      </c>
      <c r="BA4" s="53">
        <v>424</v>
      </c>
      <c r="BB4" s="165">
        <f t="shared" si="3"/>
        <v>0.68608414239482196</v>
      </c>
      <c r="BC4" s="53">
        <v>427</v>
      </c>
      <c r="BE4" s="53">
        <v>439</v>
      </c>
      <c r="BG4" s="53">
        <v>421</v>
      </c>
      <c r="BI4" s="53">
        <v>424</v>
      </c>
      <c r="BK4" s="53">
        <v>423</v>
      </c>
      <c r="BM4" s="53">
        <v>431</v>
      </c>
      <c r="BO4" s="53">
        <v>433</v>
      </c>
      <c r="BQ4" s="53">
        <v>418</v>
      </c>
      <c r="BS4" s="53">
        <v>419</v>
      </c>
      <c r="BU4" s="53">
        <v>422</v>
      </c>
      <c r="BW4" s="53">
        <v>429</v>
      </c>
      <c r="BY4" s="53">
        <v>422</v>
      </c>
      <c r="CA4" s="53">
        <v>338</v>
      </c>
      <c r="CC4" s="53">
        <v>417</v>
      </c>
      <c r="CE4" s="53">
        <v>421</v>
      </c>
      <c r="CG4" s="53">
        <v>4008</v>
      </c>
      <c r="CI4" s="53">
        <v>4017</v>
      </c>
      <c r="CJ4" s="53" t="s">
        <v>1718</v>
      </c>
      <c r="CK4" s="53">
        <v>425</v>
      </c>
      <c r="CM4" s="53">
        <v>432</v>
      </c>
      <c r="CO4" s="53">
        <v>426</v>
      </c>
      <c r="CQ4" s="53">
        <v>429</v>
      </c>
      <c r="CS4" s="53">
        <v>422</v>
      </c>
      <c r="CU4" s="53">
        <v>441</v>
      </c>
      <c r="CW4" s="53">
        <v>434</v>
      </c>
      <c r="CY4" s="53">
        <v>432</v>
      </c>
    </row>
    <row r="5" spans="1:103" s="10" customFormat="1" ht="21.75" customHeight="1" thickBot="1">
      <c r="A5" s="187">
        <v>4</v>
      </c>
      <c r="B5" s="240" t="s">
        <v>229</v>
      </c>
      <c r="C5" s="24" t="str">
        <f>E5</f>
        <v>{"dossier":p.DossierName3,"ausgefuehrteZahlungen":"3"}</v>
      </c>
      <c r="D5" s="187" t="s">
        <v>28</v>
      </c>
      <c r="E5" s="187" t="str">
        <f>F5&amp;G5&amp;H5&amp;I5&amp;J5&amp;K5&amp;L5&amp;M5&amp;N5&amp;O5&amp;P5&amp;Q5&amp;R5&amp;S5&amp;T5&amp;U5&amp;V5&amp;W5</f>
        <v>{"dossier":p.DossierName3,"ausgefuehrteZahlungen":"3"}</v>
      </c>
      <c r="F5" s="24" t="s">
        <v>159</v>
      </c>
      <c r="G5" s="435" t="s">
        <v>321</v>
      </c>
      <c r="H5" s="24" t="s">
        <v>230</v>
      </c>
      <c r="I5" s="347">
        <v>3</v>
      </c>
      <c r="J5" s="24" t="s">
        <v>37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 t="s">
        <v>37</v>
      </c>
      <c r="AE5" s="24"/>
      <c r="AF5" s="24"/>
      <c r="AG5" s="24"/>
      <c r="AH5" s="24"/>
      <c r="AI5" s="231">
        <v>16036</v>
      </c>
      <c r="AJ5" s="24">
        <v>0</v>
      </c>
      <c r="AK5" s="24">
        <v>0</v>
      </c>
      <c r="AL5" s="24">
        <v>0</v>
      </c>
      <c r="AM5" s="24">
        <v>14010</v>
      </c>
      <c r="AN5" s="156">
        <f t="shared" ref="AN5:AZ5" si="4">AM5/($AI5)</f>
        <v>0.87365926665003746</v>
      </c>
      <c r="AO5" s="24">
        <v>8385</v>
      </c>
      <c r="AP5" s="156">
        <f t="shared" si="4"/>
        <v>0.52288600648540784</v>
      </c>
      <c r="AQ5" s="2">
        <v>7888</v>
      </c>
      <c r="AR5" s="156">
        <f t="shared" si="4"/>
        <v>0.49189324020952857</v>
      </c>
      <c r="AS5" s="2">
        <v>0</v>
      </c>
      <c r="AT5" s="156">
        <f t="shared" si="4"/>
        <v>0</v>
      </c>
      <c r="AU5" s="2">
        <v>7155</v>
      </c>
      <c r="AV5" s="156">
        <f t="shared" si="4"/>
        <v>0.44618358692940885</v>
      </c>
      <c r="AW5" s="2">
        <v>6975</v>
      </c>
      <c r="AX5" s="156">
        <f t="shared" si="4"/>
        <v>0.43495884260414069</v>
      </c>
      <c r="AY5" s="10">
        <v>6480</v>
      </c>
      <c r="AZ5" s="156">
        <f t="shared" si="4"/>
        <v>0.40409079570965328</v>
      </c>
      <c r="BA5" s="10">
        <v>8682</v>
      </c>
      <c r="BC5" s="10">
        <v>6927</v>
      </c>
      <c r="BE5" s="10">
        <v>7190</v>
      </c>
      <c r="BG5" s="10">
        <v>7293</v>
      </c>
      <c r="BI5" s="10">
        <v>4901</v>
      </c>
      <c r="BK5" s="10">
        <v>5156</v>
      </c>
      <c r="BM5" s="10">
        <v>4032</v>
      </c>
      <c r="BO5" s="2227">
        <v>0</v>
      </c>
      <c r="BP5" s="2228" t="s">
        <v>1490</v>
      </c>
      <c r="BQ5" s="2394">
        <v>0</v>
      </c>
      <c r="BR5" s="2395" t="s">
        <v>1490</v>
      </c>
      <c r="BS5" s="2550">
        <v>0</v>
      </c>
      <c r="BT5" s="2551" t="s">
        <v>1490</v>
      </c>
      <c r="BU5" s="10">
        <v>7316</v>
      </c>
      <c r="BW5" s="10">
        <v>7970</v>
      </c>
      <c r="BY5" s="3090">
        <v>0</v>
      </c>
      <c r="BZ5" s="3091" t="s">
        <v>1490</v>
      </c>
      <c r="CA5" s="10">
        <v>6894</v>
      </c>
      <c r="CC5" s="10">
        <v>6472</v>
      </c>
      <c r="CE5" s="10">
        <v>7530</v>
      </c>
      <c r="CG5" s="3948">
        <v>0</v>
      </c>
      <c r="CH5" s="3949" t="s">
        <v>1694</v>
      </c>
      <c r="CI5" s="4165">
        <v>0</v>
      </c>
      <c r="CJ5" s="4166" t="s">
        <v>1743</v>
      </c>
    </row>
    <row r="6" spans="1:103">
      <c r="AN6" s="2"/>
      <c r="AP6" s="2"/>
      <c r="AR6" s="2"/>
      <c r="AT6" s="2"/>
      <c r="AV6" s="2"/>
      <c r="AX6" s="2"/>
      <c r="AZ6" s="2"/>
    </row>
    <row r="7" spans="1:103">
      <c r="C7" s="2" t="s">
        <v>1138</v>
      </c>
      <c r="AN7" s="2"/>
      <c r="AP7" s="2"/>
      <c r="AR7" s="2"/>
      <c r="AT7" s="2"/>
      <c r="AV7" s="2"/>
      <c r="AX7" s="2"/>
      <c r="AZ7" s="2"/>
    </row>
    <row r="9" spans="1:103" ht="14.25" customHeight="1">
      <c r="C9" s="347" t="s">
        <v>1768</v>
      </c>
    </row>
  </sheetData>
  <conditionalFormatting sqref="AG3 AI3 AK3 AM3 AO3 AQ3 AS3">
    <cfRule type="colorScale" priority="10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G4 AI4 AK4 AM4 AO4 AQ4 AS4">
    <cfRule type="colorScale" priority="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N2 AP2 AR2 AR5:AR136 AP5:AP136 AN5:AN136">
    <cfRule type="colorScale" priority="1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T5:AT136 AT2">
    <cfRule type="colorScale" priority="1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U3">
    <cfRule type="colorScale" priority="9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U4">
    <cfRule type="colorScale" priority="4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V5:AV136 AV2">
    <cfRule type="colorScale" priority="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W3">
    <cfRule type="colorScale" priority="8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W4">
    <cfRule type="colorScale" priority="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X5:AX136 AX2">
    <cfRule type="colorScale" priority="1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3">
    <cfRule type="colorScale" priority="7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4">
    <cfRule type="colorScale" priority="2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Z5:AZ136 AZ2">
    <cfRule type="colorScale" priority="1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3">
    <cfRule type="colorScale" priority="6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BB4">
    <cfRule type="colorScale" priority="1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FF0000"/>
  </sheetPr>
  <dimension ref="A1:CT98"/>
  <sheetViews>
    <sheetView zoomScale="70" zoomScaleNormal="70" workbookViewId="0">
      <pane xSplit="2" ySplit="1" topLeftCell="C2" activePane="bottomRight" state="frozen"/>
      <selection activeCell="B23" sqref="B23"/>
      <selection pane="topRight" activeCell="B23" sqref="B23"/>
      <selection pane="bottomLeft" activeCell="B23" sqref="B23"/>
      <selection pane="bottomRight" activeCell="G59" sqref="G59"/>
    </sheetView>
  </sheetViews>
  <sheetFormatPr defaultColWidth="9.140625" defaultRowHeight="15.75" customHeight="1"/>
  <cols>
    <col min="1" max="1" width="9.140625" style="1" customWidth="1"/>
    <col min="2" max="2" width="89.85546875" style="2" customWidth="1"/>
    <col min="3" max="3" width="96.7109375" style="12" customWidth="1"/>
    <col min="4" max="4" width="7.140625" style="2" customWidth="1"/>
    <col min="5" max="5" width="9.7109375" style="12" customWidth="1"/>
    <col min="6" max="6" width="30" style="35" customWidth="1"/>
    <col min="7" max="7" width="47.5703125" style="2" customWidth="1"/>
    <col min="8" max="8" width="22" style="35" customWidth="1"/>
    <col min="9" max="9" width="36.28515625" style="2" customWidth="1"/>
    <col min="10" max="10" width="10.5703125" style="35" customWidth="1"/>
    <col min="11" max="11" width="23.5703125" style="2" customWidth="1"/>
    <col min="12" max="12" width="9.28515625" style="35" customWidth="1"/>
    <col min="13" max="13" width="24.42578125" style="2" customWidth="1"/>
    <col min="14" max="14" width="9.140625" style="35" customWidth="1"/>
    <col min="15" max="15" width="40.42578125" style="2" customWidth="1"/>
    <col min="16" max="16" width="9.140625" style="35" customWidth="1"/>
    <col min="17" max="17" width="16.140625" style="2" customWidth="1"/>
    <col min="18" max="18" width="9.140625" style="35" customWidth="1"/>
    <col min="19" max="19" width="9.140625" style="2" customWidth="1"/>
    <col min="20" max="20" width="9.140625" style="35" customWidth="1"/>
    <col min="21" max="21" width="9.140625" style="2" customWidth="1"/>
    <col min="22" max="22" width="9.140625" style="35" customWidth="1"/>
    <col min="23" max="25" width="9.140625" style="2" customWidth="1"/>
    <col min="26" max="26" width="13" style="2" customWidth="1"/>
    <col min="27" max="30" width="9.140625" style="2" customWidth="1"/>
    <col min="31" max="31" width="12" style="4" customWidth="1"/>
    <col min="32" max="32" width="6.28515625" style="4" customWidth="1"/>
    <col min="33" max="33" width="22.7109375" style="2" customWidth="1"/>
    <col min="34" max="34" width="12.7109375" style="2" customWidth="1"/>
    <col min="35" max="35" width="9.140625" style="4" customWidth="1"/>
    <col min="36" max="36" width="12" style="2" customWidth="1"/>
    <col min="37" max="37" width="9.140625" style="4" customWidth="1"/>
    <col min="38" max="38" width="12.28515625" style="2" customWidth="1"/>
    <col min="39" max="39" width="9.140625" style="4" customWidth="1"/>
    <col min="40" max="40" width="12.7109375" style="2" customWidth="1"/>
    <col min="41" max="41" width="9.140625" style="4" customWidth="1"/>
    <col min="42" max="42" width="15.28515625" style="2" customWidth="1"/>
    <col min="43" max="43" width="9.140625" style="4" customWidth="1"/>
    <col min="44" max="44" width="15.28515625" style="2" customWidth="1"/>
    <col min="45" max="45" width="15.28515625" style="4" customWidth="1"/>
    <col min="46" max="46" width="15.28515625" style="2" customWidth="1"/>
    <col min="47" max="47" width="15.28515625" style="4" customWidth="1"/>
    <col min="48" max="48" width="15.28515625" style="2" customWidth="1"/>
    <col min="49" max="49" width="15.28515625" style="4" customWidth="1"/>
    <col min="50" max="50" width="15.28515625" style="2" customWidth="1"/>
    <col min="51" max="51" width="15.28515625" style="4" customWidth="1"/>
    <col min="52" max="52" width="15.28515625" style="2" customWidth="1"/>
    <col min="53" max="53" width="15.28515625" style="4" customWidth="1"/>
    <col min="54" max="54" width="15.28515625" style="2" customWidth="1"/>
    <col min="55" max="55" width="15.28515625" style="4" customWidth="1"/>
    <col min="56" max="56" width="15.28515625" style="2" customWidth="1"/>
    <col min="57" max="57" width="15.28515625" style="4" customWidth="1"/>
    <col min="58" max="58" width="15.28515625" style="2" customWidth="1"/>
    <col min="59" max="59" width="15.28515625" style="4" customWidth="1"/>
    <col min="60" max="60" width="15.28515625" style="2" customWidth="1"/>
    <col min="61" max="61" width="15.28515625" style="4" customWidth="1"/>
    <col min="62" max="62" width="9.140625" style="2"/>
    <col min="63" max="63" width="20" style="2" customWidth="1"/>
    <col min="64" max="64" width="50" style="2" customWidth="1"/>
    <col min="65" max="65" width="20" style="2" customWidth="1"/>
    <col min="66" max="66" width="50" style="2" customWidth="1"/>
    <col min="67" max="67" width="20" style="2" customWidth="1"/>
    <col min="68" max="68" width="50" style="2" customWidth="1"/>
    <col min="69" max="69" width="20" style="2" customWidth="1"/>
    <col min="70" max="70" width="50" style="2" customWidth="1"/>
    <col min="71" max="71" width="20" style="2" customWidth="1"/>
    <col min="72" max="72" width="50" style="2" customWidth="1"/>
    <col min="73" max="73" width="20" style="2" customWidth="1"/>
    <col min="74" max="74" width="50" style="2" customWidth="1"/>
    <col min="75" max="75" width="20" style="2" customWidth="1"/>
    <col min="76" max="76" width="50" style="2" customWidth="1"/>
    <col min="77" max="77" width="20" style="2" customWidth="1"/>
    <col min="78" max="78" width="50" style="2" customWidth="1"/>
    <col min="79" max="79" width="20" style="2" customWidth="1"/>
    <col min="80" max="80" width="50" style="2" customWidth="1"/>
    <col min="81" max="81" width="20" style="2" customWidth="1"/>
    <col min="82" max="82" width="50" style="2" customWidth="1"/>
    <col min="83" max="83" width="20" style="2" customWidth="1"/>
    <col min="84" max="84" width="50" style="2" customWidth="1"/>
    <col min="85" max="85" width="20" style="2" customWidth="1"/>
    <col min="86" max="86" width="50" style="2" customWidth="1"/>
    <col min="87" max="87" width="20" style="2" customWidth="1"/>
    <col min="88" max="88" width="50" style="2" customWidth="1"/>
    <col min="89" max="89" width="20" style="2" customWidth="1"/>
    <col min="90" max="90" width="50" style="2" customWidth="1"/>
    <col min="91" max="91" width="20" style="2" customWidth="1"/>
    <col min="92" max="92" width="50" style="2" customWidth="1"/>
    <col min="93" max="93" width="20" style="2" customWidth="1"/>
    <col min="94" max="94" width="50" style="2" customWidth="1"/>
    <col min="95" max="95" width="20" style="2" customWidth="1"/>
    <col min="96" max="96" width="50" style="2" customWidth="1"/>
    <col min="97" max="97" width="20" style="2" customWidth="1"/>
    <col min="98" max="98" width="50" style="2" customWidth="1"/>
    <col min="99" max="16384" width="9.140625" style="2"/>
  </cols>
  <sheetData>
    <row r="1" spans="1:98" ht="15.75" customHeight="1">
      <c r="A1" s="786" t="s">
        <v>59</v>
      </c>
      <c r="B1" s="787" t="s">
        <v>60</v>
      </c>
      <c r="C1" s="121" t="s">
        <v>61</v>
      </c>
      <c r="D1" s="39" t="s">
        <v>3</v>
      </c>
      <c r="E1" s="40"/>
      <c r="F1" s="41" t="s">
        <v>4</v>
      </c>
      <c r="G1" s="2558">
        <f>14*60*1000*SpeedFaktor</f>
        <v>840000</v>
      </c>
      <c r="H1" s="41">
        <v>10</v>
      </c>
      <c r="J1" s="41"/>
      <c r="L1" s="41"/>
      <c r="N1" s="41"/>
      <c r="P1" s="41"/>
      <c r="R1" s="41"/>
      <c r="T1" s="41"/>
      <c r="V1" s="41"/>
      <c r="AF1" s="7" t="s">
        <v>5</v>
      </c>
      <c r="AG1" s="42" t="s">
        <v>281</v>
      </c>
      <c r="AH1" s="2" t="s">
        <v>489</v>
      </c>
      <c r="AI1" s="9" t="s">
        <v>8</v>
      </c>
      <c r="AJ1" s="2" t="s">
        <v>261</v>
      </c>
      <c r="AK1" s="9" t="s">
        <v>8</v>
      </c>
      <c r="AL1" s="2" t="s">
        <v>9</v>
      </c>
      <c r="AM1" s="9" t="s">
        <v>8</v>
      </c>
      <c r="AN1" s="2" t="s">
        <v>10</v>
      </c>
      <c r="AO1" s="9" t="s">
        <v>8</v>
      </c>
      <c r="AP1" s="2" t="s">
        <v>11</v>
      </c>
      <c r="AQ1" s="9" t="s">
        <v>8</v>
      </c>
      <c r="AR1" s="2" t="s">
        <v>12</v>
      </c>
      <c r="AS1" s="9" t="s">
        <v>8</v>
      </c>
      <c r="AT1" s="2" t="s">
        <v>13</v>
      </c>
      <c r="AU1" s="9" t="s">
        <v>8</v>
      </c>
      <c r="AV1" s="2" t="s">
        <v>1139</v>
      </c>
      <c r="AW1" s="9" t="s">
        <v>8</v>
      </c>
      <c r="AX1" s="2" t="s">
        <v>65</v>
      </c>
      <c r="AY1" s="9" t="s">
        <v>8</v>
      </c>
      <c r="AZ1" s="2" t="s">
        <v>15</v>
      </c>
      <c r="BA1" s="9" t="s">
        <v>8</v>
      </c>
      <c r="BB1" s="2" t="s">
        <v>17</v>
      </c>
      <c r="BC1" s="9" t="s">
        <v>8</v>
      </c>
      <c r="BD1" s="2" t="s">
        <v>1285</v>
      </c>
      <c r="BE1" s="9" t="s">
        <v>8</v>
      </c>
      <c r="BF1" s="2" t="s">
        <v>1286</v>
      </c>
      <c r="BG1" s="9" t="s">
        <v>8</v>
      </c>
      <c r="BH1" s="541" t="s">
        <v>1303</v>
      </c>
      <c r="BI1" s="9" t="s">
        <v>8</v>
      </c>
      <c r="BK1" s="912" t="s">
        <v>1317</v>
      </c>
      <c r="BL1" s="913" t="s">
        <v>572</v>
      </c>
      <c r="BM1" s="1036" t="s">
        <v>1318</v>
      </c>
      <c r="BN1" s="1037" t="s">
        <v>572</v>
      </c>
      <c r="BO1" s="1181" t="s">
        <v>1324</v>
      </c>
      <c r="BP1" s="1182" t="s">
        <v>572</v>
      </c>
      <c r="BQ1" s="1386" t="s">
        <v>1341</v>
      </c>
      <c r="BR1" s="1387" t="s">
        <v>572</v>
      </c>
      <c r="BS1" s="1639" t="s">
        <v>1363</v>
      </c>
      <c r="BT1" s="1640" t="s">
        <v>572</v>
      </c>
      <c r="BU1" s="1780" t="s">
        <v>1368</v>
      </c>
      <c r="BV1" s="1781" t="s">
        <v>572</v>
      </c>
      <c r="BW1" s="1921" t="s">
        <v>1372</v>
      </c>
      <c r="BX1" s="1922" t="s">
        <v>572</v>
      </c>
      <c r="BY1" s="2229" t="s">
        <v>1397</v>
      </c>
      <c r="BZ1" s="2230" t="s">
        <v>572</v>
      </c>
      <c r="CA1" s="2396" t="s">
        <v>1421</v>
      </c>
      <c r="CB1" s="2397" t="s">
        <v>572</v>
      </c>
      <c r="CC1" s="2552" t="s">
        <v>1434</v>
      </c>
      <c r="CD1" s="2553" t="s">
        <v>572</v>
      </c>
      <c r="CE1" s="2717" t="s">
        <v>1442</v>
      </c>
      <c r="CF1" s="2718" t="s">
        <v>572</v>
      </c>
      <c r="CG1" s="2902" t="s">
        <v>1460</v>
      </c>
      <c r="CH1" s="2903" t="s">
        <v>572</v>
      </c>
      <c r="CI1" s="3092" t="s">
        <v>1472</v>
      </c>
      <c r="CJ1" s="3093" t="s">
        <v>572</v>
      </c>
      <c r="CK1" s="3274" t="s">
        <v>1492</v>
      </c>
      <c r="CL1" s="3275" t="s">
        <v>572</v>
      </c>
      <c r="CM1" s="3444" t="s">
        <v>1503</v>
      </c>
      <c r="CN1" s="3445" t="s">
        <v>572</v>
      </c>
      <c r="CO1" s="3650" t="s">
        <v>1519</v>
      </c>
      <c r="CP1" s="3651" t="s">
        <v>572</v>
      </c>
      <c r="CQ1" s="3950" t="s">
        <v>1666</v>
      </c>
      <c r="CR1" s="3951" t="s">
        <v>572</v>
      </c>
      <c r="CS1" s="4167" t="s">
        <v>1717</v>
      </c>
      <c r="CT1" s="4168" t="s">
        <v>572</v>
      </c>
    </row>
    <row r="2" spans="1:98" s="10" customFormat="1" ht="15.75" customHeight="1">
      <c r="A2" s="119">
        <v>1</v>
      </c>
      <c r="B2" s="122" t="s">
        <v>21</v>
      </c>
      <c r="C2" s="590" t="str">
        <f>B49</f>
        <v>{"url":p.aventisURL}</v>
      </c>
      <c r="D2" s="13"/>
      <c r="E2" s="45" t="str">
        <f>F2&amp;G2&amp;H2&amp;I2&amp;J2&amp;K2&amp;L2&amp;M2&amp;N2&amp;O2&amp;P2&amp;Q2&amp;R2&amp;S2&amp;T2&amp;U2&amp;V2&amp;W2&amp;X2</f>
        <v>{"url":"https://dev.aventis.swiss"}</v>
      </c>
      <c r="F2" s="46" t="s">
        <v>67</v>
      </c>
      <c r="G2" s="47" t="s">
        <v>68</v>
      </c>
      <c r="H2" s="46" t="s">
        <v>37</v>
      </c>
      <c r="I2" s="13"/>
      <c r="J2" s="46"/>
      <c r="K2" s="13"/>
      <c r="L2" s="46"/>
      <c r="M2" s="13"/>
      <c r="N2" s="46"/>
      <c r="O2" s="13"/>
      <c r="P2" s="46"/>
      <c r="Q2" s="13"/>
      <c r="R2" s="46"/>
      <c r="S2" s="13"/>
      <c r="T2" s="46"/>
      <c r="U2" s="13"/>
      <c r="V2" s="46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>
        <v>2535</v>
      </c>
      <c r="AH2" s="13">
        <v>603</v>
      </c>
      <c r="AI2" s="14">
        <f t="shared" ref="AI2:AI27" si="0">AH2/$AG2</f>
        <v>0.23786982248520711</v>
      </c>
      <c r="AJ2" s="13">
        <v>500</v>
      </c>
      <c r="AK2" s="14">
        <f>AJ2/$AG2</f>
        <v>0.19723865877712032</v>
      </c>
      <c r="AL2" s="13">
        <v>770</v>
      </c>
      <c r="AM2" s="14">
        <f>AL2/$AG2</f>
        <v>0.30374753451676528</v>
      </c>
      <c r="AN2" s="13">
        <v>482</v>
      </c>
      <c r="AO2" s="14">
        <f t="shared" ref="AO2:AO27" si="1">AN2/$AG2</f>
        <v>0.19013806706114397</v>
      </c>
      <c r="AP2" s="13">
        <v>463</v>
      </c>
      <c r="AQ2" s="14">
        <f t="shared" ref="AQ2:AQ39" si="2">AP2/$AG2</f>
        <v>0.18264299802761341</v>
      </c>
      <c r="AR2" s="13">
        <v>557</v>
      </c>
      <c r="AS2" s="14">
        <f t="shared" ref="AS2:AS39" si="3">AR2/$AG2</f>
        <v>0.21972386587771203</v>
      </c>
      <c r="AT2" s="13">
        <v>421</v>
      </c>
      <c r="AU2" s="14">
        <f t="shared" ref="AU2:BE39" si="4">AT2/$AG2</f>
        <v>0.16607495069033532</v>
      </c>
      <c r="AV2" s="13">
        <v>511</v>
      </c>
      <c r="AW2" s="14">
        <f t="shared" si="4"/>
        <v>0.20157790927021696</v>
      </c>
      <c r="AX2" s="13">
        <v>519</v>
      </c>
      <c r="AY2" s="14">
        <f t="shared" si="4"/>
        <v>0.20473372781065088</v>
      </c>
      <c r="AZ2" s="2">
        <v>441</v>
      </c>
      <c r="BA2" s="14">
        <f t="shared" si="4"/>
        <v>0.17396449704142011</v>
      </c>
      <c r="BB2" s="2">
        <v>348</v>
      </c>
      <c r="BC2" s="14">
        <f t="shared" si="4"/>
        <v>0.13727810650887573</v>
      </c>
      <c r="BD2" s="2">
        <v>328</v>
      </c>
      <c r="BE2" s="14">
        <f t="shared" si="4"/>
        <v>0.12938856015779093</v>
      </c>
      <c r="BF2" s="2">
        <v>215</v>
      </c>
      <c r="BG2" s="14">
        <f t="shared" ref="BG2:BG39" si="5">BF2/$AG2</f>
        <v>8.4812623274161739E-2</v>
      </c>
      <c r="BH2" s="10">
        <v>273</v>
      </c>
      <c r="BI2" s="14">
        <f t="shared" ref="BI2:BI39" si="6">BH2/$AG2</f>
        <v>0.1076923076923077</v>
      </c>
      <c r="BK2" s="10">
        <v>278</v>
      </c>
      <c r="BM2" s="10">
        <v>326</v>
      </c>
      <c r="BO2" s="10">
        <v>314</v>
      </c>
      <c r="BQ2" s="10">
        <v>347</v>
      </c>
      <c r="BS2" s="10">
        <v>285</v>
      </c>
      <c r="BU2" s="10">
        <v>390</v>
      </c>
      <c r="BW2" s="10">
        <v>380</v>
      </c>
      <c r="BY2" s="10">
        <v>1167</v>
      </c>
      <c r="CA2" s="10">
        <v>1034</v>
      </c>
      <c r="CC2" s="10">
        <v>1086</v>
      </c>
      <c r="CE2" s="10">
        <v>292</v>
      </c>
      <c r="CG2" s="10">
        <v>286</v>
      </c>
      <c r="CI2" s="10">
        <v>506</v>
      </c>
      <c r="CK2" s="10">
        <v>399</v>
      </c>
      <c r="CM2" s="10">
        <v>391</v>
      </c>
      <c r="CO2" s="10">
        <v>369</v>
      </c>
      <c r="CQ2" s="10">
        <v>204</v>
      </c>
      <c r="CS2" s="10">
        <v>187</v>
      </c>
      <c r="CT2" s="10" t="s">
        <v>1718</v>
      </c>
    </row>
    <row r="3" spans="1:98" s="10" customFormat="1" ht="15.75" customHeight="1">
      <c r="A3" s="119">
        <v>4</v>
      </c>
      <c r="B3" s="120" t="s">
        <v>25</v>
      </c>
      <c r="C3" s="121" t="str">
        <f t="shared" ref="C3:C8" si="7">E3</f>
        <v>{"username":"bern.sozialarbeiterin1a@diartis.ch","password":"SMze97-jkSJ59!F.","fullname":"Sozialarbeiterin 1A Bern","team":"Sozialarbeit Bern 1"}</v>
      </c>
      <c r="D3" s="13"/>
      <c r="E3" s="45" t="str">
        <f t="shared" ref="E3:E8" si="8">F3&amp;G3&amp;H3&amp;I3&amp;J3&amp;K3&amp;L3&amp;M3&amp;N3&amp;O3&amp;P3&amp;Q3&amp;R3&amp;S3&amp;T3&amp;U3&amp;V3&amp;W3&amp;X3</f>
        <v>{"username":"bern.sozialarbeiterin1a@diartis.ch","password":"SMze97-jkSJ59!F.","fullname":"Sozialarbeiterin 1A Bern","team":"Sozialarbeit Bern 1"}</v>
      </c>
      <c r="F3" s="46" t="s">
        <v>29</v>
      </c>
      <c r="G3" s="47" t="s">
        <v>71</v>
      </c>
      <c r="H3" s="46" t="s">
        <v>31</v>
      </c>
      <c r="I3" s="13" t="s">
        <v>72</v>
      </c>
      <c r="J3" s="46" t="s">
        <v>73</v>
      </c>
      <c r="K3" s="13" t="s">
        <v>74</v>
      </c>
      <c r="L3" s="46" t="s">
        <v>75</v>
      </c>
      <c r="M3" s="13" t="s">
        <v>76</v>
      </c>
      <c r="N3" s="46" t="s">
        <v>37</v>
      </c>
      <c r="O3" s="13"/>
      <c r="P3" s="46"/>
      <c r="Q3" s="13"/>
      <c r="R3" s="46"/>
      <c r="S3" s="13"/>
      <c r="T3" s="46"/>
      <c r="U3" s="13"/>
      <c r="V3" s="46"/>
      <c r="W3" s="13"/>
      <c r="X3" s="13"/>
      <c r="Y3" s="13"/>
      <c r="Z3" s="13"/>
      <c r="AA3" s="13"/>
      <c r="AB3" s="13"/>
      <c r="AC3" s="13"/>
      <c r="AD3" s="13"/>
      <c r="AE3" s="13" t="s">
        <v>38</v>
      </c>
      <c r="AF3" s="26"/>
      <c r="AG3" s="13">
        <v>407</v>
      </c>
      <c r="AH3" s="13">
        <v>420</v>
      </c>
      <c r="AI3" s="14">
        <f t="shared" si="0"/>
        <v>1.031941031941032</v>
      </c>
      <c r="AJ3" s="13">
        <v>408</v>
      </c>
      <c r="AK3" s="14">
        <f t="shared" ref="AK3:AK39" si="9">AJ3/$AG3</f>
        <v>1.0024570024570025</v>
      </c>
      <c r="AL3" s="13">
        <v>412</v>
      </c>
      <c r="AM3" s="14">
        <f t="shared" ref="AM3:AM39" si="10">AL3/$AG3</f>
        <v>1.0122850122850122</v>
      </c>
      <c r="AN3" s="13">
        <v>406</v>
      </c>
      <c r="AO3" s="14">
        <f t="shared" si="1"/>
        <v>0.99754299754299758</v>
      </c>
      <c r="AP3" s="13">
        <v>416</v>
      </c>
      <c r="AQ3" s="14">
        <f t="shared" si="2"/>
        <v>1.0221130221130221</v>
      </c>
      <c r="AR3" s="13">
        <v>417</v>
      </c>
      <c r="AS3" s="14">
        <f t="shared" si="3"/>
        <v>1.0245700245700247</v>
      </c>
      <c r="AT3" s="13">
        <v>412</v>
      </c>
      <c r="AU3" s="14">
        <f t="shared" si="4"/>
        <v>1.0122850122850122</v>
      </c>
      <c r="AV3" s="13">
        <v>405</v>
      </c>
      <c r="AW3" s="14">
        <f t="shared" si="4"/>
        <v>0.99508599508599505</v>
      </c>
      <c r="AX3" s="13">
        <v>408</v>
      </c>
      <c r="AY3" s="14">
        <f t="shared" si="4"/>
        <v>1.0024570024570025</v>
      </c>
      <c r="AZ3" s="2">
        <v>419</v>
      </c>
      <c r="BA3" s="14">
        <f t="shared" si="4"/>
        <v>1.0294840294840295</v>
      </c>
      <c r="BB3" s="2">
        <v>403</v>
      </c>
      <c r="BC3" s="14">
        <f t="shared" si="4"/>
        <v>0.9901719901719902</v>
      </c>
      <c r="BD3" s="2">
        <v>409</v>
      </c>
      <c r="BE3" s="14">
        <f t="shared" si="4"/>
        <v>1.0049140049140048</v>
      </c>
      <c r="BF3" s="2">
        <v>407</v>
      </c>
      <c r="BG3" s="14">
        <f t="shared" si="5"/>
        <v>1</v>
      </c>
      <c r="BH3" s="10">
        <v>407</v>
      </c>
      <c r="BI3" s="14">
        <f t="shared" si="6"/>
        <v>1</v>
      </c>
      <c r="BK3" s="10">
        <v>1325</v>
      </c>
      <c r="BM3" s="10">
        <v>1205</v>
      </c>
      <c r="BO3" s="10">
        <v>1202</v>
      </c>
      <c r="BQ3" s="10">
        <v>1143</v>
      </c>
      <c r="BS3" s="10">
        <v>1190</v>
      </c>
      <c r="BU3" s="10">
        <v>1307</v>
      </c>
      <c r="BW3" s="10">
        <v>1324</v>
      </c>
      <c r="BY3" s="10">
        <v>1702</v>
      </c>
      <c r="CA3" s="10">
        <v>1517</v>
      </c>
      <c r="CC3" s="10">
        <v>1544</v>
      </c>
      <c r="CE3" s="10">
        <v>1195</v>
      </c>
      <c r="CG3" s="10">
        <v>1077</v>
      </c>
      <c r="CI3" s="10">
        <v>1238</v>
      </c>
      <c r="CK3" s="10">
        <v>1144</v>
      </c>
      <c r="CM3" s="10">
        <v>1320</v>
      </c>
      <c r="CO3" s="10">
        <v>1348</v>
      </c>
      <c r="CQ3" s="10">
        <v>880</v>
      </c>
      <c r="CS3" s="10">
        <v>439</v>
      </c>
      <c r="CT3" s="10" t="s">
        <v>1718</v>
      </c>
    </row>
    <row r="4" spans="1:98" s="10" customFormat="1" ht="15.75" customHeight="1">
      <c r="A4" s="119"/>
      <c r="B4" s="122" t="s">
        <v>77</v>
      </c>
      <c r="C4" s="120" t="str">
        <f t="shared" si="7"/>
        <v>{"name":p.FamilyName32,"vorname":p.ManFirstName32,"ahvNumber":"","geburtsdatum":""}</v>
      </c>
      <c r="D4" s="13"/>
      <c r="E4" s="45" t="str">
        <f t="shared" si="8"/>
        <v>{"name":p.FamilyName32,"vorname":p.ManFirstName32,"ahvNumber":"","geburtsdatum":""}</v>
      </c>
      <c r="F4" s="61" t="s">
        <v>78</v>
      </c>
      <c r="G4" s="62" t="str">
        <f>G$54</f>
        <v>p.FamilyName32</v>
      </c>
      <c r="H4" s="46" t="s">
        <v>79</v>
      </c>
      <c r="I4" s="62" t="str">
        <f>H$53</f>
        <v>p.ManFirstName32</v>
      </c>
      <c r="J4" s="46" t="s">
        <v>80</v>
      </c>
      <c r="K4" s="13"/>
      <c r="L4" s="46" t="s">
        <v>81</v>
      </c>
      <c r="M4" s="63"/>
      <c r="N4" s="46" t="s">
        <v>37</v>
      </c>
      <c r="O4" s="13"/>
      <c r="P4" s="46"/>
      <c r="Q4" s="13"/>
      <c r="R4" s="46"/>
      <c r="S4" s="13"/>
      <c r="T4" s="46"/>
      <c r="U4" s="13"/>
      <c r="V4" s="46"/>
      <c r="W4" s="13"/>
      <c r="X4" s="13"/>
      <c r="Y4" s="13"/>
      <c r="Z4" s="13"/>
      <c r="AA4" s="13"/>
      <c r="AB4" s="13"/>
      <c r="AC4" s="13"/>
      <c r="AD4" s="13"/>
      <c r="AE4" s="13" t="s">
        <v>39</v>
      </c>
      <c r="AF4" s="27"/>
      <c r="AG4" s="13">
        <v>6791</v>
      </c>
      <c r="AH4" s="13">
        <v>9302</v>
      </c>
      <c r="AI4" s="14">
        <f t="shared" si="0"/>
        <v>1.3697540862906787</v>
      </c>
      <c r="AJ4" s="13">
        <v>10871</v>
      </c>
      <c r="AK4" s="14">
        <f t="shared" si="9"/>
        <v>1.6007951700780445</v>
      </c>
      <c r="AL4" s="13">
        <v>10209</v>
      </c>
      <c r="AM4" s="14">
        <f t="shared" si="10"/>
        <v>1.5033132086585186</v>
      </c>
      <c r="AN4" s="13">
        <v>8902</v>
      </c>
      <c r="AO4" s="14">
        <f t="shared" si="1"/>
        <v>1.3108525990281255</v>
      </c>
      <c r="AP4" s="13">
        <v>10210</v>
      </c>
      <c r="AQ4" s="14">
        <f t="shared" si="2"/>
        <v>1.503460462376675</v>
      </c>
      <c r="AR4" s="13">
        <v>7363</v>
      </c>
      <c r="AS4" s="14">
        <f t="shared" si="3"/>
        <v>1.0842291267854514</v>
      </c>
      <c r="AT4" s="13">
        <v>9063</v>
      </c>
      <c r="AU4" s="14">
        <f t="shared" si="4"/>
        <v>1.3345604476513031</v>
      </c>
      <c r="AV4" s="13">
        <v>8933</v>
      </c>
      <c r="AW4" s="14">
        <f t="shared" si="4"/>
        <v>1.3154174642909733</v>
      </c>
      <c r="AX4" s="13">
        <v>8932</v>
      </c>
      <c r="AY4" s="14">
        <f t="shared" si="4"/>
        <v>1.3152702105728169</v>
      </c>
      <c r="AZ4" s="2">
        <v>7341</v>
      </c>
      <c r="BA4" s="14">
        <f t="shared" si="4"/>
        <v>1.080989544986011</v>
      </c>
      <c r="BB4" s="2">
        <v>8042</v>
      </c>
      <c r="BC4" s="14">
        <f t="shared" si="4"/>
        <v>1.1842144014136358</v>
      </c>
      <c r="BD4" s="2">
        <v>7400</v>
      </c>
      <c r="BE4" s="14">
        <f t="shared" si="4"/>
        <v>1.0896775143572375</v>
      </c>
      <c r="BF4" s="2">
        <v>4658</v>
      </c>
      <c r="BG4" s="14">
        <f t="shared" si="5"/>
        <v>0.68590781917243415</v>
      </c>
      <c r="BH4" s="10">
        <v>6652</v>
      </c>
      <c r="BI4" s="14">
        <f t="shared" si="6"/>
        <v>0.97953173317626274</v>
      </c>
      <c r="BK4" s="10">
        <v>8628</v>
      </c>
      <c r="BM4" s="10">
        <v>7145</v>
      </c>
      <c r="BO4" s="10">
        <v>7185</v>
      </c>
      <c r="BQ4" s="10">
        <v>6638</v>
      </c>
      <c r="BS4" s="10">
        <v>7113</v>
      </c>
      <c r="BU4" s="10">
        <v>7378</v>
      </c>
      <c r="BW4" s="10">
        <v>7374</v>
      </c>
      <c r="BY4" s="10">
        <v>6266</v>
      </c>
      <c r="CA4" s="10">
        <v>6195</v>
      </c>
      <c r="CC4" s="10">
        <v>6421</v>
      </c>
      <c r="CE4" s="10">
        <v>7151</v>
      </c>
      <c r="CG4" s="10">
        <v>8552</v>
      </c>
      <c r="CI4" s="10">
        <v>8376</v>
      </c>
      <c r="CK4" s="10">
        <v>9521</v>
      </c>
      <c r="CM4" s="10">
        <v>11129</v>
      </c>
      <c r="CO4" s="10">
        <v>8193</v>
      </c>
    </row>
    <row r="5" spans="1:98" s="10" customFormat="1" ht="15.75" customHeight="1">
      <c r="A5" s="119">
        <v>6</v>
      </c>
      <c r="B5" s="120" t="s">
        <v>82</v>
      </c>
      <c r="C5" s="121" t="str">
        <f t="shared" si="7"/>
        <v>{"name":p.FamilyName32,"vorname":p.ManFirstName32,"ahvNumber":p.AHVNumber125,"language":"Deutsch","zivilstand":"ledig","geburtsdatum":p.BirthdayAdult32,"national":"Schweiz","gender":"männlich","aufenthalt":""}</v>
      </c>
      <c r="D5" s="13"/>
      <c r="E5" s="45" t="str">
        <f t="shared" si="8"/>
        <v>{"name":p.FamilyName32,"vorname":p.ManFirstName32,"ahvNumber":p.AHVNumber125,"language":"Deutsch","zivilstand":"ledig","geburtsdatum":p.BirthdayAdult32,"national":"Schweiz","gender":"männlich","aufenthalt":""}</v>
      </c>
      <c r="F5" s="61" t="s">
        <v>78</v>
      </c>
      <c r="G5" s="51" t="str">
        <f>G4</f>
        <v>p.FamilyName32</v>
      </c>
      <c r="H5" s="46" t="s">
        <v>79</v>
      </c>
      <c r="I5" s="51" t="str">
        <f>I4</f>
        <v>p.ManFirstName32</v>
      </c>
      <c r="J5" s="46" t="s">
        <v>83</v>
      </c>
      <c r="K5" s="64" t="str">
        <f>I$53</f>
        <v>p.AHVNumber125</v>
      </c>
      <c r="L5" s="46" t="s">
        <v>84</v>
      </c>
      <c r="M5" s="63" t="s">
        <v>85</v>
      </c>
      <c r="N5" s="46" t="s">
        <v>86</v>
      </c>
      <c r="O5" s="13" t="s">
        <v>87</v>
      </c>
      <c r="P5" s="46" t="s">
        <v>88</v>
      </c>
      <c r="Q5" s="65" t="str">
        <f>J53</f>
        <v>p.BirthdayAdult32</v>
      </c>
      <c r="R5" s="46" t="s">
        <v>89</v>
      </c>
      <c r="S5" s="13" t="s">
        <v>90</v>
      </c>
      <c r="T5" s="46" t="s">
        <v>91</v>
      </c>
      <c r="U5" s="13" t="s">
        <v>92</v>
      </c>
      <c r="V5" s="46" t="s">
        <v>93</v>
      </c>
      <c r="W5" s="13"/>
      <c r="X5" s="13" t="s">
        <v>37</v>
      </c>
      <c r="Y5" s="13"/>
      <c r="Z5" s="66"/>
      <c r="AA5" s="13"/>
      <c r="AB5" s="13"/>
      <c r="AC5" s="13"/>
      <c r="AD5" s="13"/>
      <c r="AE5" s="13" t="s">
        <v>41</v>
      </c>
      <c r="AF5" s="28"/>
      <c r="AG5" s="13">
        <v>4248</v>
      </c>
      <c r="AH5" s="13">
        <v>3305</v>
      </c>
      <c r="AI5" s="14">
        <f t="shared" si="0"/>
        <v>0.77801318267419961</v>
      </c>
      <c r="AJ5" s="13">
        <v>3528</v>
      </c>
      <c r="AK5" s="14">
        <f t="shared" si="9"/>
        <v>0.83050847457627119</v>
      </c>
      <c r="AL5" s="13">
        <v>3368</v>
      </c>
      <c r="AM5" s="14">
        <f t="shared" si="10"/>
        <v>0.79284369114877584</v>
      </c>
      <c r="AN5" s="13">
        <v>3134</v>
      </c>
      <c r="AO5" s="14">
        <f t="shared" si="1"/>
        <v>0.73775894538606401</v>
      </c>
      <c r="AP5" s="13">
        <v>3381</v>
      </c>
      <c r="AQ5" s="14">
        <f t="shared" si="2"/>
        <v>0.79590395480225984</v>
      </c>
      <c r="AR5" s="13">
        <v>2293</v>
      </c>
      <c r="AS5" s="14">
        <f t="shared" si="3"/>
        <v>0.53978342749529196</v>
      </c>
      <c r="AT5" s="13">
        <v>3268</v>
      </c>
      <c r="AU5" s="14">
        <f t="shared" si="4"/>
        <v>0.76930320150659137</v>
      </c>
      <c r="AV5" s="13">
        <v>3088</v>
      </c>
      <c r="AW5" s="14">
        <f t="shared" si="4"/>
        <v>0.72693032015065917</v>
      </c>
      <c r="AX5" s="13">
        <v>2745</v>
      </c>
      <c r="AY5" s="14">
        <f t="shared" si="4"/>
        <v>0.64618644067796616</v>
      </c>
      <c r="AZ5" s="2">
        <v>2704</v>
      </c>
      <c r="BA5" s="14">
        <f t="shared" si="4"/>
        <v>0.63653483992467041</v>
      </c>
      <c r="BB5" s="2">
        <v>1954</v>
      </c>
      <c r="BC5" s="14">
        <f t="shared" si="4"/>
        <v>0.45998116760828628</v>
      </c>
      <c r="BD5" s="2">
        <v>1940</v>
      </c>
      <c r="BE5" s="14">
        <f t="shared" si="4"/>
        <v>0.45668549905838041</v>
      </c>
      <c r="BF5" s="2">
        <v>1287</v>
      </c>
      <c r="BG5" s="14">
        <f t="shared" si="5"/>
        <v>0.30296610169491528</v>
      </c>
      <c r="BH5" s="10">
        <v>1718</v>
      </c>
      <c r="BI5" s="14">
        <f t="shared" si="6"/>
        <v>0.4044256120527307</v>
      </c>
      <c r="BK5" s="10">
        <v>2096</v>
      </c>
      <c r="BM5" s="10">
        <v>1941</v>
      </c>
      <c r="BO5" s="10">
        <v>1683</v>
      </c>
      <c r="BQ5" s="10">
        <v>1507</v>
      </c>
      <c r="BS5" s="10">
        <v>1394</v>
      </c>
      <c r="BU5" s="10">
        <v>1933</v>
      </c>
      <c r="BW5" s="10">
        <v>1520</v>
      </c>
      <c r="BY5" s="10">
        <v>970</v>
      </c>
      <c r="CA5" s="10">
        <v>1543</v>
      </c>
      <c r="CC5" s="10">
        <v>870</v>
      </c>
      <c r="CE5" s="10">
        <v>1631</v>
      </c>
      <c r="CG5" s="10">
        <v>1424</v>
      </c>
      <c r="CI5" s="10">
        <v>1121</v>
      </c>
      <c r="CK5" s="10">
        <v>1695</v>
      </c>
      <c r="CM5" s="10">
        <v>2149</v>
      </c>
      <c r="CO5" s="10">
        <v>1386</v>
      </c>
      <c r="CQ5" s="10">
        <v>8432</v>
      </c>
      <c r="CS5" s="10">
        <v>5850</v>
      </c>
      <c r="CT5" s="10" t="s">
        <v>1718</v>
      </c>
    </row>
    <row r="6" spans="1:98" s="10" customFormat="1" ht="15.75" customHeight="1">
      <c r="A6" s="119">
        <v>7</v>
      </c>
      <c r="B6" s="120" t="s">
        <v>94</v>
      </c>
      <c r="C6" s="121" t="str">
        <f t="shared" ca="1" si="7"/>
        <v>{"mobile":"079 5668496","privateNumber":"079 5356078","email":"5624abc@gmail.com"}</v>
      </c>
      <c r="D6" s="13"/>
      <c r="E6" s="45" t="str">
        <f t="shared" ca="1" si="8"/>
        <v>{"mobile":"079 5668496","privateNumber":"079 5356078","email":"5624abc@gmail.com"}</v>
      </c>
      <c r="F6" s="61" t="s">
        <v>95</v>
      </c>
      <c r="G6" s="13" t="str">
        <f ca="1">"079 "&amp;RANDBETWEEN(5234500,5699999)</f>
        <v>079 5668496</v>
      </c>
      <c r="H6" s="46" t="s">
        <v>96</v>
      </c>
      <c r="I6" s="13" t="str">
        <f ca="1">"079 "&amp;RANDBETWEEN(5234500,5699999)</f>
        <v>079 5356078</v>
      </c>
      <c r="J6" s="46" t="s">
        <v>97</v>
      </c>
      <c r="K6" s="47" t="s">
        <v>98</v>
      </c>
      <c r="L6" s="46" t="s">
        <v>37</v>
      </c>
      <c r="M6" s="13"/>
      <c r="N6" s="46"/>
      <c r="O6" s="13"/>
      <c r="P6" s="46"/>
      <c r="Q6" s="13"/>
      <c r="R6" s="46"/>
      <c r="S6" s="13"/>
      <c r="T6" s="46"/>
      <c r="U6" s="13"/>
      <c r="V6" s="46"/>
      <c r="W6" s="13"/>
      <c r="X6" s="13"/>
      <c r="Y6" s="13"/>
      <c r="Z6" s="13"/>
      <c r="AA6" s="13"/>
      <c r="AB6" s="13"/>
      <c r="AC6" s="13"/>
      <c r="AD6" s="13"/>
      <c r="AE6" s="13" t="s">
        <v>42</v>
      </c>
      <c r="AF6" s="29"/>
      <c r="AG6" s="13">
        <v>3639</v>
      </c>
      <c r="AH6" s="13">
        <v>3499</v>
      </c>
      <c r="AI6" s="14">
        <f t="shared" si="0"/>
        <v>0.96152789227809843</v>
      </c>
      <c r="AJ6" s="13">
        <v>5009</v>
      </c>
      <c r="AK6" s="14">
        <f t="shared" si="9"/>
        <v>1.3764770541357516</v>
      </c>
      <c r="AL6" s="13">
        <v>4999</v>
      </c>
      <c r="AM6" s="14">
        <f t="shared" si="10"/>
        <v>1.3737290464413301</v>
      </c>
      <c r="AN6" s="13">
        <v>4358</v>
      </c>
      <c r="AO6" s="14">
        <f t="shared" si="1"/>
        <v>1.197581753228909</v>
      </c>
      <c r="AP6" s="13">
        <v>4158</v>
      </c>
      <c r="AQ6" s="14">
        <f t="shared" si="2"/>
        <v>1.1426215993404782</v>
      </c>
      <c r="AR6" s="13">
        <v>3105</v>
      </c>
      <c r="AS6" s="14">
        <f t="shared" si="3"/>
        <v>0.85325638911788948</v>
      </c>
      <c r="AT6" s="13">
        <v>4381</v>
      </c>
      <c r="AU6" s="14">
        <f t="shared" si="4"/>
        <v>1.2039021709260787</v>
      </c>
      <c r="AV6" s="13">
        <v>4139</v>
      </c>
      <c r="AW6" s="14">
        <f t="shared" si="4"/>
        <v>1.1374003847210772</v>
      </c>
      <c r="AX6" s="13">
        <v>3765</v>
      </c>
      <c r="AY6" s="14">
        <f t="shared" si="4"/>
        <v>1.0346248969497114</v>
      </c>
      <c r="AZ6" s="2">
        <v>3584</v>
      </c>
      <c r="BA6" s="14">
        <f t="shared" si="4"/>
        <v>0.98488595768068155</v>
      </c>
      <c r="BB6" s="2">
        <v>3259</v>
      </c>
      <c r="BC6" s="14">
        <f t="shared" si="4"/>
        <v>0.89557570761198135</v>
      </c>
      <c r="BD6" s="2">
        <v>3535</v>
      </c>
      <c r="BE6" s="14">
        <f t="shared" si="4"/>
        <v>0.97142071997801593</v>
      </c>
      <c r="BF6" s="2">
        <v>2467</v>
      </c>
      <c r="BG6" s="14">
        <f t="shared" si="5"/>
        <v>0.677933498213795</v>
      </c>
      <c r="BH6" s="10">
        <v>3386</v>
      </c>
      <c r="BI6" s="14">
        <f t="shared" si="6"/>
        <v>0.93047540533113493</v>
      </c>
      <c r="BK6" s="10">
        <v>4544</v>
      </c>
      <c r="BM6" s="10">
        <v>3851</v>
      </c>
      <c r="BO6" s="10">
        <v>3495</v>
      </c>
      <c r="BQ6" s="10">
        <v>2643</v>
      </c>
      <c r="BS6" s="10">
        <v>2612</v>
      </c>
      <c r="BU6" s="10">
        <v>4346</v>
      </c>
      <c r="BW6" s="10">
        <v>2667</v>
      </c>
      <c r="BY6" s="10">
        <v>3099</v>
      </c>
      <c r="CA6" s="10">
        <v>2559</v>
      </c>
      <c r="CC6" s="10">
        <v>3027</v>
      </c>
      <c r="CE6" s="10">
        <v>2644</v>
      </c>
      <c r="CG6" s="10">
        <v>2793</v>
      </c>
      <c r="CI6" s="10">
        <v>2806</v>
      </c>
      <c r="CK6" s="10">
        <v>3308</v>
      </c>
      <c r="CM6" s="10">
        <v>3350</v>
      </c>
      <c r="CO6" s="10">
        <v>2705</v>
      </c>
      <c r="CQ6" s="10">
        <v>2707</v>
      </c>
      <c r="CS6" s="10">
        <v>2467</v>
      </c>
      <c r="CT6" s="10" t="s">
        <v>1718</v>
      </c>
    </row>
    <row r="7" spans="1:98" s="10" customFormat="1" ht="15.75" customHeight="1">
      <c r="A7" s="119">
        <v>8</v>
      </c>
      <c r="B7" s="120" t="s">
        <v>99</v>
      </c>
      <c r="C7" s="121" t="str">
        <f t="shared" ca="1" si="7"/>
        <v>{"zusatz":"","strasse":"Strasse_477","houseNumber":"73","ort":"3053 Münchenbuchsee","validDate":"01.01.2025"}</v>
      </c>
      <c r="D7" s="13"/>
      <c r="E7" s="45" t="str">
        <f t="shared" ca="1" si="8"/>
        <v>{"zusatz":"","strasse":"Strasse_477","houseNumber":"73","ort":"3053 Münchenbuchsee","validDate":"01.01.2025"}</v>
      </c>
      <c r="F7" s="46" t="s">
        <v>100</v>
      </c>
      <c r="G7" s="13"/>
      <c r="H7" s="46" t="s">
        <v>101</v>
      </c>
      <c r="I7" s="13" t="str">
        <f ca="1">"Strasse_"&amp;RANDBETWEEN(1,1000)</f>
        <v>Strasse_477</v>
      </c>
      <c r="J7" s="46" t="s">
        <v>102</v>
      </c>
      <c r="K7" s="13">
        <f ca="1">RANDBETWEEN(1,100)</f>
        <v>73</v>
      </c>
      <c r="L7" s="68" t="s">
        <v>103</v>
      </c>
      <c r="M7" s="51" t="s">
        <v>104</v>
      </c>
      <c r="N7" s="46" t="s">
        <v>105</v>
      </c>
      <c r="O7" s="69" t="str">
        <f ca="1">"01.01."&amp;TEXT(TODAY(),"YYYY")</f>
        <v>01.01.2025</v>
      </c>
      <c r="P7" s="46" t="s">
        <v>37</v>
      </c>
      <c r="Q7" s="13"/>
      <c r="R7" s="46"/>
      <c r="S7" s="13"/>
      <c r="T7" s="46"/>
      <c r="U7" s="13"/>
      <c r="V7" s="46"/>
      <c r="W7" s="13"/>
      <c r="X7" s="13"/>
      <c r="Y7" s="13"/>
      <c r="Z7" s="13"/>
      <c r="AA7" s="13"/>
      <c r="AB7" s="13"/>
      <c r="AC7" s="13"/>
      <c r="AD7" s="13"/>
      <c r="AE7" s="13" t="s">
        <v>44</v>
      </c>
      <c r="AF7" s="31"/>
      <c r="AG7" s="13">
        <v>434</v>
      </c>
      <c r="AH7" s="13">
        <v>479</v>
      </c>
      <c r="AI7" s="14">
        <f t="shared" si="0"/>
        <v>1.1036866359447004</v>
      </c>
      <c r="AJ7" s="13">
        <v>811</v>
      </c>
      <c r="AK7" s="14">
        <f t="shared" si="9"/>
        <v>1.868663594470046</v>
      </c>
      <c r="AL7" s="13">
        <v>785</v>
      </c>
      <c r="AM7" s="14">
        <f t="shared" si="10"/>
        <v>1.8087557603686637</v>
      </c>
      <c r="AN7" s="13">
        <v>561</v>
      </c>
      <c r="AO7" s="14">
        <f t="shared" si="1"/>
        <v>1.292626728110599</v>
      </c>
      <c r="AP7" s="13">
        <v>634</v>
      </c>
      <c r="AQ7" s="14">
        <f t="shared" si="2"/>
        <v>1.4608294930875576</v>
      </c>
      <c r="AR7" s="13">
        <v>660</v>
      </c>
      <c r="AS7" s="14">
        <f t="shared" si="3"/>
        <v>1.5207373271889402</v>
      </c>
      <c r="AT7" s="13">
        <v>680</v>
      </c>
      <c r="AU7" s="14">
        <f t="shared" si="4"/>
        <v>1.566820276497696</v>
      </c>
      <c r="AV7" s="13">
        <v>552</v>
      </c>
      <c r="AW7" s="14">
        <f t="shared" si="4"/>
        <v>1.271889400921659</v>
      </c>
      <c r="AX7" s="13">
        <v>477</v>
      </c>
      <c r="AY7" s="14">
        <f t="shared" si="4"/>
        <v>1.099078341013825</v>
      </c>
      <c r="AZ7" s="2">
        <v>462</v>
      </c>
      <c r="BA7" s="14">
        <f t="shared" si="4"/>
        <v>1.064516129032258</v>
      </c>
      <c r="BB7" s="2">
        <v>333</v>
      </c>
      <c r="BC7" s="14">
        <f t="shared" si="4"/>
        <v>0.76728110599078336</v>
      </c>
      <c r="BD7" s="2">
        <v>393</v>
      </c>
      <c r="BE7" s="14">
        <f t="shared" si="4"/>
        <v>0.90552995391705071</v>
      </c>
      <c r="BF7" s="2">
        <v>229</v>
      </c>
      <c r="BG7" s="14">
        <f t="shared" si="5"/>
        <v>0.52764976958525345</v>
      </c>
      <c r="BH7" s="10">
        <v>281</v>
      </c>
      <c r="BI7" s="14">
        <f t="shared" si="6"/>
        <v>0.64746543778801846</v>
      </c>
      <c r="BK7" s="10">
        <v>632</v>
      </c>
      <c r="BM7" s="10">
        <v>456</v>
      </c>
      <c r="BO7" s="10">
        <v>479</v>
      </c>
      <c r="BQ7" s="10">
        <v>249</v>
      </c>
      <c r="BS7" s="10">
        <v>276</v>
      </c>
      <c r="BU7" s="10">
        <v>431</v>
      </c>
      <c r="BW7" s="10">
        <v>334</v>
      </c>
      <c r="BY7" s="10">
        <v>230</v>
      </c>
      <c r="CA7" s="10">
        <v>276</v>
      </c>
      <c r="CC7" s="10">
        <v>259</v>
      </c>
      <c r="CE7" s="10">
        <v>330</v>
      </c>
      <c r="CG7" s="10">
        <v>296</v>
      </c>
      <c r="CI7" s="10">
        <v>339</v>
      </c>
      <c r="CK7" s="10">
        <v>436</v>
      </c>
      <c r="CM7" s="10">
        <v>520</v>
      </c>
      <c r="CO7" s="10">
        <v>336</v>
      </c>
      <c r="CQ7" s="10">
        <v>419</v>
      </c>
      <c r="CS7" s="10">
        <v>180</v>
      </c>
      <c r="CT7" s="10" t="s">
        <v>1718</v>
      </c>
    </row>
    <row r="8" spans="1:98" s="10" customFormat="1" ht="15.75" customHeight="1">
      <c r="A8" s="119">
        <v>9</v>
      </c>
      <c r="B8" s="120" t="s">
        <v>106</v>
      </c>
      <c r="C8" s="121" t="str">
        <f t="shared" si="7"/>
        <v>{"iban":p.IBAN1}</v>
      </c>
      <c r="D8" s="13"/>
      <c r="E8" s="45" t="str">
        <f t="shared" si="8"/>
        <v>{"iban":p.IBAN1}</v>
      </c>
      <c r="F8" s="38" t="s">
        <v>107</v>
      </c>
      <c r="G8" s="13" t="s">
        <v>108</v>
      </c>
      <c r="H8" s="46" t="s">
        <v>109</v>
      </c>
      <c r="I8" s="70"/>
      <c r="J8" s="46"/>
      <c r="K8" s="13"/>
      <c r="L8" s="46"/>
      <c r="M8" s="13"/>
      <c r="N8" s="46"/>
      <c r="O8" s="13"/>
      <c r="P8" s="46"/>
      <c r="Q8" s="13"/>
      <c r="R8" s="46"/>
      <c r="S8" s="13"/>
      <c r="T8" s="46"/>
      <c r="U8" s="13"/>
      <c r="V8" s="46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>
        <v>5206</v>
      </c>
      <c r="AH8" s="13">
        <v>5223</v>
      </c>
      <c r="AI8" s="14">
        <f t="shared" si="0"/>
        <v>1.0032654629273914</v>
      </c>
      <c r="AJ8" s="13">
        <v>6075</v>
      </c>
      <c r="AK8" s="14">
        <f t="shared" si="9"/>
        <v>1.1669227814060699</v>
      </c>
      <c r="AL8" s="13">
        <v>5927</v>
      </c>
      <c r="AM8" s="14">
        <f t="shared" si="10"/>
        <v>1.1384940453323089</v>
      </c>
      <c r="AN8" s="13">
        <v>5596</v>
      </c>
      <c r="AO8" s="14">
        <f t="shared" si="1"/>
        <v>1.0749135612754515</v>
      </c>
      <c r="AP8" s="13">
        <v>5662</v>
      </c>
      <c r="AQ8" s="14">
        <f t="shared" si="2"/>
        <v>1.0875912408759123</v>
      </c>
      <c r="AR8" s="13">
        <v>6043</v>
      </c>
      <c r="AS8" s="14">
        <f t="shared" si="3"/>
        <v>1.1607760276603918</v>
      </c>
      <c r="AT8" s="13">
        <v>5608</v>
      </c>
      <c r="AU8" s="14">
        <f t="shared" si="4"/>
        <v>1.0772185939300807</v>
      </c>
      <c r="AV8" s="13">
        <v>5518</v>
      </c>
      <c r="AW8" s="14">
        <f t="shared" si="4"/>
        <v>1.0599308490203612</v>
      </c>
      <c r="AX8" s="13">
        <v>5582</v>
      </c>
      <c r="AY8" s="14">
        <f t="shared" si="4"/>
        <v>1.0722243565117173</v>
      </c>
      <c r="AZ8" s="2">
        <v>5555</v>
      </c>
      <c r="BA8" s="14">
        <f t="shared" si="4"/>
        <v>1.0670380330388014</v>
      </c>
      <c r="BB8" s="2">
        <v>4821</v>
      </c>
      <c r="BC8" s="14">
        <f t="shared" si="4"/>
        <v>0.92604686899731081</v>
      </c>
      <c r="BD8" s="2">
        <v>4985</v>
      </c>
      <c r="BE8" s="14">
        <f t="shared" si="4"/>
        <v>0.95754898194391092</v>
      </c>
      <c r="BF8" s="2">
        <v>4605</v>
      </c>
      <c r="BG8" s="14">
        <f t="shared" si="5"/>
        <v>0.88455628121398389</v>
      </c>
      <c r="BH8" s="10">
        <v>4987</v>
      </c>
      <c r="BI8" s="14">
        <f t="shared" si="6"/>
        <v>0.95793315405301571</v>
      </c>
      <c r="BK8" s="10">
        <v>5426</v>
      </c>
      <c r="BM8" s="10">
        <v>5125</v>
      </c>
      <c r="BO8" s="10">
        <v>5131</v>
      </c>
      <c r="BQ8" s="10">
        <v>4900</v>
      </c>
      <c r="BS8" s="10">
        <v>4992</v>
      </c>
      <c r="BU8" s="10">
        <v>5069</v>
      </c>
      <c r="BW8" s="10">
        <v>4955</v>
      </c>
      <c r="BY8" s="10">
        <v>4775</v>
      </c>
      <c r="CA8" s="10">
        <v>4875</v>
      </c>
      <c r="CC8" s="10">
        <v>4914</v>
      </c>
      <c r="CE8" s="10">
        <v>2296</v>
      </c>
      <c r="CG8" s="10">
        <v>2176</v>
      </c>
      <c r="CI8" s="10">
        <v>1745</v>
      </c>
      <c r="CK8" s="10">
        <v>2168</v>
      </c>
      <c r="CM8" s="10">
        <v>2074</v>
      </c>
      <c r="CO8" s="10">
        <v>1732</v>
      </c>
      <c r="CQ8" s="10">
        <v>1897</v>
      </c>
      <c r="CS8" s="10">
        <v>1610</v>
      </c>
      <c r="CT8" s="10" t="s">
        <v>1718</v>
      </c>
    </row>
    <row r="9" spans="1:98" s="10" customFormat="1" ht="15.75" customHeight="1">
      <c r="A9" s="119">
        <v>10</v>
      </c>
      <c r="B9" s="120" t="s">
        <v>110</v>
      </c>
      <c r="C9" s="121"/>
      <c r="D9" s="13"/>
      <c r="E9" s="45"/>
      <c r="F9" s="46"/>
      <c r="G9" s="13"/>
      <c r="H9" s="46"/>
      <c r="I9" s="13"/>
      <c r="J9" s="46"/>
      <c r="K9" s="13"/>
      <c r="L9" s="46"/>
      <c r="M9" s="13"/>
      <c r="N9" s="46"/>
      <c r="O9" s="13"/>
      <c r="P9" s="46"/>
      <c r="Q9" s="13"/>
      <c r="R9" s="46"/>
      <c r="S9" s="13"/>
      <c r="T9" s="46"/>
      <c r="U9" s="13"/>
      <c r="V9" s="46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>
        <v>2108</v>
      </c>
      <c r="AH9" s="13">
        <v>2111</v>
      </c>
      <c r="AI9" s="14">
        <f t="shared" si="0"/>
        <v>1.0014231499051234</v>
      </c>
      <c r="AJ9" s="13">
        <v>2279</v>
      </c>
      <c r="AK9" s="14">
        <f t="shared" si="9"/>
        <v>1.0811195445920303</v>
      </c>
      <c r="AL9" s="13">
        <v>2264</v>
      </c>
      <c r="AM9" s="14">
        <f t="shared" si="10"/>
        <v>1.0740037950664136</v>
      </c>
      <c r="AN9" s="13">
        <v>2197</v>
      </c>
      <c r="AO9" s="14">
        <f t="shared" si="1"/>
        <v>1.0422201138519924</v>
      </c>
      <c r="AP9" s="13">
        <v>2255</v>
      </c>
      <c r="AQ9" s="14">
        <f t="shared" si="2"/>
        <v>1.0697343453510437</v>
      </c>
      <c r="AR9" s="13">
        <v>2262</v>
      </c>
      <c r="AS9" s="14">
        <f t="shared" si="3"/>
        <v>1.0730550284629981</v>
      </c>
      <c r="AT9" s="13">
        <v>2230</v>
      </c>
      <c r="AU9" s="14">
        <f t="shared" si="4"/>
        <v>1.0578747628083491</v>
      </c>
      <c r="AV9" s="13">
        <v>2176</v>
      </c>
      <c r="AW9" s="14">
        <f t="shared" si="4"/>
        <v>1.032258064516129</v>
      </c>
      <c r="AX9" s="13">
        <v>2128</v>
      </c>
      <c r="AY9" s="14">
        <f t="shared" si="4"/>
        <v>1.0094876660341556</v>
      </c>
      <c r="AZ9" s="2">
        <v>2143</v>
      </c>
      <c r="BA9" s="14">
        <f t="shared" si="4"/>
        <v>1.0166034155597723</v>
      </c>
      <c r="BB9" s="2">
        <v>59</v>
      </c>
      <c r="BC9" s="14">
        <f t="shared" si="4"/>
        <v>2.7988614800759013E-2</v>
      </c>
      <c r="BD9" s="2">
        <v>91</v>
      </c>
      <c r="BE9" s="14">
        <f t="shared" si="4"/>
        <v>4.3168880455407968E-2</v>
      </c>
      <c r="BF9" s="2">
        <v>124</v>
      </c>
      <c r="BG9" s="14">
        <f t="shared" si="5"/>
        <v>5.8823529411764705E-2</v>
      </c>
      <c r="BH9" s="10">
        <v>71</v>
      </c>
      <c r="BI9" s="14">
        <f t="shared" si="6"/>
        <v>3.3681214421252374E-2</v>
      </c>
      <c r="BK9" s="10">
        <v>157</v>
      </c>
      <c r="BM9" s="10">
        <v>56</v>
      </c>
      <c r="BO9" s="10">
        <v>76</v>
      </c>
      <c r="BQ9" s="10">
        <v>68</v>
      </c>
      <c r="BS9" s="10">
        <v>69</v>
      </c>
      <c r="BU9" s="10">
        <v>81</v>
      </c>
      <c r="BW9" s="10">
        <v>54</v>
      </c>
      <c r="BY9" s="10">
        <v>56</v>
      </c>
      <c r="CA9" s="10">
        <v>61</v>
      </c>
      <c r="CC9" s="10">
        <v>58</v>
      </c>
      <c r="CE9" s="10">
        <v>78</v>
      </c>
      <c r="CG9" s="10">
        <v>157</v>
      </c>
      <c r="CI9" s="10">
        <v>133</v>
      </c>
      <c r="CK9" s="10">
        <v>233</v>
      </c>
      <c r="CM9" s="10">
        <v>130</v>
      </c>
      <c r="CO9" s="10">
        <v>118</v>
      </c>
      <c r="CQ9" s="10">
        <v>95</v>
      </c>
      <c r="CS9" s="10">
        <v>67</v>
      </c>
      <c r="CT9" s="10" t="s">
        <v>1718</v>
      </c>
    </row>
    <row r="10" spans="1:98" s="10" customFormat="1" ht="15.75" customHeight="1">
      <c r="A10" s="119">
        <v>11</v>
      </c>
      <c r="B10" s="120" t="s">
        <v>111</v>
      </c>
      <c r="C10" s="121" t="str">
        <f>E10</f>
        <v>{"zust_Gemeinde":"Münchenbuchsee","zust_SozTeam":"Sozialarbeit Bern 1","zust_SozMitarbeiter":"Bern Sozialarbeiterin 1A","zust_SachbTeam":"Sachbearbeitung Bern","zust_SachbMitarbeiter":"Bern Sachbearbeiterin"}</v>
      </c>
      <c r="D10" s="13"/>
      <c r="E10" s="13" t="str">
        <f>F10&amp;G10&amp;H10&amp;I10&amp;J10&amp;K10&amp;L10&amp;M10&amp;N10&amp;O10&amp;P10&amp;Q10&amp;R10&amp;S10&amp;T10&amp;U10&amp;V10&amp;W10&amp;X10</f>
        <v>{"zust_Gemeinde":"Münchenbuchsee","zust_SozTeam":"Sozialarbeit Bern 1","zust_SozMitarbeiter":"Bern Sozialarbeiterin 1A","zust_SachbTeam":"Sachbearbeitung Bern","zust_SachbMitarbeiter":"Bern Sachbearbeiterin"}</v>
      </c>
      <c r="F10" s="46" t="s">
        <v>112</v>
      </c>
      <c r="G10" s="13" t="s">
        <v>113</v>
      </c>
      <c r="H10" s="46" t="s">
        <v>114</v>
      </c>
      <c r="I10" s="13" t="s">
        <v>76</v>
      </c>
      <c r="J10" s="46" t="s">
        <v>115</v>
      </c>
      <c r="K10" s="13" t="s">
        <v>116</v>
      </c>
      <c r="L10" s="46" t="s">
        <v>117</v>
      </c>
      <c r="M10" s="13" t="s">
        <v>118</v>
      </c>
      <c r="N10" s="46" t="s">
        <v>119</v>
      </c>
      <c r="O10" s="13" t="s">
        <v>120</v>
      </c>
      <c r="P10" s="46" t="s">
        <v>37</v>
      </c>
      <c r="Q10" s="13"/>
      <c r="R10" s="46"/>
      <c r="S10" s="13"/>
      <c r="T10" s="46"/>
      <c r="U10" s="13"/>
      <c r="V10" s="46"/>
      <c r="W10" s="13"/>
      <c r="X10" s="13"/>
      <c r="Y10" s="13"/>
      <c r="Z10" s="13"/>
      <c r="AA10" s="13"/>
      <c r="AB10" s="13"/>
      <c r="AC10" s="13"/>
      <c r="AD10" s="13"/>
      <c r="AE10" s="32"/>
      <c r="AF10" s="32"/>
      <c r="AG10" s="13">
        <v>565</v>
      </c>
      <c r="AH10" s="13">
        <v>213</v>
      </c>
      <c r="AI10" s="14">
        <f t="shared" si="0"/>
        <v>0.37699115044247788</v>
      </c>
      <c r="AJ10" s="13">
        <v>537</v>
      </c>
      <c r="AK10" s="14">
        <f t="shared" si="9"/>
        <v>0.95044247787610614</v>
      </c>
      <c r="AL10" s="13">
        <v>511</v>
      </c>
      <c r="AM10" s="14">
        <f t="shared" si="10"/>
        <v>0.90442477876106198</v>
      </c>
      <c r="AN10" s="13">
        <v>334</v>
      </c>
      <c r="AO10" s="14">
        <f t="shared" si="1"/>
        <v>0.59115044247787607</v>
      </c>
      <c r="AP10" s="13">
        <v>414</v>
      </c>
      <c r="AQ10" s="14">
        <f t="shared" si="2"/>
        <v>0.73274336283185837</v>
      </c>
      <c r="AR10" s="13">
        <v>477</v>
      </c>
      <c r="AS10" s="14">
        <f t="shared" si="3"/>
        <v>0.84424778761061947</v>
      </c>
      <c r="AT10" s="13">
        <v>345</v>
      </c>
      <c r="AU10" s="14">
        <f t="shared" si="4"/>
        <v>0.61061946902654862</v>
      </c>
      <c r="AV10" s="13">
        <v>346</v>
      </c>
      <c r="AW10" s="14">
        <f t="shared" si="4"/>
        <v>0.61238938053097347</v>
      </c>
      <c r="AX10" s="13">
        <v>237</v>
      </c>
      <c r="AY10" s="14">
        <f t="shared" si="4"/>
        <v>0.41946902654867257</v>
      </c>
      <c r="AZ10" s="2">
        <v>407</v>
      </c>
      <c r="BA10" s="14">
        <f t="shared" si="4"/>
        <v>0.72035398230088499</v>
      </c>
      <c r="BB10" s="2">
        <v>1192</v>
      </c>
      <c r="BC10" s="14">
        <f t="shared" si="4"/>
        <v>2.1097345132743364</v>
      </c>
      <c r="BD10" s="2">
        <v>1241</v>
      </c>
      <c r="BE10" s="14">
        <f t="shared" ref="BE10:BE39" si="11">BD10/$AG10</f>
        <v>2.1964601769911503</v>
      </c>
      <c r="BF10" s="2">
        <v>1250</v>
      </c>
      <c r="BG10" s="14">
        <f t="shared" si="5"/>
        <v>2.2123893805309733</v>
      </c>
      <c r="BH10" s="10">
        <v>1155</v>
      </c>
      <c r="BI10" s="14">
        <f t="shared" si="6"/>
        <v>2.0442477876106193</v>
      </c>
      <c r="BK10" s="10">
        <v>1340</v>
      </c>
      <c r="BM10" s="10">
        <v>1180</v>
      </c>
      <c r="BO10" s="10">
        <v>1189</v>
      </c>
      <c r="BQ10" s="10">
        <v>1216</v>
      </c>
      <c r="BS10" s="10">
        <v>1205</v>
      </c>
      <c r="BU10" s="10">
        <v>1195</v>
      </c>
      <c r="BW10" s="10">
        <v>1215</v>
      </c>
      <c r="BY10" s="10">
        <v>1198</v>
      </c>
      <c r="CA10" s="10">
        <v>1171</v>
      </c>
      <c r="CC10" s="10">
        <v>1194</v>
      </c>
      <c r="CE10" s="10">
        <v>1153</v>
      </c>
      <c r="CG10" s="10">
        <v>1242</v>
      </c>
      <c r="CI10" s="10">
        <v>1265</v>
      </c>
      <c r="CK10" s="10">
        <v>1355</v>
      </c>
      <c r="CM10" s="10">
        <v>1346</v>
      </c>
      <c r="CO10" s="10">
        <v>1223</v>
      </c>
      <c r="CQ10" s="10">
        <v>2063</v>
      </c>
      <c r="CS10" s="10">
        <v>1154</v>
      </c>
      <c r="CT10" s="10" t="s">
        <v>1718</v>
      </c>
    </row>
    <row r="11" spans="1:98" s="10" customFormat="1" ht="15.75" customHeight="1" thickBot="1">
      <c r="A11" s="119">
        <v>12</v>
      </c>
      <c r="B11" s="120" t="s">
        <v>122</v>
      </c>
      <c r="C11" s="121" t="str">
        <f ca="1">E11</f>
        <v>{"dossierBezeichnung":`Z01b_${p.AHVNumber5} 4-No85`,"eroeffnetAm":"04.11.2025","dossierSprache":"Deutsch"}</v>
      </c>
      <c r="D11" s="13"/>
      <c r="E11" s="45" t="str">
        <f ca="1">F11&amp;G11&amp;H11&amp;I11&amp;J11&amp;K11&amp;L11&amp;M11&amp;N11&amp;O11&amp;P11&amp;Q11&amp;R11&amp;S11&amp;T11&amp;U11&amp;V11&amp;W11&amp;X11</f>
        <v>{"dossierBezeichnung":`Z01b_${p.AHVNumber5} 4-No85`,"eroeffnetAm":"04.11.2025","dossierSprache":"Deutsch"}</v>
      </c>
      <c r="F11" s="46" t="s">
        <v>1140</v>
      </c>
      <c r="G11" s="199" t="str">
        <f ca="1">"Z01b_${p.AHVNumber5} "&amp;DAY(TODAY())&amp;"-No"&amp;IF(_xlfn.SHEET()-1&lt;10,"0"&amp;_xlfn.SHEET()-1,_xlfn.SHEET()-1)</f>
        <v>Z01b_${p.AHVNumber5} 4-No85</v>
      </c>
      <c r="H11" s="46" t="s">
        <v>1141</v>
      </c>
      <c r="I11" s="69" t="str">
        <f ca="1">TEXT(TEXT(TODAY(),"DD")&amp;"."&amp;TEXT(TODAY(),"MM")&amp;"."&amp;TEXT(TODAY(),"YYYY"),"DD.MM.YYYY")</f>
        <v>04.11.2025</v>
      </c>
      <c r="J11" s="46" t="s">
        <v>125</v>
      </c>
      <c r="K11" s="13" t="s">
        <v>85</v>
      </c>
      <c r="L11" s="46" t="s">
        <v>37</v>
      </c>
      <c r="M11" s="13"/>
      <c r="N11" s="46"/>
      <c r="O11" s="13"/>
      <c r="P11" s="46"/>
      <c r="Q11" s="13"/>
      <c r="R11" s="46"/>
      <c r="S11" s="13"/>
      <c r="T11" s="46"/>
      <c r="U11" s="13"/>
      <c r="V11" s="46"/>
      <c r="W11" s="13"/>
      <c r="X11" s="13"/>
      <c r="Y11" s="13"/>
      <c r="Z11" s="13"/>
      <c r="AA11" s="13"/>
      <c r="AB11" s="13"/>
      <c r="AC11" s="13"/>
      <c r="AD11" s="13"/>
      <c r="AE11" s="33"/>
      <c r="AF11" s="33"/>
      <c r="AG11" s="13">
        <v>3489</v>
      </c>
      <c r="AH11" s="13">
        <v>3975</v>
      </c>
      <c r="AI11" s="14">
        <f t="shared" si="0"/>
        <v>1.1392949269131556</v>
      </c>
      <c r="AJ11" s="13">
        <v>4112</v>
      </c>
      <c r="AK11" s="14">
        <f t="shared" si="9"/>
        <v>1.178561192318716</v>
      </c>
      <c r="AL11" s="13">
        <v>4214</v>
      </c>
      <c r="AM11" s="14">
        <f t="shared" si="10"/>
        <v>1.2077959300659216</v>
      </c>
      <c r="AN11" s="13">
        <v>3541</v>
      </c>
      <c r="AO11" s="14">
        <f t="shared" si="1"/>
        <v>1.0149039839495557</v>
      </c>
      <c r="AP11" s="13">
        <v>4114</v>
      </c>
      <c r="AQ11" s="14">
        <f t="shared" si="2"/>
        <v>1.1791344224706219</v>
      </c>
      <c r="AR11" s="13">
        <v>4062</v>
      </c>
      <c r="AS11" s="14">
        <f t="shared" si="3"/>
        <v>1.1642304385210662</v>
      </c>
      <c r="AT11" s="13">
        <v>3538</v>
      </c>
      <c r="AU11" s="14">
        <f t="shared" si="4"/>
        <v>1.0140441387216967</v>
      </c>
      <c r="AV11" s="13">
        <v>3594</v>
      </c>
      <c r="AW11" s="14">
        <f t="shared" si="4"/>
        <v>1.0300945829750645</v>
      </c>
      <c r="AX11" s="13">
        <v>3498</v>
      </c>
      <c r="AY11" s="14">
        <f t="shared" si="4"/>
        <v>1.0025795356835769</v>
      </c>
      <c r="AZ11" s="2">
        <v>3580</v>
      </c>
      <c r="BA11" s="14">
        <f t="shared" si="4"/>
        <v>1.0260819719117225</v>
      </c>
      <c r="BB11" s="2">
        <v>4194</v>
      </c>
      <c r="BC11" s="14">
        <f t="shared" si="4"/>
        <v>1.2020636285468616</v>
      </c>
      <c r="BD11" s="2">
        <v>4002</v>
      </c>
      <c r="BE11" s="14">
        <f t="shared" si="11"/>
        <v>1.1470335339638864</v>
      </c>
      <c r="BF11" s="2">
        <v>3579</v>
      </c>
      <c r="BG11" s="14">
        <f t="shared" si="5"/>
        <v>1.0257953568357696</v>
      </c>
      <c r="BH11" s="10">
        <v>3998</v>
      </c>
      <c r="BI11" s="14">
        <f t="shared" si="6"/>
        <v>1.1458870736600746</v>
      </c>
      <c r="BK11" s="10">
        <v>4316</v>
      </c>
      <c r="BM11" s="10">
        <v>4056</v>
      </c>
      <c r="BO11" s="10">
        <v>4218</v>
      </c>
      <c r="BQ11" s="10">
        <v>4053</v>
      </c>
      <c r="BS11" s="10">
        <v>4117</v>
      </c>
      <c r="BU11" s="10">
        <v>4054</v>
      </c>
      <c r="BW11" s="10">
        <v>4035</v>
      </c>
      <c r="BY11" s="10">
        <v>4179</v>
      </c>
      <c r="CA11" s="10">
        <v>4159</v>
      </c>
      <c r="CC11" s="10">
        <v>4148</v>
      </c>
      <c r="CE11" s="10">
        <v>4146</v>
      </c>
      <c r="CG11" s="10">
        <v>4199</v>
      </c>
      <c r="CI11" s="10">
        <v>3867</v>
      </c>
      <c r="CK11" s="10">
        <v>4309</v>
      </c>
      <c r="CM11" s="10">
        <v>3942</v>
      </c>
      <c r="CO11" s="10">
        <v>4184</v>
      </c>
      <c r="CQ11" s="10">
        <v>4132</v>
      </c>
      <c r="CS11" s="10">
        <v>4076</v>
      </c>
      <c r="CT11" s="10" t="s">
        <v>1718</v>
      </c>
    </row>
    <row r="12" spans="1:98" s="445" customFormat="1" ht="15.75" customHeight="1" thickBot="1">
      <c r="A12" s="21">
        <v>25</v>
      </c>
      <c r="B12" s="72" t="s">
        <v>22</v>
      </c>
      <c r="C12" s="55" t="s">
        <v>1574</v>
      </c>
      <c r="E12" s="57"/>
      <c r="F12" s="58"/>
      <c r="G12" s="73"/>
      <c r="CQ12" s="445">
        <v>13834</v>
      </c>
      <c r="CS12" s="445">
        <v>3864</v>
      </c>
      <c r="CT12" s="445" t="s">
        <v>1718</v>
      </c>
    </row>
    <row r="13" spans="1:98" s="10" customFormat="1" ht="18.75" customHeight="1">
      <c r="A13" s="159">
        <v>14</v>
      </c>
      <c r="B13" s="137" t="s">
        <v>127</v>
      </c>
      <c r="C13" s="121" t="str">
        <f ca="1">E13</f>
        <v>{"dossierInstitution":`Z01b_${p.AHVNumber5} 4-No85`,"klientschaft":`${p.FamilyName32}, ${p.ManFirstName32}`,"buttonBewilligung":"Anfragen","checkStatus":"In Bearbeitung"}</v>
      </c>
      <c r="D13" s="76"/>
      <c r="E13" s="77" t="str">
        <f t="shared" ref="E13:E27" ca="1" si="12">F13&amp;G13&amp;H13&amp;I13&amp;J13&amp;K13&amp;L13&amp;M13&amp;N13&amp;O13&amp;P13&amp;Q13&amp;R13&amp;S13&amp;T13&amp;U13&amp;V13&amp;W13&amp;X13</f>
        <v>{"dossierInstitution":`Z01b_${p.AHVNumber5} 4-No85`,"klientschaft":`${p.FamilyName32}, ${p.ManFirstName32}`,"buttonBewilligung":"Anfragen","checkStatus":"In Bearbeitung"}</v>
      </c>
      <c r="F13" s="78" t="s">
        <v>335</v>
      </c>
      <c r="G13" s="79" t="str">
        <f ca="1">G11</f>
        <v>Z01b_${p.AHVNumber5} 4-No85</v>
      </c>
      <c r="H13" s="78" t="s">
        <v>336</v>
      </c>
      <c r="I13" s="64" t="str">
        <f>I24</f>
        <v>${p.FamilyName32}, ${p.ManFirstName32}</v>
      </c>
      <c r="J13" s="78" t="s">
        <v>130</v>
      </c>
      <c r="K13" s="80" t="s">
        <v>131</v>
      </c>
      <c r="L13" s="78" t="s">
        <v>132</v>
      </c>
      <c r="M13" s="78" t="s">
        <v>133</v>
      </c>
      <c r="N13" s="78" t="s">
        <v>37</v>
      </c>
      <c r="O13" s="76"/>
      <c r="P13" s="78"/>
      <c r="Q13" s="76"/>
      <c r="R13" s="78"/>
      <c r="S13" s="76"/>
      <c r="T13" s="78"/>
      <c r="U13" s="76"/>
      <c r="V13" s="78"/>
      <c r="W13" s="76"/>
      <c r="X13" s="76"/>
      <c r="Y13" s="76"/>
      <c r="Z13" s="76"/>
      <c r="AA13" s="76"/>
      <c r="AB13" s="76"/>
      <c r="AC13" s="76"/>
      <c r="AD13" s="76"/>
      <c r="AE13" s="4"/>
      <c r="AF13" s="4"/>
      <c r="AG13" s="76">
        <v>1017</v>
      </c>
      <c r="AH13" s="76">
        <v>1004</v>
      </c>
      <c r="AI13" s="14">
        <f t="shared" si="0"/>
        <v>0.98721730580137657</v>
      </c>
      <c r="AJ13" s="76">
        <v>1012</v>
      </c>
      <c r="AK13" s="14">
        <f t="shared" si="9"/>
        <v>0.99508357915437562</v>
      </c>
      <c r="AL13" s="76">
        <v>1013</v>
      </c>
      <c r="AM13" s="14">
        <f t="shared" si="10"/>
        <v>0.99606686332350047</v>
      </c>
      <c r="AN13" s="76">
        <v>1007</v>
      </c>
      <c r="AO13" s="14">
        <f t="shared" si="1"/>
        <v>0.99016715830875124</v>
      </c>
      <c r="AP13" s="76">
        <v>1016</v>
      </c>
      <c r="AQ13" s="14">
        <f t="shared" si="2"/>
        <v>0.99901671583087515</v>
      </c>
      <c r="AR13" s="76">
        <v>1011</v>
      </c>
      <c r="AS13" s="14">
        <f t="shared" si="3"/>
        <v>0.99410029498525077</v>
      </c>
      <c r="AT13" s="76">
        <v>1013</v>
      </c>
      <c r="AU13" s="14">
        <f t="shared" si="4"/>
        <v>0.99606686332350047</v>
      </c>
      <c r="AV13" s="76">
        <v>1011</v>
      </c>
      <c r="AW13" s="14">
        <f t="shared" si="4"/>
        <v>0.99410029498525077</v>
      </c>
      <c r="AX13" s="76">
        <v>1011</v>
      </c>
      <c r="AY13" s="14">
        <f t="shared" si="4"/>
        <v>0.99410029498525077</v>
      </c>
      <c r="AZ13" s="2">
        <v>1009</v>
      </c>
      <c r="BA13" s="14">
        <f t="shared" si="4"/>
        <v>0.99213372664700095</v>
      </c>
      <c r="BB13" s="2">
        <v>1005</v>
      </c>
      <c r="BC13" s="14">
        <f t="shared" si="4"/>
        <v>0.98820058997050142</v>
      </c>
      <c r="BD13" s="2">
        <v>1017</v>
      </c>
      <c r="BE13" s="14">
        <f t="shared" si="11"/>
        <v>1</v>
      </c>
      <c r="BF13" s="2">
        <v>1014</v>
      </c>
      <c r="BG13" s="14">
        <f t="shared" si="5"/>
        <v>0.99705014749262533</v>
      </c>
      <c r="BH13" s="10">
        <v>1008</v>
      </c>
      <c r="BI13" s="14">
        <f t="shared" si="6"/>
        <v>0.99115044247787609</v>
      </c>
      <c r="BK13" s="10">
        <v>1212</v>
      </c>
      <c r="BM13" s="10">
        <v>1003</v>
      </c>
      <c r="BO13" s="10">
        <v>929</v>
      </c>
      <c r="BQ13" s="10">
        <v>1436</v>
      </c>
      <c r="BS13" s="10">
        <v>970</v>
      </c>
      <c r="BU13" s="10">
        <v>1100</v>
      </c>
      <c r="BW13" s="10">
        <v>956</v>
      </c>
      <c r="BY13" s="10">
        <v>1554</v>
      </c>
      <c r="CA13" s="10">
        <v>1576</v>
      </c>
      <c r="CC13" s="10">
        <v>1564</v>
      </c>
      <c r="CE13" s="10">
        <v>9337</v>
      </c>
      <c r="CG13" s="10">
        <v>7361</v>
      </c>
      <c r="CI13" s="10">
        <v>8634</v>
      </c>
      <c r="CK13" s="10">
        <v>7390</v>
      </c>
      <c r="CM13" s="10">
        <v>5324</v>
      </c>
      <c r="CO13" s="10">
        <v>10999</v>
      </c>
      <c r="CQ13" s="10">
        <v>10005</v>
      </c>
      <c r="CS13" s="10">
        <v>10008</v>
      </c>
      <c r="CT13" s="10" t="s">
        <v>1718</v>
      </c>
    </row>
    <row r="14" spans="1:98" s="10" customFormat="1" ht="15.75" customHeight="1">
      <c r="A14" s="119">
        <v>15</v>
      </c>
      <c r="B14" s="120" t="s">
        <v>134</v>
      </c>
      <c r="C14" s="121" t="str">
        <f>E14</f>
        <v>{"username":"Bern.Sachbearbeiterin@diartis.ch","password":"XXxa22?pdTA66-S@"}</v>
      </c>
      <c r="D14" s="82"/>
      <c r="E14" s="83" t="str">
        <f t="shared" si="12"/>
        <v>{"username":"Bern.Sachbearbeiterin@diartis.ch","password":"XXxa22?pdTA66-S@"}</v>
      </c>
      <c r="F14" s="84" t="s">
        <v>29</v>
      </c>
      <c r="G14" s="85" t="s">
        <v>30</v>
      </c>
      <c r="H14" s="84" t="s">
        <v>31</v>
      </c>
      <c r="I14" s="86" t="s">
        <v>32</v>
      </c>
      <c r="J14" s="84" t="s">
        <v>37</v>
      </c>
      <c r="K14" s="87"/>
      <c r="L14" s="84"/>
      <c r="M14" s="82"/>
      <c r="N14" s="84"/>
      <c r="O14" s="82"/>
      <c r="P14" s="84"/>
      <c r="Q14" s="82"/>
      <c r="R14" s="84"/>
      <c r="S14" s="82"/>
      <c r="T14" s="84"/>
      <c r="U14" s="82"/>
      <c r="V14" s="84"/>
      <c r="W14" s="82"/>
      <c r="X14" s="82"/>
      <c r="Y14" s="82"/>
      <c r="Z14" s="82"/>
      <c r="AA14" s="82"/>
      <c r="AB14" s="82"/>
      <c r="AC14" s="82"/>
      <c r="AD14" s="82"/>
      <c r="AE14" s="4"/>
      <c r="AF14" s="4"/>
      <c r="AG14" s="82">
        <v>12078</v>
      </c>
      <c r="AH14" s="82">
        <v>11998</v>
      </c>
      <c r="AI14" s="14">
        <f t="shared" si="0"/>
        <v>0.99337638681900975</v>
      </c>
      <c r="AJ14" s="82">
        <v>13205</v>
      </c>
      <c r="AK14" s="14">
        <f t="shared" si="9"/>
        <v>1.0933101506871998</v>
      </c>
      <c r="AL14" s="82">
        <v>12935</v>
      </c>
      <c r="AM14" s="14">
        <f t="shared" si="10"/>
        <v>1.0709554562013579</v>
      </c>
      <c r="AN14" s="82">
        <v>14325</v>
      </c>
      <c r="AO14" s="14">
        <f t="shared" si="1"/>
        <v>1.1860407352210631</v>
      </c>
      <c r="AP14" s="82">
        <v>14339</v>
      </c>
      <c r="AQ14" s="14">
        <f t="shared" si="2"/>
        <v>1.1871998675277364</v>
      </c>
      <c r="AR14" s="82">
        <v>14264</v>
      </c>
      <c r="AS14" s="14">
        <f t="shared" si="3"/>
        <v>1.1809902301705579</v>
      </c>
      <c r="AT14" s="82">
        <v>13811</v>
      </c>
      <c r="AU14" s="14">
        <f t="shared" si="4"/>
        <v>1.1434840205332009</v>
      </c>
      <c r="AV14" s="82">
        <v>13851</v>
      </c>
      <c r="AW14" s="14">
        <f t="shared" si="4"/>
        <v>1.146795827123696</v>
      </c>
      <c r="AX14" s="82">
        <v>9877</v>
      </c>
      <c r="AY14" s="14">
        <f t="shared" si="4"/>
        <v>0.81776784235800626</v>
      </c>
      <c r="AZ14" s="2">
        <v>10049</v>
      </c>
      <c r="BA14" s="14">
        <f t="shared" si="4"/>
        <v>0.83200861069713528</v>
      </c>
      <c r="BB14" s="2">
        <v>10759</v>
      </c>
      <c r="BC14" s="14">
        <f t="shared" si="4"/>
        <v>0.89079317767842359</v>
      </c>
      <c r="BD14" s="2">
        <v>10755</v>
      </c>
      <c r="BE14" s="14">
        <f t="shared" si="11"/>
        <v>0.89046199701937412</v>
      </c>
      <c r="BF14" s="2">
        <v>10084</v>
      </c>
      <c r="BG14" s="14">
        <f t="shared" si="5"/>
        <v>0.83490644146381854</v>
      </c>
      <c r="BH14" s="10">
        <v>9567</v>
      </c>
      <c r="BI14" s="14">
        <f t="shared" si="6"/>
        <v>0.7921013412816692</v>
      </c>
      <c r="BK14" s="10">
        <v>11794</v>
      </c>
      <c r="BM14" s="10">
        <v>11340</v>
      </c>
      <c r="BO14" s="10">
        <v>10341</v>
      </c>
      <c r="BQ14" s="10">
        <v>9652</v>
      </c>
      <c r="BS14" s="1641">
        <v>0</v>
      </c>
      <c r="BT14" s="1642" t="s">
        <v>1367</v>
      </c>
      <c r="BU14" s="1782">
        <v>0</v>
      </c>
      <c r="BV14" s="1783" t="s">
        <v>1370</v>
      </c>
      <c r="BW14" s="1923">
        <v>0</v>
      </c>
      <c r="BX14" s="1924" t="s">
        <v>1374</v>
      </c>
      <c r="BY14" s="2231">
        <v>0</v>
      </c>
      <c r="BZ14" s="2232" t="s">
        <v>1420</v>
      </c>
      <c r="CA14" s="2398">
        <v>0</v>
      </c>
      <c r="CB14" s="2399" t="s">
        <v>1429</v>
      </c>
      <c r="CC14" s="2554">
        <v>0</v>
      </c>
      <c r="CD14" s="2555" t="s">
        <v>1439</v>
      </c>
      <c r="CE14" s="2719">
        <v>0</v>
      </c>
      <c r="CF14" s="2720" t="s">
        <v>1451</v>
      </c>
      <c r="CG14" s="2904">
        <v>0</v>
      </c>
      <c r="CH14" s="2905" t="s">
        <v>1470</v>
      </c>
      <c r="CI14" s="3094">
        <v>0</v>
      </c>
      <c r="CJ14" s="3095" t="s">
        <v>1491</v>
      </c>
      <c r="CK14" s="3276">
        <v>0</v>
      </c>
      <c r="CL14" s="3277" t="s">
        <v>1502</v>
      </c>
      <c r="CM14" s="3446">
        <v>0</v>
      </c>
      <c r="CN14" s="3447" t="s">
        <v>1513</v>
      </c>
      <c r="CO14" s="3652">
        <v>0</v>
      </c>
      <c r="CP14" s="3653" t="s">
        <v>1550</v>
      </c>
      <c r="CQ14" s="10">
        <v>22111</v>
      </c>
      <c r="CS14" s="10">
        <v>7644</v>
      </c>
      <c r="CT14" s="10" t="s">
        <v>1718</v>
      </c>
    </row>
    <row r="15" spans="1:98" s="10" customFormat="1" ht="15.75" customHeight="1">
      <c r="A15" s="119">
        <v>17</v>
      </c>
      <c r="B15" s="120" t="s">
        <v>127</v>
      </c>
      <c r="C15" s="121" t="str">
        <f ca="1">E15</f>
        <v>{"dossierInstitution":`Z01b_${p.AHVNumber5} 4-No85`,"klientschaft":`${p.FamilyName32}, ${p.ManFirstName32}`,"buttonBewilligung":"Bewilligen","checkStatus":"Bewilligt"}</v>
      </c>
      <c r="D15" s="76"/>
      <c r="E15" s="77" t="str">
        <f t="shared" ca="1" si="12"/>
        <v>{"dossierInstitution":`Z01b_${p.AHVNumber5} 4-No85`,"klientschaft":`${p.FamilyName32}, ${p.ManFirstName32}`,"buttonBewilligung":"Bewilligen","checkStatus":"Bewilligt"}</v>
      </c>
      <c r="F15" s="78" t="s">
        <v>335</v>
      </c>
      <c r="G15" s="79" t="str">
        <f ca="1">Z01b!$G$11</f>
        <v>Z01b_${p.AHVNumber5} 4-No85</v>
      </c>
      <c r="H15" s="78" t="s">
        <v>336</v>
      </c>
      <c r="I15" s="64" t="str">
        <f>I24</f>
        <v>${p.FamilyName32}, ${p.ManFirstName32}</v>
      </c>
      <c r="J15" s="78" t="s">
        <v>130</v>
      </c>
      <c r="K15" s="80" t="s">
        <v>136</v>
      </c>
      <c r="L15" s="78" t="s">
        <v>132</v>
      </c>
      <c r="M15" s="78" t="s">
        <v>137</v>
      </c>
      <c r="N15" s="78" t="s">
        <v>37</v>
      </c>
      <c r="O15" s="76"/>
      <c r="P15" s="78"/>
      <c r="Q15" s="76"/>
      <c r="R15" s="78"/>
      <c r="S15" s="76"/>
      <c r="T15" s="78"/>
      <c r="U15" s="76"/>
      <c r="V15" s="78"/>
      <c r="W15" s="76"/>
      <c r="X15" s="76"/>
      <c r="Y15" s="76"/>
      <c r="Z15" s="76"/>
      <c r="AA15" s="76"/>
      <c r="AB15" s="76"/>
      <c r="AC15" s="76"/>
      <c r="AD15" s="76"/>
      <c r="AE15" s="4"/>
      <c r="AF15" s="4"/>
      <c r="AG15" s="76">
        <v>4790</v>
      </c>
      <c r="AH15" s="76">
        <v>5035</v>
      </c>
      <c r="AI15" s="14">
        <f t="shared" si="0"/>
        <v>1.0511482254697286</v>
      </c>
      <c r="AJ15" s="76">
        <v>5007</v>
      </c>
      <c r="AK15" s="14">
        <f t="shared" si="9"/>
        <v>1.045302713987474</v>
      </c>
      <c r="AL15" s="76">
        <v>5014</v>
      </c>
      <c r="AM15" s="14">
        <f t="shared" si="10"/>
        <v>1.0467640918580376</v>
      </c>
      <c r="AN15" s="76">
        <v>5022</v>
      </c>
      <c r="AO15" s="14">
        <f t="shared" si="1"/>
        <v>1.0484342379958247</v>
      </c>
      <c r="AP15" s="76">
        <v>5072</v>
      </c>
      <c r="AQ15" s="14">
        <f t="shared" si="2"/>
        <v>1.0588726513569937</v>
      </c>
      <c r="AR15" s="76">
        <v>5016</v>
      </c>
      <c r="AS15" s="14">
        <f t="shared" si="3"/>
        <v>1.0471816283924844</v>
      </c>
      <c r="AT15" s="76">
        <v>5007</v>
      </c>
      <c r="AU15" s="14">
        <f t="shared" si="4"/>
        <v>1.045302713987474</v>
      </c>
      <c r="AV15" s="76">
        <v>5018</v>
      </c>
      <c r="AW15" s="14">
        <f t="shared" si="4"/>
        <v>1.0475991649269312</v>
      </c>
      <c r="AX15" s="76">
        <v>5010</v>
      </c>
      <c r="AY15" s="14">
        <f t="shared" si="4"/>
        <v>1.0459290187891441</v>
      </c>
      <c r="AZ15" s="2">
        <v>5007</v>
      </c>
      <c r="BA15" s="14">
        <f t="shared" si="4"/>
        <v>1.045302713987474</v>
      </c>
      <c r="BB15" s="2">
        <v>5004</v>
      </c>
      <c r="BC15" s="14">
        <f t="shared" si="4"/>
        <v>1.0446764091858038</v>
      </c>
      <c r="BD15" s="2">
        <v>5021</v>
      </c>
      <c r="BE15" s="14">
        <f t="shared" si="11"/>
        <v>1.0482254697286013</v>
      </c>
      <c r="BF15" s="2">
        <v>5009</v>
      </c>
      <c r="BG15" s="14">
        <f t="shared" si="5"/>
        <v>1.0457202505219207</v>
      </c>
      <c r="BH15" s="10">
        <v>5007</v>
      </c>
      <c r="BI15" s="14">
        <f t="shared" si="6"/>
        <v>1.045302713987474</v>
      </c>
      <c r="BK15" s="10">
        <v>9422</v>
      </c>
      <c r="BM15" s="10">
        <v>9986</v>
      </c>
      <c r="BO15" s="10">
        <v>9296</v>
      </c>
      <c r="BQ15" s="10">
        <v>10006</v>
      </c>
      <c r="BS15" s="10">
        <v>394</v>
      </c>
      <c r="BU15" s="10">
        <v>485</v>
      </c>
      <c r="BW15" s="10">
        <v>399</v>
      </c>
      <c r="BY15" s="10">
        <v>358</v>
      </c>
      <c r="CA15" s="10">
        <v>390</v>
      </c>
      <c r="CC15" s="10">
        <v>363</v>
      </c>
      <c r="CE15" s="10">
        <v>418</v>
      </c>
      <c r="CG15" s="10">
        <v>423</v>
      </c>
      <c r="CI15" s="10">
        <v>415</v>
      </c>
      <c r="CK15" s="10">
        <v>424</v>
      </c>
      <c r="CM15" s="10">
        <v>578</v>
      </c>
      <c r="CO15" s="10">
        <v>492</v>
      </c>
      <c r="CQ15" s="10">
        <v>9750</v>
      </c>
      <c r="CS15" s="4169">
        <v>0</v>
      </c>
      <c r="CT15" s="4170" t="s">
        <v>1744</v>
      </c>
    </row>
    <row r="16" spans="1:98" ht="15.75" customHeight="1">
      <c r="A16" s="119">
        <v>18</v>
      </c>
      <c r="B16" s="120" t="s">
        <v>134</v>
      </c>
      <c r="C16" s="594" t="s">
        <v>138</v>
      </c>
      <c r="E16" s="2" t="str">
        <f t="shared" si="12"/>
        <v>{"username":"Bern.Sachbearbeiterin@diartis.ch","password":"XXxa22?pdTA66-S@"}</v>
      </c>
      <c r="F16" s="41" t="s">
        <v>29</v>
      </c>
      <c r="G16" s="2" t="s">
        <v>30</v>
      </c>
      <c r="H16" s="41" t="s">
        <v>31</v>
      </c>
      <c r="I16" s="2" t="s">
        <v>32</v>
      </c>
      <c r="J16" s="41" t="s">
        <v>37</v>
      </c>
      <c r="L16" s="41"/>
      <c r="N16" s="41"/>
      <c r="P16" s="41"/>
      <c r="R16" s="41"/>
      <c r="T16" s="41"/>
      <c r="V16" s="41"/>
      <c r="AG16" s="2">
        <v>12332</v>
      </c>
      <c r="AH16" s="2">
        <v>12688</v>
      </c>
      <c r="AI16" s="14">
        <f t="shared" si="0"/>
        <v>1.0288679857281868</v>
      </c>
      <c r="AJ16" s="2">
        <v>12610</v>
      </c>
      <c r="AK16" s="14">
        <f t="shared" si="9"/>
        <v>1.0225429776192021</v>
      </c>
      <c r="AL16" s="2">
        <v>13286</v>
      </c>
      <c r="AM16" s="14">
        <f t="shared" si="10"/>
        <v>1.0773597145637366</v>
      </c>
      <c r="AN16" s="2">
        <v>13505</v>
      </c>
      <c r="AO16" s="14">
        <f t="shared" si="1"/>
        <v>1.0951183911774245</v>
      </c>
      <c r="AP16" s="2">
        <v>13825</v>
      </c>
      <c r="AQ16" s="14">
        <f t="shared" si="2"/>
        <v>1.1210671423937724</v>
      </c>
      <c r="AR16" s="2">
        <v>13317</v>
      </c>
      <c r="AS16" s="14">
        <f t="shared" si="3"/>
        <v>1.0798734998378203</v>
      </c>
      <c r="AT16" s="2">
        <v>13148</v>
      </c>
      <c r="AU16" s="14">
        <f t="shared" si="4"/>
        <v>1.0661693156016867</v>
      </c>
      <c r="AV16" s="2">
        <v>13175</v>
      </c>
      <c r="AW16" s="14">
        <f t="shared" si="4"/>
        <v>1.068358741485566</v>
      </c>
      <c r="AX16" s="2">
        <v>10424</v>
      </c>
      <c r="AY16" s="14">
        <f t="shared" si="4"/>
        <v>0.84528057087252673</v>
      </c>
      <c r="AZ16" s="2">
        <v>10153</v>
      </c>
      <c r="BA16" s="14">
        <f t="shared" si="4"/>
        <v>0.8233052221861823</v>
      </c>
      <c r="BB16" s="2">
        <v>8925</v>
      </c>
      <c r="BC16" s="14">
        <f t="shared" si="4"/>
        <v>0.72372688939344798</v>
      </c>
      <c r="BD16" s="2">
        <v>9127</v>
      </c>
      <c r="BE16" s="14">
        <f t="shared" si="11"/>
        <v>0.74010703859876747</v>
      </c>
      <c r="BF16" s="2">
        <v>8325</v>
      </c>
      <c r="BG16" s="14">
        <f t="shared" si="5"/>
        <v>0.67507298086279599</v>
      </c>
      <c r="BH16" s="2">
        <v>8554</v>
      </c>
      <c r="BI16" s="14">
        <f t="shared" si="6"/>
        <v>0.69364255595199475</v>
      </c>
      <c r="BK16" s="2">
        <v>11900</v>
      </c>
      <c r="BM16" s="2">
        <v>10745</v>
      </c>
      <c r="BO16" s="2">
        <v>10390</v>
      </c>
      <c r="BQ16" s="2">
        <v>9336</v>
      </c>
      <c r="CQ16" s="2">
        <v>14534</v>
      </c>
      <c r="CS16" s="2">
        <v>190</v>
      </c>
      <c r="CT16" s="2" t="s">
        <v>1718</v>
      </c>
    </row>
    <row r="17" spans="1:96" s="10" customFormat="1" ht="15.75" customHeight="1">
      <c r="A17" s="119">
        <v>20</v>
      </c>
      <c r="B17" s="591" t="s">
        <v>139</v>
      </c>
      <c r="C17" s="595" t="str">
        <f t="shared" ref="C17:C27" ca="1" si="13">E17</f>
        <v>{"searchDossierOrKlient":`Z01b_${p.AHVNumber5} 4-No85`,"resultType":"Dossiers"}</v>
      </c>
      <c r="D17" s="90"/>
      <c r="E17" s="91" t="str">
        <f t="shared" ca="1" si="12"/>
        <v>{"searchDossierOrKlient":`Z01b_${p.AHVNumber5} 4-No85`,"resultType":"Dossiers"}</v>
      </c>
      <c r="F17" s="92" t="s">
        <v>407</v>
      </c>
      <c r="G17" s="79" t="str">
        <f ca="1">Z01b!$G$11</f>
        <v>Z01b_${p.AHVNumber5} 4-No85</v>
      </c>
      <c r="H17" s="92" t="s">
        <v>408</v>
      </c>
      <c r="I17" s="90" t="s">
        <v>142</v>
      </c>
      <c r="J17" s="92" t="s">
        <v>37</v>
      </c>
      <c r="K17" s="90"/>
      <c r="L17" s="92"/>
      <c r="M17" s="90"/>
      <c r="N17" s="92"/>
      <c r="O17" s="90"/>
      <c r="P17" s="92"/>
      <c r="Q17" s="90"/>
      <c r="R17" s="92"/>
      <c r="S17" s="90"/>
      <c r="T17" s="92"/>
      <c r="U17" s="90"/>
      <c r="V17" s="92"/>
      <c r="W17" s="90"/>
      <c r="X17" s="90"/>
      <c r="Y17" s="90"/>
      <c r="Z17" s="90"/>
      <c r="AA17" s="90"/>
      <c r="AB17" s="90"/>
      <c r="AC17" s="90"/>
      <c r="AD17" s="90"/>
      <c r="AE17" s="4"/>
      <c r="AF17" s="4"/>
      <c r="AG17" s="90">
        <v>5018</v>
      </c>
      <c r="AH17" s="90">
        <v>5019</v>
      </c>
      <c r="AI17" s="14">
        <f t="shared" si="0"/>
        <v>1.0001992825827022</v>
      </c>
      <c r="AJ17" s="90">
        <v>5004</v>
      </c>
      <c r="AK17" s="14">
        <f t="shared" si="9"/>
        <v>0.99721004384216816</v>
      </c>
      <c r="AL17" s="90">
        <v>5007</v>
      </c>
      <c r="AM17" s="14">
        <f t="shared" si="10"/>
        <v>0.99780789159027505</v>
      </c>
      <c r="AN17" s="90">
        <v>5011</v>
      </c>
      <c r="AO17" s="14">
        <f t="shared" si="1"/>
        <v>0.99860502192108413</v>
      </c>
      <c r="AP17" s="90">
        <v>5013</v>
      </c>
      <c r="AQ17" s="14">
        <f t="shared" si="2"/>
        <v>0.99900358708648862</v>
      </c>
      <c r="AR17" s="90">
        <v>5018</v>
      </c>
      <c r="AS17" s="14">
        <f t="shared" si="3"/>
        <v>1</v>
      </c>
      <c r="AT17" s="90">
        <v>5009</v>
      </c>
      <c r="AU17" s="14">
        <f t="shared" si="4"/>
        <v>0.99820645675567954</v>
      </c>
      <c r="AV17" s="90">
        <v>5012</v>
      </c>
      <c r="AW17" s="14">
        <f t="shared" si="4"/>
        <v>0.99880430450378632</v>
      </c>
      <c r="AX17" s="90">
        <v>5004</v>
      </c>
      <c r="AY17" s="14">
        <f t="shared" si="4"/>
        <v>0.99721004384216816</v>
      </c>
      <c r="AZ17" s="2">
        <v>5016</v>
      </c>
      <c r="BA17" s="14">
        <f t="shared" si="4"/>
        <v>0.9996014348345954</v>
      </c>
      <c r="BB17" s="2">
        <v>5016</v>
      </c>
      <c r="BC17" s="14">
        <f t="shared" si="4"/>
        <v>0.9996014348345954</v>
      </c>
      <c r="BD17" s="2">
        <v>5009</v>
      </c>
      <c r="BE17" s="14">
        <f t="shared" si="11"/>
        <v>0.99820645675567954</v>
      </c>
      <c r="BF17" s="2">
        <v>5007</v>
      </c>
      <c r="BG17" s="14">
        <f t="shared" si="5"/>
        <v>0.99780789159027505</v>
      </c>
      <c r="BH17" s="10">
        <v>5019</v>
      </c>
      <c r="BI17" s="14">
        <f t="shared" si="6"/>
        <v>1.0001992825827022</v>
      </c>
      <c r="BK17" s="10">
        <v>9960</v>
      </c>
      <c r="BM17" s="10">
        <v>10400</v>
      </c>
      <c r="BO17" s="10">
        <v>10261</v>
      </c>
      <c r="BQ17" s="10">
        <v>9258</v>
      </c>
      <c r="CQ17" s="10">
        <v>9949</v>
      </c>
    </row>
    <row r="18" spans="1:96" s="10" customFormat="1" ht="18.75" customHeight="1" thickBot="1">
      <c r="A18" s="119">
        <v>21</v>
      </c>
      <c r="B18" s="590" t="s">
        <v>143</v>
      </c>
      <c r="C18" s="121" t="str">
        <f t="shared" si="13"/>
        <v>{"vermieter":"Graber Immobilien","wohnungsgrosse":"4 Zimmer","mietkosten":1200,"nebenkosten":100}</v>
      </c>
      <c r="D18" s="13"/>
      <c r="E18" s="45" t="str">
        <f t="shared" si="12"/>
        <v>{"vermieter":"Graber Immobilien","wohnungsgrosse":"4 Zimmer","mietkosten":1200,"nebenkosten":100}</v>
      </c>
      <c r="F18" s="46" t="s">
        <v>144</v>
      </c>
      <c r="G18" s="93" t="s">
        <v>145</v>
      </c>
      <c r="H18" s="46" t="s">
        <v>146</v>
      </c>
      <c r="I18" s="13" t="s">
        <v>147</v>
      </c>
      <c r="J18" s="46" t="s">
        <v>148</v>
      </c>
      <c r="K18" s="13">
        <v>1200</v>
      </c>
      <c r="L18" s="46" t="s">
        <v>149</v>
      </c>
      <c r="M18" s="13">
        <v>100</v>
      </c>
      <c r="N18" s="46" t="s">
        <v>109</v>
      </c>
      <c r="O18" s="13"/>
      <c r="P18" s="46"/>
      <c r="Q18" s="13"/>
      <c r="R18" s="46"/>
      <c r="S18" s="13"/>
      <c r="T18" s="46"/>
      <c r="U18" s="13"/>
      <c r="V18" s="46"/>
      <c r="W18" s="13"/>
      <c r="X18" s="13"/>
      <c r="Y18" s="13"/>
      <c r="Z18" s="13"/>
      <c r="AA18" s="13"/>
      <c r="AB18" s="13"/>
      <c r="AC18" s="13"/>
      <c r="AD18" s="13"/>
      <c r="AE18" s="4"/>
      <c r="AF18" s="4"/>
      <c r="AG18" s="13">
        <v>10549</v>
      </c>
      <c r="AH18" s="13">
        <v>10778</v>
      </c>
      <c r="AI18" s="14">
        <f t="shared" si="0"/>
        <v>1.0217082187885107</v>
      </c>
      <c r="AJ18" s="13">
        <v>11640</v>
      </c>
      <c r="AK18" s="14">
        <f t="shared" si="9"/>
        <v>1.1034221253199354</v>
      </c>
      <c r="AL18" s="13">
        <v>11381</v>
      </c>
      <c r="AM18" s="14">
        <f t="shared" si="10"/>
        <v>1.0788700350744147</v>
      </c>
      <c r="AN18" s="13">
        <v>10688</v>
      </c>
      <c r="AO18" s="14">
        <f t="shared" si="1"/>
        <v>1.0131766044174804</v>
      </c>
      <c r="AP18" s="13">
        <v>10550</v>
      </c>
      <c r="AQ18" s="14">
        <f t="shared" si="2"/>
        <v>1.0000947957152337</v>
      </c>
      <c r="AR18" s="13">
        <v>10994</v>
      </c>
      <c r="AS18" s="14">
        <f t="shared" si="3"/>
        <v>1.0421840932789839</v>
      </c>
      <c r="AT18" s="13">
        <v>10439</v>
      </c>
      <c r="AU18" s="14">
        <f t="shared" si="4"/>
        <v>0.98957247132429615</v>
      </c>
      <c r="AV18" s="13">
        <v>10488</v>
      </c>
      <c r="AW18" s="14">
        <f t="shared" si="4"/>
        <v>0.99421746137074607</v>
      </c>
      <c r="AX18" s="13">
        <v>2431</v>
      </c>
      <c r="AY18" s="14">
        <f t="shared" si="4"/>
        <v>0.23044838373305526</v>
      </c>
      <c r="AZ18" s="2">
        <v>2752</v>
      </c>
      <c r="BA18" s="14">
        <f t="shared" si="4"/>
        <v>0.26087780832306379</v>
      </c>
      <c r="BB18" s="2">
        <v>4630</v>
      </c>
      <c r="BC18" s="14">
        <f t="shared" si="4"/>
        <v>0.43890416153189876</v>
      </c>
      <c r="BD18" s="2">
        <v>4748</v>
      </c>
      <c r="BE18" s="14">
        <f t="shared" si="11"/>
        <v>0.45009005592947199</v>
      </c>
      <c r="BF18" s="2">
        <v>5013</v>
      </c>
      <c r="BG18" s="14">
        <f t="shared" si="5"/>
        <v>0.4752109204663949</v>
      </c>
      <c r="BH18" s="10">
        <v>4864</v>
      </c>
      <c r="BI18" s="14">
        <f t="shared" si="6"/>
        <v>0.4610863588965779</v>
      </c>
      <c r="BK18" s="10">
        <v>5861</v>
      </c>
      <c r="BM18" s="10">
        <v>7420</v>
      </c>
      <c r="BO18" s="10">
        <v>6120</v>
      </c>
      <c r="BQ18" s="10">
        <v>6013</v>
      </c>
      <c r="CQ18" s="10">
        <v>14699</v>
      </c>
    </row>
    <row r="19" spans="1:96" s="10" customFormat="1" ht="15.75" hidden="1" customHeight="1">
      <c r="A19" s="119"/>
      <c r="B19" s="120" t="s">
        <v>150</v>
      </c>
      <c r="C19" s="121" t="str">
        <f t="shared" ca="1" si="13"/>
        <v>{"name":p.FamilyName32,"vorname":p.WomanFirstName32,"geburtsdatum":p.BirthdayAdult33,"ahvNumber":p.AHVNumber126,"personInhausltVon":"01.11.2025","inHauslt":"Übernehmen","ereignis":"Eheschliessung"}</v>
      </c>
      <c r="D19" s="13"/>
      <c r="E19" s="45" t="str">
        <f t="shared" ca="1" si="12"/>
        <v>{"name":p.FamilyName32,"vorname":p.WomanFirstName32,"geburtsdatum":p.BirthdayAdult33,"ahvNumber":p.AHVNumber126,"personInhausltVon":"01.11.2025","inHauslt":"Übernehmen","ereignis":"Eheschliessung"}</v>
      </c>
      <c r="F19" s="46" t="s">
        <v>78</v>
      </c>
      <c r="G19" s="51" t="str">
        <f>G5</f>
        <v>p.FamilyName32</v>
      </c>
      <c r="H19" s="46" t="s">
        <v>79</v>
      </c>
      <c r="I19" s="64" t="str">
        <f>H54</f>
        <v>p.WomanFirstName32</v>
      </c>
      <c r="J19" s="46" t="s">
        <v>151</v>
      </c>
      <c r="K19" s="95" t="str">
        <f>J54</f>
        <v>p.BirthdayAdult33</v>
      </c>
      <c r="L19" s="46" t="s">
        <v>83</v>
      </c>
      <c r="M19" s="64" t="str">
        <f>I54</f>
        <v>p.AHVNumber126</v>
      </c>
      <c r="N19" s="46" t="s">
        <v>152</v>
      </c>
      <c r="O19" s="69" t="str">
        <f ca="1">"01."&amp;MONTH(TODAY())&amp;"."&amp;YEAR(TODAY())</f>
        <v>01.11.2025</v>
      </c>
      <c r="P19" s="46" t="s">
        <v>153</v>
      </c>
      <c r="Q19" s="13" t="s">
        <v>154</v>
      </c>
      <c r="R19" s="46" t="s">
        <v>155</v>
      </c>
      <c r="S19" s="13" t="s">
        <v>156</v>
      </c>
      <c r="T19" s="46" t="s">
        <v>37</v>
      </c>
      <c r="U19" s="13"/>
      <c r="V19" s="46"/>
      <c r="W19" s="13"/>
      <c r="X19" s="13"/>
      <c r="Y19" s="13"/>
      <c r="Z19" s="66"/>
      <c r="AA19" s="13"/>
      <c r="AB19" s="13"/>
      <c r="AC19" s="13"/>
      <c r="AD19" s="13"/>
      <c r="AE19" s="4"/>
      <c r="AF19" s="4"/>
      <c r="AG19" s="13">
        <v>2974</v>
      </c>
      <c r="AH19" s="13">
        <v>3081</v>
      </c>
      <c r="AI19" s="14">
        <f t="shared" si="0"/>
        <v>1.0359784801613987</v>
      </c>
      <c r="AJ19" s="13">
        <v>3617</v>
      </c>
      <c r="AK19" s="14">
        <f t="shared" si="9"/>
        <v>1.2162071284465366</v>
      </c>
      <c r="AL19" s="13">
        <v>4597</v>
      </c>
      <c r="AM19" s="14">
        <f t="shared" si="10"/>
        <v>1.5457296570275723</v>
      </c>
      <c r="AN19" s="13"/>
      <c r="AO19" s="14">
        <f t="shared" si="1"/>
        <v>0</v>
      </c>
      <c r="AP19" s="13"/>
      <c r="AQ19" s="14">
        <f t="shared" si="2"/>
        <v>0</v>
      </c>
      <c r="AR19" s="13"/>
      <c r="AS19" s="14">
        <f t="shared" si="3"/>
        <v>0</v>
      </c>
      <c r="AT19" s="13"/>
      <c r="AU19" s="14">
        <f t="shared" si="4"/>
        <v>0</v>
      </c>
      <c r="AV19" s="13"/>
      <c r="AW19" s="14">
        <f t="shared" si="4"/>
        <v>0</v>
      </c>
      <c r="AX19" s="13"/>
      <c r="AY19" s="14">
        <f t="shared" si="4"/>
        <v>0</v>
      </c>
      <c r="BA19" s="14">
        <f t="shared" si="4"/>
        <v>0</v>
      </c>
      <c r="BC19" s="14">
        <f t="shared" si="4"/>
        <v>0</v>
      </c>
      <c r="BE19" s="14">
        <f t="shared" si="11"/>
        <v>0</v>
      </c>
      <c r="BG19" s="14">
        <f t="shared" si="5"/>
        <v>0</v>
      </c>
      <c r="BI19" s="14">
        <f t="shared" si="6"/>
        <v>0</v>
      </c>
    </row>
    <row r="20" spans="1:96" s="10" customFormat="1" ht="15.75" hidden="1" customHeight="1">
      <c r="A20" s="119"/>
      <c r="B20" s="120" t="s">
        <v>150</v>
      </c>
      <c r="C20" s="121" t="str">
        <f t="shared" ca="1" si="13"/>
        <v>{"name":p.FamilyName32,"vorname":p.GirlFirstName32,"geburtsdatum":p.BirthdayKid32,"ahvNumber":p.AHVNumber127,"personInhausltVon":"01.11.2025","inHauslt":"Übernehmen","ereignis":"Geburt"}</v>
      </c>
      <c r="D20" s="13"/>
      <c r="E20" s="45" t="str">
        <f t="shared" ca="1" si="12"/>
        <v>{"name":p.FamilyName32,"vorname":p.GirlFirstName32,"geburtsdatum":p.BirthdayKid32,"ahvNumber":p.AHVNumber127,"personInhausltVon":"01.11.2025","inHauslt":"Übernehmen","ereignis":"Geburt"}</v>
      </c>
      <c r="F20" s="46" t="s">
        <v>78</v>
      </c>
      <c r="G20" s="51" t="str">
        <f>G19</f>
        <v>p.FamilyName32</v>
      </c>
      <c r="H20" s="46" t="s">
        <v>79</v>
      </c>
      <c r="I20" s="64" t="str">
        <f>H55</f>
        <v>p.GirlFirstName32</v>
      </c>
      <c r="J20" s="46" t="s">
        <v>151</v>
      </c>
      <c r="K20" s="95" t="str">
        <f>J55</f>
        <v>p.BirthdayKid32</v>
      </c>
      <c r="L20" s="46" t="s">
        <v>83</v>
      </c>
      <c r="M20" s="64" t="str">
        <f>I55</f>
        <v>p.AHVNumber127</v>
      </c>
      <c r="N20" s="46" t="s">
        <v>152</v>
      </c>
      <c r="O20" s="69" t="str">
        <f t="shared" ref="O20:O21" ca="1" si="14">"01."&amp;MONTH(TODAY())&amp;"."&amp;YEAR(TODAY())</f>
        <v>01.11.2025</v>
      </c>
      <c r="P20" s="46" t="s">
        <v>153</v>
      </c>
      <c r="Q20" s="13" t="s">
        <v>154</v>
      </c>
      <c r="R20" s="46" t="s">
        <v>155</v>
      </c>
      <c r="S20" s="13" t="s">
        <v>157</v>
      </c>
      <c r="T20" s="46" t="s">
        <v>37</v>
      </c>
      <c r="U20" s="13"/>
      <c r="V20" s="46"/>
      <c r="W20" s="13"/>
      <c r="X20" s="13"/>
      <c r="Y20" s="13"/>
      <c r="Z20" s="66"/>
      <c r="AA20" s="13"/>
      <c r="AB20" s="13"/>
      <c r="AC20" s="13"/>
      <c r="AD20" s="13"/>
      <c r="AE20" s="4"/>
      <c r="AF20" s="4"/>
      <c r="AG20" s="13">
        <v>2228</v>
      </c>
      <c r="AH20" s="13">
        <v>2358</v>
      </c>
      <c r="AI20" s="14">
        <f t="shared" si="0"/>
        <v>1.0583482944344704</v>
      </c>
      <c r="AJ20" s="13">
        <v>3908</v>
      </c>
      <c r="AK20" s="14">
        <f t="shared" si="9"/>
        <v>1.7540394973070017</v>
      </c>
      <c r="AL20" s="13">
        <v>4051</v>
      </c>
      <c r="AM20" s="14">
        <f t="shared" si="10"/>
        <v>1.8182226211849193</v>
      </c>
      <c r="AN20" s="13"/>
      <c r="AO20" s="14">
        <f t="shared" si="1"/>
        <v>0</v>
      </c>
      <c r="AP20" s="13"/>
      <c r="AQ20" s="14">
        <f t="shared" si="2"/>
        <v>0</v>
      </c>
      <c r="AR20" s="13"/>
      <c r="AS20" s="14">
        <f t="shared" si="3"/>
        <v>0</v>
      </c>
      <c r="AT20" s="13"/>
      <c r="AU20" s="14">
        <f t="shared" si="4"/>
        <v>0</v>
      </c>
      <c r="AV20" s="13"/>
      <c r="AW20" s="14">
        <f t="shared" si="4"/>
        <v>0</v>
      </c>
      <c r="AX20" s="13"/>
      <c r="AY20" s="14">
        <f t="shared" si="4"/>
        <v>0</v>
      </c>
      <c r="BA20" s="14">
        <f t="shared" si="4"/>
        <v>0</v>
      </c>
      <c r="BC20" s="14">
        <f t="shared" si="4"/>
        <v>0</v>
      </c>
      <c r="BE20" s="14">
        <f t="shared" si="11"/>
        <v>0</v>
      </c>
      <c r="BG20" s="14">
        <f t="shared" si="5"/>
        <v>0</v>
      </c>
      <c r="BI20" s="14">
        <f t="shared" si="6"/>
        <v>0</v>
      </c>
    </row>
    <row r="21" spans="1:96" s="10" customFormat="1" ht="15.75" hidden="1" customHeight="1">
      <c r="A21" s="119"/>
      <c r="B21" s="120" t="s">
        <v>150</v>
      </c>
      <c r="C21" s="121" t="str">
        <f t="shared" ca="1" si="13"/>
        <v>{"name":p.FamilyName32,"vorname":p.ManFirstName33,"geburtsdatum":p.BirthdayKid33,"ahvNumber":p.AHVNumber128,"personInhausltVon":"01.11.2025","inHauslt":"Übernehmen","ereignis":"Geburt"}</v>
      </c>
      <c r="D21" s="13"/>
      <c r="E21" s="45" t="str">
        <f t="shared" ca="1" si="12"/>
        <v>{"name":p.FamilyName32,"vorname":p.ManFirstName33,"geburtsdatum":p.BirthdayKid33,"ahvNumber":p.AHVNumber128,"personInhausltVon":"01.11.2025","inHauslt":"Übernehmen","ereignis":"Geburt"}</v>
      </c>
      <c r="F21" s="46" t="s">
        <v>78</v>
      </c>
      <c r="G21" s="51" t="str">
        <f>G20</f>
        <v>p.FamilyName32</v>
      </c>
      <c r="H21" s="46" t="s">
        <v>79</v>
      </c>
      <c r="I21" s="64" t="str">
        <f>H56</f>
        <v>p.ManFirstName33</v>
      </c>
      <c r="J21" s="46" t="s">
        <v>151</v>
      </c>
      <c r="K21" s="95" t="str">
        <f>J56</f>
        <v>p.BirthdayKid33</v>
      </c>
      <c r="L21" s="46" t="s">
        <v>83</v>
      </c>
      <c r="M21" s="64" t="str">
        <f>I56</f>
        <v>p.AHVNumber128</v>
      </c>
      <c r="N21" s="46" t="s">
        <v>152</v>
      </c>
      <c r="O21" s="69" t="str">
        <f t="shared" ca="1" si="14"/>
        <v>01.11.2025</v>
      </c>
      <c r="P21" s="46" t="s">
        <v>153</v>
      </c>
      <c r="Q21" s="13" t="s">
        <v>154</v>
      </c>
      <c r="R21" s="46" t="s">
        <v>155</v>
      </c>
      <c r="S21" s="13" t="s">
        <v>157</v>
      </c>
      <c r="T21" s="46" t="s">
        <v>37</v>
      </c>
      <c r="U21" s="13"/>
      <c r="V21" s="46"/>
      <c r="W21" s="13"/>
      <c r="X21" s="13"/>
      <c r="Y21" s="13"/>
      <c r="Z21" s="66"/>
      <c r="AA21" s="13"/>
      <c r="AB21" s="13"/>
      <c r="AC21" s="13"/>
      <c r="AD21" s="13"/>
      <c r="AE21" s="4"/>
      <c r="AF21" s="4"/>
      <c r="AG21" s="13">
        <v>3768</v>
      </c>
      <c r="AH21" s="13">
        <v>3267</v>
      </c>
      <c r="AI21" s="14">
        <f t="shared" si="0"/>
        <v>0.8670382165605095</v>
      </c>
      <c r="AJ21" s="13">
        <v>4655</v>
      </c>
      <c r="AK21" s="14">
        <f t="shared" si="9"/>
        <v>1.2354033970276008</v>
      </c>
      <c r="AL21" s="13">
        <v>4805</v>
      </c>
      <c r="AM21" s="14">
        <f t="shared" si="10"/>
        <v>1.2752123142250531</v>
      </c>
      <c r="AN21" s="13"/>
      <c r="AO21" s="14">
        <f t="shared" si="1"/>
        <v>0</v>
      </c>
      <c r="AP21" s="13"/>
      <c r="AQ21" s="14">
        <f t="shared" si="2"/>
        <v>0</v>
      </c>
      <c r="AR21" s="13"/>
      <c r="AS21" s="14">
        <f t="shared" si="3"/>
        <v>0</v>
      </c>
      <c r="AT21" s="13"/>
      <c r="AU21" s="14">
        <f t="shared" si="4"/>
        <v>0</v>
      </c>
      <c r="AV21" s="13"/>
      <c r="AW21" s="14">
        <f t="shared" si="4"/>
        <v>0</v>
      </c>
      <c r="AX21" s="13"/>
      <c r="AY21" s="14">
        <f t="shared" si="4"/>
        <v>0</v>
      </c>
      <c r="BA21" s="14">
        <f t="shared" si="4"/>
        <v>0</v>
      </c>
      <c r="BC21" s="14">
        <f t="shared" si="4"/>
        <v>0</v>
      </c>
      <c r="BE21" s="14">
        <f t="shared" si="11"/>
        <v>0</v>
      </c>
      <c r="BG21" s="14">
        <f t="shared" si="5"/>
        <v>0</v>
      </c>
      <c r="BI21" s="14">
        <f t="shared" si="6"/>
        <v>0</v>
      </c>
    </row>
    <row r="22" spans="1:96" s="10" customFormat="1" ht="15.75" hidden="1" customHeight="1">
      <c r="A22" s="119"/>
      <c r="B22" s="590" t="s">
        <v>143</v>
      </c>
      <c r="C22" s="121" t="str">
        <f t="shared" si="13"/>
        <v>{"vermieter":"Graber Immobilien","wohnungsgrosse":"4 Zimmer","mietkosten":3000,"nebenkosten":300}</v>
      </c>
      <c r="D22" s="13"/>
      <c r="E22" s="45" t="str">
        <f t="shared" si="12"/>
        <v>{"vermieter":"Graber Immobilien","wohnungsgrosse":"4 Zimmer","mietkosten":3000,"nebenkosten":300}</v>
      </c>
      <c r="F22" s="46" t="s">
        <v>144</v>
      </c>
      <c r="G22" s="93" t="s">
        <v>145</v>
      </c>
      <c r="H22" s="46" t="s">
        <v>146</v>
      </c>
      <c r="I22" s="13" t="s">
        <v>147</v>
      </c>
      <c r="J22" s="46" t="s">
        <v>148</v>
      </c>
      <c r="K22" s="13">
        <v>3000</v>
      </c>
      <c r="L22" s="46" t="s">
        <v>149</v>
      </c>
      <c r="M22" s="13">
        <v>300</v>
      </c>
      <c r="N22" s="46" t="s">
        <v>109</v>
      </c>
      <c r="O22" s="13"/>
      <c r="P22" s="46"/>
      <c r="Q22" s="13"/>
      <c r="R22" s="46"/>
      <c r="S22" s="13"/>
      <c r="T22" s="46"/>
      <c r="U22" s="13"/>
      <c r="V22" s="46"/>
      <c r="W22" s="13"/>
      <c r="X22" s="13"/>
      <c r="Y22" s="13"/>
      <c r="Z22" s="13"/>
      <c r="AA22" s="13"/>
      <c r="AB22" s="13"/>
      <c r="AC22" s="13"/>
      <c r="AD22" s="13"/>
      <c r="AE22" s="4"/>
      <c r="AF22" s="4"/>
      <c r="AG22" s="13">
        <v>2656</v>
      </c>
      <c r="AH22" s="13">
        <v>2777</v>
      </c>
      <c r="AI22" s="14">
        <f t="shared" si="0"/>
        <v>1.0455572289156627</v>
      </c>
      <c r="AJ22" s="13">
        <v>4144</v>
      </c>
      <c r="AK22" s="14">
        <f t="shared" si="9"/>
        <v>1.5602409638554218</v>
      </c>
      <c r="AL22" s="13">
        <v>4394</v>
      </c>
      <c r="AM22" s="14">
        <f t="shared" si="10"/>
        <v>1.6543674698795181</v>
      </c>
      <c r="AN22" s="13"/>
      <c r="AO22" s="14">
        <f t="shared" si="1"/>
        <v>0</v>
      </c>
      <c r="AP22" s="13"/>
      <c r="AQ22" s="14">
        <f t="shared" si="2"/>
        <v>0</v>
      </c>
      <c r="AR22" s="13"/>
      <c r="AS22" s="14">
        <f t="shared" si="3"/>
        <v>0</v>
      </c>
      <c r="AT22" s="13"/>
      <c r="AU22" s="14">
        <f t="shared" si="4"/>
        <v>0</v>
      </c>
      <c r="AV22" s="13"/>
      <c r="AW22" s="14">
        <f t="shared" si="4"/>
        <v>0</v>
      </c>
      <c r="AX22" s="13"/>
      <c r="AY22" s="14">
        <f t="shared" si="4"/>
        <v>0</v>
      </c>
      <c r="BA22" s="14">
        <f t="shared" si="4"/>
        <v>0</v>
      </c>
      <c r="BC22" s="14">
        <f t="shared" si="4"/>
        <v>0</v>
      </c>
      <c r="BE22" s="14">
        <f t="shared" si="11"/>
        <v>0</v>
      </c>
      <c r="BG22" s="14">
        <f t="shared" si="5"/>
        <v>0</v>
      </c>
      <c r="BI22" s="14">
        <f t="shared" si="6"/>
        <v>0</v>
      </c>
    </row>
    <row r="23" spans="1:96" s="53" customFormat="1" ht="17.25" hidden="1" customHeight="1">
      <c r="A23" s="119"/>
      <c r="B23" s="591" t="s">
        <v>22</v>
      </c>
      <c r="C23" s="592" t="s">
        <v>135</v>
      </c>
      <c r="D23" s="56"/>
      <c r="E23" s="57"/>
      <c r="F23" s="58"/>
      <c r="G23" s="73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4"/>
      <c r="AF23" s="4"/>
      <c r="AG23" s="56">
        <v>3424</v>
      </c>
      <c r="AH23" s="56">
        <v>3224</v>
      </c>
      <c r="AI23" s="14">
        <f t="shared" si="0"/>
        <v>0.94158878504672894</v>
      </c>
      <c r="AJ23" s="56">
        <v>4220</v>
      </c>
      <c r="AK23" s="14">
        <f t="shared" si="9"/>
        <v>1.2324766355140186</v>
      </c>
      <c r="AL23" s="56">
        <v>4004</v>
      </c>
      <c r="AM23" s="14">
        <f t="shared" si="10"/>
        <v>1.169392523364486</v>
      </c>
      <c r="AN23" s="56"/>
      <c r="AO23" s="14">
        <f t="shared" si="1"/>
        <v>0</v>
      </c>
      <c r="AP23" s="56"/>
      <c r="AQ23" s="14">
        <f t="shared" si="2"/>
        <v>0</v>
      </c>
      <c r="AR23" s="56"/>
      <c r="AS23" s="14">
        <f t="shared" si="3"/>
        <v>0</v>
      </c>
      <c r="AT23" s="56"/>
      <c r="AU23" s="14">
        <f t="shared" si="4"/>
        <v>0</v>
      </c>
      <c r="AV23" s="56"/>
      <c r="AW23" s="14">
        <f t="shared" si="4"/>
        <v>0</v>
      </c>
      <c r="AX23" s="56"/>
      <c r="AY23" s="14">
        <f t="shared" si="4"/>
        <v>0</v>
      </c>
      <c r="BA23" s="14">
        <f t="shared" si="4"/>
        <v>0</v>
      </c>
      <c r="BC23" s="14">
        <f t="shared" si="4"/>
        <v>0</v>
      </c>
      <c r="BE23" s="14">
        <f t="shared" si="11"/>
        <v>0</v>
      </c>
      <c r="BG23" s="14">
        <f t="shared" si="5"/>
        <v>0</v>
      </c>
      <c r="BI23" s="14">
        <f t="shared" si="6"/>
        <v>0</v>
      </c>
    </row>
    <row r="24" spans="1:96" s="10" customFormat="1" ht="15.75" hidden="1" customHeight="1">
      <c r="A24" s="119"/>
      <c r="B24" s="596" t="s">
        <v>158</v>
      </c>
      <c r="C24" s="121" t="str">
        <f t="shared" ca="1" si="13"/>
        <v>{"dossier":`Z01b_${p.AHVNumber5} 4-No85`,"klientschaft":`${p.FamilyName32}, ${p.ManFirstName32}`}</v>
      </c>
      <c r="D24" s="13"/>
      <c r="E24" s="45" t="str">
        <f t="shared" ca="1" si="12"/>
        <v>{"dossier":`Z01b_${p.AHVNumber5} 4-No85`,"klientschaft":`${p.FamilyName32}, ${p.ManFirstName32}`}</v>
      </c>
      <c r="F24" s="98" t="s">
        <v>348</v>
      </c>
      <c r="G24" s="79" t="str">
        <f ca="1">G11</f>
        <v>Z01b_${p.AHVNumber5} 4-No85</v>
      </c>
      <c r="H24" s="46" t="s">
        <v>336</v>
      </c>
      <c r="I24" s="99" t="str">
        <f>"${"&amp;$G$4&amp;"}, ${"&amp;$I$4&amp;"}"</f>
        <v>${p.FamilyName32}, ${p.ManFirstName32}</v>
      </c>
      <c r="J24" s="46" t="s">
        <v>160</v>
      </c>
      <c r="K24" s="13"/>
      <c r="L24" s="46"/>
      <c r="M24" s="13"/>
      <c r="N24" s="46"/>
      <c r="O24" s="13"/>
      <c r="P24" s="46"/>
      <c r="Q24" s="13"/>
      <c r="R24" s="46"/>
      <c r="S24" s="13"/>
      <c r="T24" s="46"/>
      <c r="U24" s="13"/>
      <c r="V24" s="46"/>
      <c r="W24" s="13"/>
      <c r="X24" s="13"/>
      <c r="Y24" s="13"/>
      <c r="Z24" s="13"/>
      <c r="AA24" s="13"/>
      <c r="AB24" s="13"/>
      <c r="AC24" s="13"/>
      <c r="AD24" s="13"/>
      <c r="AE24" s="4"/>
      <c r="AF24" s="4"/>
      <c r="AG24" s="13">
        <v>9006</v>
      </c>
      <c r="AH24" s="13">
        <v>9011</v>
      </c>
      <c r="AI24" s="14">
        <f t="shared" si="0"/>
        <v>1.0005551854319343</v>
      </c>
      <c r="AJ24" s="13">
        <v>9022</v>
      </c>
      <c r="AK24" s="14">
        <f t="shared" si="9"/>
        <v>1.0017765933821896</v>
      </c>
      <c r="AL24" s="13">
        <v>9010</v>
      </c>
      <c r="AM24" s="14">
        <f t="shared" si="10"/>
        <v>1.0004441483455475</v>
      </c>
      <c r="AN24" s="13"/>
      <c r="AO24" s="14">
        <f t="shared" si="1"/>
        <v>0</v>
      </c>
      <c r="AP24" s="13"/>
      <c r="AQ24" s="14">
        <f t="shared" si="2"/>
        <v>0</v>
      </c>
      <c r="AR24" s="13"/>
      <c r="AS24" s="14">
        <f t="shared" si="3"/>
        <v>0</v>
      </c>
      <c r="AT24" s="13"/>
      <c r="AU24" s="14">
        <f t="shared" si="4"/>
        <v>0</v>
      </c>
      <c r="AV24" s="13"/>
      <c r="AW24" s="14">
        <f t="shared" si="4"/>
        <v>0</v>
      </c>
      <c r="AX24" s="13"/>
      <c r="AY24" s="14">
        <f t="shared" si="4"/>
        <v>0</v>
      </c>
      <c r="BA24" s="14">
        <f t="shared" si="4"/>
        <v>0</v>
      </c>
      <c r="BC24" s="14">
        <f t="shared" si="4"/>
        <v>0</v>
      </c>
      <c r="BE24" s="14">
        <f t="shared" si="11"/>
        <v>0</v>
      </c>
      <c r="BG24" s="14">
        <f t="shared" si="5"/>
        <v>0</v>
      </c>
      <c r="BI24" s="14">
        <f t="shared" si="6"/>
        <v>0</v>
      </c>
    </row>
    <row r="25" spans="1:96" s="10" customFormat="1" ht="15.75" hidden="1" customHeight="1">
      <c r="A25" s="119"/>
      <c r="B25" s="595" t="s">
        <v>161</v>
      </c>
      <c r="C25" s="121" t="str">
        <f t="shared" ca="1" si="13"/>
        <v>{"zahlbarDurch":"BKW Energie AG","pensumm":"100","betrag":"1000","gueltigVon":"01.01.2025","gueltigBis":"31.12.2025","checkbox":"x"}</v>
      </c>
      <c r="D25" s="13"/>
      <c r="E25" s="45" t="str">
        <f t="shared" ca="1" si="12"/>
        <v>{"zahlbarDurch":"BKW Energie AG","pensumm":"100","betrag":"1000","gueltigVon":"01.01.2025","gueltigBis":"31.12.2025","checkbox":"x"}</v>
      </c>
      <c r="F25" s="101" t="s">
        <v>162</v>
      </c>
      <c r="G25" s="13"/>
      <c r="H25" s="46" t="s">
        <v>163</v>
      </c>
      <c r="I25" s="13" t="s">
        <v>164</v>
      </c>
      <c r="J25" s="46" t="s">
        <v>165</v>
      </c>
      <c r="K25" s="13">
        <v>100</v>
      </c>
      <c r="L25" s="46" t="s">
        <v>166</v>
      </c>
      <c r="M25" s="13">
        <v>1000</v>
      </c>
      <c r="N25" s="46" t="s">
        <v>167</v>
      </c>
      <c r="O25" s="69" t="str">
        <f ca="1">"01.01."&amp;YEAR(TODAY())</f>
        <v>01.01.2025</v>
      </c>
      <c r="P25" s="13" t="s">
        <v>168</v>
      </c>
      <c r="Q25" s="69" t="str">
        <f ca="1">"31.12."&amp;YEAR(TODAY())</f>
        <v>31.12.2025</v>
      </c>
      <c r="R25" s="46" t="s">
        <v>169</v>
      </c>
      <c r="S25" s="13" t="s">
        <v>170</v>
      </c>
      <c r="T25" s="46" t="s">
        <v>37</v>
      </c>
      <c r="U25" s="13"/>
      <c r="V25" s="46"/>
      <c r="W25" s="13"/>
      <c r="X25" s="13"/>
      <c r="Y25" s="13"/>
      <c r="Z25" s="13"/>
      <c r="AA25" s="13"/>
      <c r="AB25" s="13"/>
      <c r="AC25" s="13"/>
      <c r="AD25" s="13"/>
      <c r="AE25" s="4"/>
      <c r="AF25" s="4"/>
      <c r="AG25" s="13">
        <v>10643</v>
      </c>
      <c r="AH25" s="13">
        <v>10972</v>
      </c>
      <c r="AI25" s="14">
        <f t="shared" si="0"/>
        <v>1.0309123367471578</v>
      </c>
      <c r="AJ25" s="13">
        <v>12287</v>
      </c>
      <c r="AK25" s="14">
        <f t="shared" si="9"/>
        <v>1.1544677252654327</v>
      </c>
      <c r="AL25" s="13">
        <v>12167</v>
      </c>
      <c r="AM25" s="14">
        <f t="shared" si="10"/>
        <v>1.1431927088227003</v>
      </c>
      <c r="AN25" s="13"/>
      <c r="AO25" s="14">
        <f t="shared" si="1"/>
        <v>0</v>
      </c>
      <c r="AP25" s="13"/>
      <c r="AQ25" s="14">
        <f t="shared" si="2"/>
        <v>0</v>
      </c>
      <c r="AR25" s="13"/>
      <c r="AS25" s="14">
        <f t="shared" si="3"/>
        <v>0</v>
      </c>
      <c r="AT25" s="13"/>
      <c r="AU25" s="14">
        <f t="shared" si="4"/>
        <v>0</v>
      </c>
      <c r="AV25" s="13"/>
      <c r="AW25" s="14">
        <f t="shared" si="4"/>
        <v>0</v>
      </c>
      <c r="AX25" s="13"/>
      <c r="AY25" s="14">
        <f t="shared" si="4"/>
        <v>0</v>
      </c>
      <c r="BA25" s="14">
        <f t="shared" si="4"/>
        <v>0</v>
      </c>
      <c r="BC25" s="14">
        <f t="shared" si="4"/>
        <v>0</v>
      </c>
      <c r="BE25" s="14">
        <f t="shared" si="11"/>
        <v>0</v>
      </c>
      <c r="BG25" s="14">
        <f t="shared" si="5"/>
        <v>0</v>
      </c>
      <c r="BI25" s="14">
        <f t="shared" si="6"/>
        <v>0</v>
      </c>
    </row>
    <row r="26" spans="1:96" s="10" customFormat="1" ht="15.75" customHeight="1" thickBot="1">
      <c r="A26" s="119">
        <v>30</v>
      </c>
      <c r="B26" s="596" t="s">
        <v>139</v>
      </c>
      <c r="C26" s="121" t="str">
        <f t="shared" ca="1" si="13"/>
        <v>{"searchDossierOrKlient":`Z01b_${p.AHVNumber5} 4-No85`,"resultType":"Dossiers"}</v>
      </c>
      <c r="D26" s="56"/>
      <c r="E26" s="109" t="str">
        <f t="shared" ca="1" si="12"/>
        <v>{"searchDossierOrKlient":`Z01b_${p.AHVNumber5} 4-No85`,"resultType":"Dossiers"}</v>
      </c>
      <c r="F26" s="110" t="s">
        <v>407</v>
      </c>
      <c r="G26" s="111" t="str">
        <f ca="1">Z01b!$G$11</f>
        <v>Z01b_${p.AHVNumber5} 4-No85</v>
      </c>
      <c r="H26" s="110" t="s">
        <v>408</v>
      </c>
      <c r="I26" s="56" t="s">
        <v>142</v>
      </c>
      <c r="J26" s="110" t="s">
        <v>37</v>
      </c>
      <c r="K26" s="56"/>
      <c r="L26" s="110"/>
      <c r="M26" s="56"/>
      <c r="N26" s="110"/>
      <c r="O26" s="56"/>
      <c r="P26" s="110"/>
      <c r="Q26" s="56"/>
      <c r="R26" s="110"/>
      <c r="S26" s="56"/>
      <c r="T26" s="110"/>
      <c r="U26" s="56"/>
      <c r="V26" s="110"/>
      <c r="W26" s="56"/>
      <c r="X26" s="56"/>
      <c r="Y26" s="56"/>
      <c r="Z26" s="56"/>
      <c r="AA26" s="56"/>
      <c r="AB26" s="56"/>
      <c r="AC26" s="56"/>
      <c r="AD26" s="56"/>
      <c r="AE26" s="4"/>
      <c r="AF26" s="4"/>
      <c r="AG26" s="56">
        <v>9010</v>
      </c>
      <c r="AH26" s="56">
        <v>9010</v>
      </c>
      <c r="AI26" s="14">
        <f t="shared" si="0"/>
        <v>1</v>
      </c>
      <c r="AJ26" s="56">
        <v>9005</v>
      </c>
      <c r="AK26" s="14">
        <f t="shared" si="9"/>
        <v>0.99944506104328523</v>
      </c>
      <c r="AL26" s="56">
        <v>9018</v>
      </c>
      <c r="AM26" s="14">
        <f t="shared" si="10"/>
        <v>1.0008879023307435</v>
      </c>
      <c r="AN26" s="56">
        <v>5019</v>
      </c>
      <c r="AO26" s="14">
        <f t="shared" si="1"/>
        <v>0.55704772475027742</v>
      </c>
      <c r="AP26" s="56">
        <v>5011</v>
      </c>
      <c r="AQ26" s="14">
        <f t="shared" si="2"/>
        <v>0.55615982241953388</v>
      </c>
      <c r="AR26" s="56">
        <v>5009</v>
      </c>
      <c r="AS26" s="14">
        <f t="shared" si="3"/>
        <v>0.55593784683684799</v>
      </c>
      <c r="AT26" s="56">
        <v>5008</v>
      </c>
      <c r="AU26" s="14">
        <f t="shared" si="4"/>
        <v>0.555826859045505</v>
      </c>
      <c r="AV26" s="56">
        <v>5012</v>
      </c>
      <c r="AW26" s="14">
        <f t="shared" si="4"/>
        <v>0.55627081021087676</v>
      </c>
      <c r="AX26" s="56">
        <v>5014</v>
      </c>
      <c r="AY26" s="14">
        <f t="shared" si="4"/>
        <v>0.55649278579356276</v>
      </c>
      <c r="AZ26" s="2">
        <v>5012</v>
      </c>
      <c r="BA26" s="14">
        <f t="shared" si="4"/>
        <v>0.55627081021087676</v>
      </c>
      <c r="BB26" s="2">
        <v>5017</v>
      </c>
      <c r="BC26" s="14">
        <f t="shared" si="4"/>
        <v>0.55682574916759153</v>
      </c>
      <c r="BD26" s="2">
        <v>5012</v>
      </c>
      <c r="BE26" s="14">
        <f t="shared" si="11"/>
        <v>0.55627081021087676</v>
      </c>
      <c r="BF26" s="2">
        <v>5002</v>
      </c>
      <c r="BG26" s="14">
        <f t="shared" si="5"/>
        <v>0.55516093229744723</v>
      </c>
      <c r="BH26" s="10">
        <v>5007</v>
      </c>
      <c r="BI26" s="14">
        <f t="shared" si="6"/>
        <v>0.555715871254162</v>
      </c>
      <c r="BK26" s="10">
        <v>4310</v>
      </c>
      <c r="BM26" s="10">
        <v>4496</v>
      </c>
      <c r="BO26" s="10">
        <v>3638</v>
      </c>
      <c r="BQ26" s="10">
        <v>3372</v>
      </c>
      <c r="CQ26" s="10">
        <v>3701</v>
      </c>
    </row>
    <row r="27" spans="1:96" s="10" customFormat="1" ht="13.5" customHeight="1" thickBot="1">
      <c r="A27" s="119">
        <v>31</v>
      </c>
      <c r="B27" s="120" t="s">
        <v>180</v>
      </c>
      <c r="C27" s="121" t="str">
        <f t="shared" ca="1" si="13"/>
        <v>{"entscheidVom":"04.11.2025","begrundung":"Gar keine Begründung","unterstutzungab":"01.11.2025"}</v>
      </c>
      <c r="D27" s="56"/>
      <c r="E27" s="109" t="str">
        <f t="shared" ca="1" si="12"/>
        <v>{"entscheidVom":"04.11.2025","begrundung":"Gar keine Begründung","unterstutzungab":"01.11.2025"}</v>
      </c>
      <c r="F27" s="110" t="s">
        <v>181</v>
      </c>
      <c r="G27" s="69" t="str">
        <f ca="1">TEXT(TEXT(TODAY(),"DD")&amp;"."&amp;TEXT(TODAY(),"MM")&amp;"."&amp;TEXT(TODAY(),"YYYY"),"DD.MM.YYYY")</f>
        <v>04.11.2025</v>
      </c>
      <c r="H27" s="110" t="s">
        <v>182</v>
      </c>
      <c r="I27" s="56" t="s">
        <v>183</v>
      </c>
      <c r="J27" s="110" t="s">
        <v>184</v>
      </c>
      <c r="K27" s="69" t="str">
        <f ca="1">"01."&amp;TEXT(TODAY(),"MM")&amp;"."&amp;TEXT(TODAY(),"YYYY")</f>
        <v>01.11.2025</v>
      </c>
      <c r="L27" s="110" t="s">
        <v>37</v>
      </c>
      <c r="M27" s="56"/>
      <c r="N27" s="110"/>
      <c r="O27" s="56"/>
      <c r="P27" s="110"/>
      <c r="Q27" s="56"/>
      <c r="R27" s="110"/>
      <c r="S27" s="56"/>
      <c r="T27" s="110"/>
      <c r="U27" s="56"/>
      <c r="V27" s="110"/>
      <c r="W27" s="56"/>
      <c r="X27" s="56"/>
      <c r="Y27" s="56"/>
      <c r="Z27" s="56"/>
      <c r="AA27" s="56"/>
      <c r="AB27" s="56"/>
      <c r="AC27" s="56"/>
      <c r="AD27" s="56"/>
      <c r="AE27" s="4"/>
      <c r="AF27" s="4"/>
      <c r="AG27" s="56">
        <v>10495</v>
      </c>
      <c r="AH27" s="56">
        <v>10710</v>
      </c>
      <c r="AI27" s="14">
        <f t="shared" si="0"/>
        <v>1.020485945688423</v>
      </c>
      <c r="AJ27" s="56">
        <v>11562</v>
      </c>
      <c r="AK27" s="14">
        <f t="shared" si="9"/>
        <v>1.1016674606955694</v>
      </c>
      <c r="AL27" s="56">
        <v>11340</v>
      </c>
      <c r="AM27" s="14">
        <f t="shared" si="10"/>
        <v>1.0805145307289186</v>
      </c>
      <c r="AN27" s="56">
        <v>10563</v>
      </c>
      <c r="AO27" s="14">
        <f t="shared" si="1"/>
        <v>1.0064792758456407</v>
      </c>
      <c r="AP27" s="56">
        <v>10508</v>
      </c>
      <c r="AQ27" s="14">
        <f t="shared" si="2"/>
        <v>1.0012386850881372</v>
      </c>
      <c r="AR27" s="56">
        <v>10792</v>
      </c>
      <c r="AS27" s="14">
        <f t="shared" si="3"/>
        <v>1.0282991900905194</v>
      </c>
      <c r="AT27" s="56">
        <v>10337</v>
      </c>
      <c r="AU27" s="14">
        <f t="shared" si="4"/>
        <v>0.98494521200571705</v>
      </c>
      <c r="AV27" s="56">
        <v>10518</v>
      </c>
      <c r="AW27" s="14">
        <f t="shared" si="4"/>
        <v>1.0021915197713196</v>
      </c>
      <c r="AX27" s="56">
        <v>2386</v>
      </c>
      <c r="AY27" s="14">
        <f t="shared" si="4"/>
        <v>0.22734635540733683</v>
      </c>
      <c r="AZ27" s="2">
        <v>2630</v>
      </c>
      <c r="BA27" s="14">
        <f t="shared" si="4"/>
        <v>0.25059552167698906</v>
      </c>
      <c r="BB27" s="2">
        <v>4585</v>
      </c>
      <c r="BC27" s="14">
        <f t="shared" si="4"/>
        <v>0.43687470223916153</v>
      </c>
      <c r="BD27" s="2">
        <v>4646</v>
      </c>
      <c r="BE27" s="14">
        <f t="shared" si="11"/>
        <v>0.44268699380657456</v>
      </c>
      <c r="BF27" s="2">
        <v>5089</v>
      </c>
      <c r="BG27" s="14">
        <f t="shared" si="5"/>
        <v>0.48489757027155789</v>
      </c>
      <c r="BH27" s="10">
        <v>4692</v>
      </c>
      <c r="BI27" s="14">
        <f t="shared" si="6"/>
        <v>0.44707003334921391</v>
      </c>
      <c r="BK27" s="10">
        <v>4983</v>
      </c>
      <c r="BM27" s="10">
        <v>4918</v>
      </c>
      <c r="BO27" s="10">
        <v>4849</v>
      </c>
      <c r="BQ27" s="10">
        <v>4910</v>
      </c>
      <c r="CQ27" s="10">
        <v>9947</v>
      </c>
    </row>
    <row r="28" spans="1:96" s="10" customFormat="1" ht="15.75" customHeight="1">
      <c r="A28" s="119"/>
      <c r="B28" s="120" t="s">
        <v>185</v>
      </c>
      <c r="C28" s="121" t="str">
        <f ca="1">E28</f>
        <v>{"ubernahmeWohnkostenCFH":"100","uebernahmeWohnkostenVon":"01.11.2025","uebernahmeWohnkostenBis":"27.5.2026","uebernahemBegruendung":"Die Wohnungen sind teuer hier"}</v>
      </c>
      <c r="D28" s="56"/>
      <c r="E28" s="109" t="str">
        <f ca="1">F28&amp;G28&amp;H28&amp;I28&amp;J28&amp;K28&amp;L28&amp;M28&amp;N28&amp;O28&amp;P28&amp;Q28&amp;R28&amp;S28&amp;T28&amp;U28&amp;V28&amp;W28&amp;X28</f>
        <v>{"ubernahmeWohnkostenCFH":"100","uebernahmeWohnkostenVon":"01.11.2025","uebernahmeWohnkostenBis":"27.5.2026","uebernahemBegruendung":"Die Wohnungen sind teuer hier"}</v>
      </c>
      <c r="F28" s="114" t="s">
        <v>186</v>
      </c>
      <c r="G28" s="56">
        <v>100</v>
      </c>
      <c r="H28" s="56" t="s">
        <v>187</v>
      </c>
      <c r="I28" s="69" t="str">
        <f ca="1">"01."&amp;TEXT(TODAY(),"MM")&amp;"."&amp;TEXT(TODAY(),"YYYY")</f>
        <v>01.11.2025</v>
      </c>
      <c r="J28" s="56" t="s">
        <v>188</v>
      </c>
      <c r="K28" s="69" t="str">
        <f ca="1">"27."&amp;MONTH(TODAY()+180)&amp;"."&amp;YEAR(TODAY()+180)</f>
        <v>27.5.2026</v>
      </c>
      <c r="L28" s="110" t="s">
        <v>189</v>
      </c>
      <c r="M28" s="56" t="s">
        <v>190</v>
      </c>
      <c r="N28" s="110" t="s">
        <v>37</v>
      </c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4"/>
      <c r="AF28" s="4"/>
      <c r="AG28" s="56">
        <v>4020</v>
      </c>
      <c r="AH28" s="56">
        <v>11008</v>
      </c>
      <c r="AI28" s="14">
        <f t="shared" ref="AI28:AI39" si="15">AH28/$AG28</f>
        <v>2.7383084577114429</v>
      </c>
      <c r="AJ28" s="56">
        <v>11009</v>
      </c>
      <c r="AK28" s="14">
        <f t="shared" si="9"/>
        <v>2.7385572139303482</v>
      </c>
      <c r="AL28" s="56">
        <v>11006</v>
      </c>
      <c r="AM28" s="14">
        <f t="shared" si="10"/>
        <v>2.7378109452736319</v>
      </c>
      <c r="AN28" s="56"/>
      <c r="AO28" s="14">
        <f t="shared" ref="AO28:AO39" si="16">AN28/$AG28</f>
        <v>0</v>
      </c>
      <c r="AP28" s="56"/>
      <c r="AQ28" s="14">
        <f t="shared" si="2"/>
        <v>0</v>
      </c>
      <c r="AR28" s="56"/>
      <c r="AS28" s="14">
        <f t="shared" si="3"/>
        <v>0</v>
      </c>
      <c r="AT28" s="56"/>
      <c r="AU28" s="14">
        <f t="shared" si="4"/>
        <v>0</v>
      </c>
      <c r="AV28" s="56"/>
      <c r="AW28" s="14">
        <f t="shared" si="4"/>
        <v>0</v>
      </c>
      <c r="AX28" s="56"/>
      <c r="AY28" s="14">
        <f t="shared" si="4"/>
        <v>0</v>
      </c>
      <c r="BA28" s="14">
        <f t="shared" si="4"/>
        <v>0</v>
      </c>
      <c r="BC28" s="14">
        <f t="shared" si="4"/>
        <v>0</v>
      </c>
      <c r="BE28" s="14">
        <f t="shared" si="11"/>
        <v>0</v>
      </c>
      <c r="BG28" s="14">
        <f t="shared" si="5"/>
        <v>0</v>
      </c>
      <c r="BI28" s="14">
        <f t="shared" si="6"/>
        <v>0</v>
      </c>
    </row>
    <row r="29" spans="1:96" s="10" customFormat="1" ht="15.75" customHeight="1">
      <c r="A29" s="119">
        <v>35</v>
      </c>
      <c r="B29" s="120" t="s">
        <v>191</v>
      </c>
      <c r="C29" s="121" t="str">
        <f ca="1">E29</f>
        <v>{"lEvonDate":"01.11.2025","lEbisDate":"30.10.2026","checkStatus":"In Bearbeitung"}</v>
      </c>
      <c r="D29" s="82"/>
      <c r="E29" s="83" t="str">
        <f ca="1">F29&amp;G29&amp;H29&amp;I29&amp;J29&amp;K29&amp;L29&amp;M29&amp;N29&amp;O29&amp;P29&amp;Q29&amp;R29&amp;S29&amp;T29&amp;U29&amp;V29&amp;W29&amp;X29</f>
        <v>{"lEvonDate":"01.11.2025","lEbisDate":"30.10.2026","checkStatus":"In Bearbeitung"}</v>
      </c>
      <c r="F29" s="84" t="s">
        <v>192</v>
      </c>
      <c r="G29" s="69" t="str">
        <f ca="1">"01."&amp;TEXT(TODAY(),"MM")&amp;"."&amp;TEXT(TODAY(),"YYYY")</f>
        <v>01.11.2025</v>
      </c>
      <c r="H29" s="84" t="s">
        <v>193</v>
      </c>
      <c r="I29" s="69" t="str">
        <f ca="1">TEXT(TEXT(TODAY()+360,"DD")&amp;"."&amp;TEXT(TODAY()+360,"MM")&amp;"."&amp;TEXT(TODAY()+360,"YYYY"),"DD.MM.YYYY")</f>
        <v>30.10.2026</v>
      </c>
      <c r="J29" s="84" t="s">
        <v>132</v>
      </c>
      <c r="K29" s="82" t="s">
        <v>133</v>
      </c>
      <c r="L29" s="84" t="s">
        <v>37</v>
      </c>
      <c r="M29" s="82"/>
      <c r="N29" s="84"/>
      <c r="O29" s="82"/>
      <c r="P29" s="84"/>
      <c r="Q29" s="82"/>
      <c r="R29" s="84"/>
      <c r="S29" s="82"/>
      <c r="T29" s="84"/>
      <c r="U29" s="82"/>
      <c r="V29" s="84"/>
      <c r="W29" s="82"/>
      <c r="X29" s="82"/>
      <c r="Y29" s="82"/>
      <c r="Z29" s="82"/>
      <c r="AA29" s="82"/>
      <c r="AB29" s="82"/>
      <c r="AC29" s="82"/>
      <c r="AD29" s="82"/>
      <c r="AE29" s="4"/>
      <c r="AF29" s="4"/>
      <c r="AG29" s="82">
        <v>1017</v>
      </c>
      <c r="AH29" s="82">
        <v>1001</v>
      </c>
      <c r="AI29" s="14">
        <f t="shared" si="15"/>
        <v>0.984267453294002</v>
      </c>
      <c r="AJ29" s="82">
        <v>1011</v>
      </c>
      <c r="AK29" s="14">
        <f t="shared" si="9"/>
        <v>0.99410029498525077</v>
      </c>
      <c r="AL29" s="82">
        <v>1008</v>
      </c>
      <c r="AM29" s="14">
        <f t="shared" si="10"/>
        <v>0.99115044247787609</v>
      </c>
      <c r="AN29" s="82"/>
      <c r="AO29" s="14">
        <f t="shared" si="16"/>
        <v>0</v>
      </c>
      <c r="AP29" s="82"/>
      <c r="AQ29" s="14">
        <f t="shared" si="2"/>
        <v>0</v>
      </c>
      <c r="AR29" s="82"/>
      <c r="AS29" s="14">
        <f t="shared" si="3"/>
        <v>0</v>
      </c>
      <c r="AT29" s="82">
        <v>1006</v>
      </c>
      <c r="AU29" s="14">
        <f t="shared" si="4"/>
        <v>0.98918387413962638</v>
      </c>
      <c r="AV29" s="82">
        <v>1007</v>
      </c>
      <c r="AW29" s="14">
        <f t="shared" si="4"/>
        <v>0.99016715830875124</v>
      </c>
      <c r="AX29" s="82">
        <v>1006</v>
      </c>
      <c r="AY29" s="14">
        <f t="shared" si="4"/>
        <v>0.98918387413962638</v>
      </c>
      <c r="AZ29" s="2">
        <v>1017</v>
      </c>
      <c r="BA29" s="14">
        <f t="shared" si="4"/>
        <v>1</v>
      </c>
      <c r="BB29" s="2">
        <v>1012</v>
      </c>
      <c r="BC29" s="14">
        <f t="shared" si="4"/>
        <v>0.99508357915437562</v>
      </c>
      <c r="BD29" s="2">
        <v>1011</v>
      </c>
      <c r="BE29" s="14">
        <f t="shared" si="11"/>
        <v>0.99410029498525077</v>
      </c>
      <c r="BF29" s="2">
        <v>1021</v>
      </c>
      <c r="BG29" s="14">
        <f t="shared" si="5"/>
        <v>1.0039331366764994</v>
      </c>
      <c r="BH29" s="10">
        <v>1006</v>
      </c>
      <c r="BI29" s="14">
        <f t="shared" si="6"/>
        <v>0.98918387413962638</v>
      </c>
      <c r="BK29" s="10">
        <v>11689</v>
      </c>
      <c r="BM29" s="10">
        <v>10517</v>
      </c>
      <c r="BO29" s="10">
        <v>8576</v>
      </c>
      <c r="BQ29" s="10">
        <v>9639</v>
      </c>
      <c r="CQ29" s="3952">
        <v>0</v>
      </c>
      <c r="CR29" s="3953" t="s">
        <v>1695</v>
      </c>
    </row>
    <row r="30" spans="1:96" s="10" customFormat="1" ht="15.75" customHeight="1">
      <c r="A30" s="119">
        <v>37</v>
      </c>
      <c r="B30" s="120" t="s">
        <v>134</v>
      </c>
      <c r="C30" s="121" t="str">
        <f t="shared" ref="C30:C34" si="17">E30</f>
        <v>{"username":"Bern.Sachbearbeiterin@diartis.ch","password":"XXxa22?pdTA66-S@"}</v>
      </c>
      <c r="D30" s="82"/>
      <c r="E30" s="83" t="str">
        <f t="shared" ref="E30:E34" si="18">F30&amp;G30&amp;H30&amp;I30&amp;J30&amp;K30&amp;L30&amp;M30&amp;N30&amp;O30&amp;P30&amp;Q30&amp;R30&amp;S30&amp;T30&amp;U30&amp;V30&amp;W30&amp;X30</f>
        <v>{"username":"Bern.Sachbearbeiterin@diartis.ch","password":"XXxa22?pdTA66-S@"}</v>
      </c>
      <c r="F30" s="84" t="s">
        <v>29</v>
      </c>
      <c r="G30" s="85" t="s">
        <v>30</v>
      </c>
      <c r="H30" s="84" t="s">
        <v>31</v>
      </c>
      <c r="I30" s="86" t="s">
        <v>32</v>
      </c>
      <c r="J30" s="84" t="s">
        <v>37</v>
      </c>
      <c r="K30" s="87"/>
      <c r="L30" s="84"/>
      <c r="M30" s="82"/>
      <c r="N30" s="84"/>
      <c r="O30" s="82"/>
      <c r="P30" s="84"/>
      <c r="Q30" s="82"/>
      <c r="R30" s="84"/>
      <c r="S30" s="82"/>
      <c r="T30" s="84"/>
      <c r="U30" s="82"/>
      <c r="V30" s="84"/>
      <c r="W30" s="82"/>
      <c r="X30" s="82"/>
      <c r="Y30" s="82"/>
      <c r="Z30" s="82"/>
      <c r="AA30" s="82"/>
      <c r="AB30" s="82"/>
      <c r="AC30" s="82"/>
      <c r="AD30" s="82"/>
      <c r="AE30" s="4"/>
      <c r="AF30" s="4"/>
      <c r="AG30" s="82">
        <v>3004</v>
      </c>
      <c r="AH30" s="82">
        <v>3005</v>
      </c>
      <c r="AI30" s="14">
        <f t="shared" si="15"/>
        <v>1.0003328894806924</v>
      </c>
      <c r="AJ30" s="82">
        <v>3015</v>
      </c>
      <c r="AK30" s="14">
        <f t="shared" si="9"/>
        <v>1.0036617842876165</v>
      </c>
      <c r="AL30" s="82">
        <v>3006</v>
      </c>
      <c r="AM30" s="14">
        <f t="shared" si="10"/>
        <v>1.0006657789613849</v>
      </c>
      <c r="AN30" s="82"/>
      <c r="AO30" s="14">
        <f t="shared" si="16"/>
        <v>0</v>
      </c>
      <c r="AP30" s="82"/>
      <c r="AQ30" s="14">
        <f t="shared" si="2"/>
        <v>0</v>
      </c>
      <c r="AR30" s="82"/>
      <c r="AS30" s="14">
        <f t="shared" si="3"/>
        <v>0</v>
      </c>
      <c r="AT30" s="82">
        <v>3014</v>
      </c>
      <c r="AU30" s="14">
        <f t="shared" si="4"/>
        <v>1.0033288948069241</v>
      </c>
      <c r="AV30" s="82">
        <v>3011</v>
      </c>
      <c r="AW30" s="14">
        <f t="shared" si="4"/>
        <v>1.0023302263648468</v>
      </c>
      <c r="AX30" s="82">
        <v>3007</v>
      </c>
      <c r="AY30" s="14">
        <f t="shared" si="4"/>
        <v>1.0009986684420773</v>
      </c>
      <c r="AZ30" s="2">
        <v>3002</v>
      </c>
      <c r="BA30" s="14">
        <f t="shared" si="4"/>
        <v>0.99933422103861513</v>
      </c>
      <c r="BB30" s="2">
        <v>3003</v>
      </c>
      <c r="BC30" s="14">
        <f t="shared" si="4"/>
        <v>0.99966711051930757</v>
      </c>
      <c r="BD30" s="2">
        <v>3014</v>
      </c>
      <c r="BE30" s="14">
        <f t="shared" si="11"/>
        <v>1.0033288948069241</v>
      </c>
      <c r="BF30" s="2">
        <v>3011</v>
      </c>
      <c r="BG30" s="14">
        <f t="shared" si="5"/>
        <v>1.0023302263648468</v>
      </c>
      <c r="BH30" s="10">
        <v>3009</v>
      </c>
      <c r="BI30" s="14">
        <f t="shared" si="6"/>
        <v>1.0016644474034619</v>
      </c>
      <c r="BK30" s="10">
        <v>12124</v>
      </c>
      <c r="BM30" s="10">
        <v>13888</v>
      </c>
      <c r="BO30" s="10">
        <v>11634</v>
      </c>
      <c r="BQ30" s="10">
        <v>10660</v>
      </c>
      <c r="CQ30" s="10">
        <v>340</v>
      </c>
    </row>
    <row r="31" spans="1:96" s="10" customFormat="1" ht="15.75" customHeight="1">
      <c r="A31" s="119">
        <v>39</v>
      </c>
      <c r="B31" s="601" t="s">
        <v>197</v>
      </c>
      <c r="C31" s="121" t="str">
        <f ca="1">E31</f>
        <v>{"dossier":`Z01b_${p.AHVNumber5} 4-No85`,"buttonName":"Prüfung OK","checkStatus":"In Bearbeitung"}</v>
      </c>
      <c r="D31" s="82"/>
      <c r="E31" s="83" t="str">
        <f t="shared" ca="1" si="18"/>
        <v>{"dossier":`Z01b_${p.AHVNumber5} 4-No85`,"buttonName":"Prüfung OK","checkStatus":"In Bearbeitung"}</v>
      </c>
      <c r="F31" s="84" t="s">
        <v>348</v>
      </c>
      <c r="G31" s="79" t="str">
        <f ca="1">Z01b!$G$11</f>
        <v>Z01b_${p.AHVNumber5} 4-No85</v>
      </c>
      <c r="H31" s="84" t="s">
        <v>476</v>
      </c>
      <c r="I31" s="82" t="s">
        <v>199</v>
      </c>
      <c r="J31" s="84" t="s">
        <v>132</v>
      </c>
      <c r="K31" s="82" t="s">
        <v>133</v>
      </c>
      <c r="L31" s="84" t="s">
        <v>37</v>
      </c>
      <c r="M31" s="82"/>
      <c r="N31" s="84"/>
      <c r="O31" s="82"/>
      <c r="P31" s="84"/>
      <c r="Q31" s="82"/>
      <c r="R31" s="84"/>
      <c r="S31" s="82"/>
      <c r="T31" s="84"/>
      <c r="U31" s="82"/>
      <c r="V31" s="84"/>
      <c r="W31" s="82"/>
      <c r="X31" s="82"/>
      <c r="Y31" s="82"/>
      <c r="Z31" s="82"/>
      <c r="AA31" s="82"/>
      <c r="AB31" s="82"/>
      <c r="AC31" s="82"/>
      <c r="AD31" s="82"/>
      <c r="AE31" s="4"/>
      <c r="AF31" s="4"/>
      <c r="AG31" s="82">
        <v>4023</v>
      </c>
      <c r="AH31" s="82">
        <v>4006</v>
      </c>
      <c r="AI31" s="14">
        <f t="shared" si="15"/>
        <v>0.99577429778772064</v>
      </c>
      <c r="AJ31" s="82">
        <v>4012</v>
      </c>
      <c r="AK31" s="14">
        <f t="shared" si="9"/>
        <v>0.99726572209793685</v>
      </c>
      <c r="AL31" s="82">
        <v>4007</v>
      </c>
      <c r="AM31" s="14">
        <f t="shared" si="10"/>
        <v>0.99602286850609001</v>
      </c>
      <c r="AN31" s="82"/>
      <c r="AO31" s="14">
        <f t="shared" si="16"/>
        <v>0</v>
      </c>
      <c r="AP31" s="82"/>
      <c r="AQ31" s="14">
        <f t="shared" si="2"/>
        <v>0</v>
      </c>
      <c r="AR31" s="82"/>
      <c r="AS31" s="14">
        <f t="shared" si="3"/>
        <v>0</v>
      </c>
      <c r="AT31" s="82">
        <v>4008</v>
      </c>
      <c r="AU31" s="14">
        <f t="shared" si="4"/>
        <v>0.99627143922445938</v>
      </c>
      <c r="AV31" s="82">
        <v>4015</v>
      </c>
      <c r="AW31" s="14">
        <f t="shared" si="4"/>
        <v>0.99801143425304495</v>
      </c>
      <c r="AX31" s="82">
        <v>4015</v>
      </c>
      <c r="AY31" s="14">
        <f t="shared" si="4"/>
        <v>0.99801143425304495</v>
      </c>
      <c r="AZ31" s="2">
        <v>4018</v>
      </c>
      <c r="BA31" s="14">
        <f t="shared" si="4"/>
        <v>0.99875714640815316</v>
      </c>
      <c r="BB31" s="2">
        <v>4009</v>
      </c>
      <c r="BC31" s="14">
        <f t="shared" si="4"/>
        <v>0.99652000994282874</v>
      </c>
      <c r="BD31" s="2">
        <v>4012</v>
      </c>
      <c r="BE31" s="14">
        <f t="shared" si="11"/>
        <v>0.99726572209793685</v>
      </c>
      <c r="BF31" s="2">
        <v>4015</v>
      </c>
      <c r="BG31" s="14">
        <f t="shared" si="5"/>
        <v>0.99801143425304495</v>
      </c>
      <c r="BH31" s="10">
        <v>4007</v>
      </c>
      <c r="BI31" s="14">
        <f t="shared" si="6"/>
        <v>0.99602286850609001</v>
      </c>
      <c r="BK31" s="10">
        <v>8066</v>
      </c>
      <c r="BM31" s="10">
        <v>9577</v>
      </c>
      <c r="BO31" s="10">
        <v>8254</v>
      </c>
      <c r="BQ31" s="10">
        <v>8156</v>
      </c>
    </row>
    <row r="32" spans="1:96" s="10" customFormat="1" ht="15.75" customHeight="1">
      <c r="A32" s="119">
        <v>40</v>
      </c>
      <c r="B32" s="120" t="s">
        <v>134</v>
      </c>
      <c r="C32" s="121" t="str">
        <f t="shared" si="17"/>
        <v>{"username":"aventis-gemeinde-ma@diartis.ch","password":"#xFymiADPk7wJG/FWMz"}</v>
      </c>
      <c r="D32" s="82"/>
      <c r="E32" s="83" t="str">
        <f t="shared" si="18"/>
        <v>{"username":"aventis-gemeinde-ma@diartis.ch","password":"#xFymiADPk7wJG/FWMz"}</v>
      </c>
      <c r="F32" s="84" t="s">
        <v>29</v>
      </c>
      <c r="G32" s="85" t="s">
        <v>195</v>
      </c>
      <c r="H32" s="84" t="s">
        <v>31</v>
      </c>
      <c r="I32" s="86" t="s">
        <v>196</v>
      </c>
      <c r="J32" s="84" t="s">
        <v>37</v>
      </c>
      <c r="K32" s="87"/>
      <c r="L32" s="84"/>
      <c r="M32" s="82"/>
      <c r="N32" s="84"/>
      <c r="O32" s="82"/>
      <c r="P32" s="84"/>
      <c r="Q32" s="82"/>
      <c r="R32" s="84"/>
      <c r="S32" s="82"/>
      <c r="T32" s="84"/>
      <c r="U32" s="82"/>
      <c r="V32" s="84"/>
      <c r="W32" s="82"/>
      <c r="X32" s="82"/>
      <c r="Y32" s="82"/>
      <c r="Z32" s="82"/>
      <c r="AA32" s="82"/>
      <c r="AB32" s="82"/>
      <c r="AC32" s="82"/>
      <c r="AD32" s="82"/>
      <c r="AE32" s="4"/>
      <c r="AF32" s="4"/>
      <c r="AG32" s="82">
        <v>6252</v>
      </c>
      <c r="AH32" s="82">
        <v>32749</v>
      </c>
      <c r="AI32" s="14">
        <f t="shared" si="15"/>
        <v>5.2381637875879719</v>
      </c>
      <c r="AJ32" s="82">
        <v>16885</v>
      </c>
      <c r="AK32" s="14">
        <f t="shared" si="9"/>
        <v>2.7007357645553425</v>
      </c>
      <c r="AL32" s="82">
        <v>16536</v>
      </c>
      <c r="AM32" s="14">
        <f t="shared" si="10"/>
        <v>2.6449136276391556</v>
      </c>
      <c r="AN32" s="82"/>
      <c r="AO32" s="14">
        <f t="shared" si="16"/>
        <v>0</v>
      </c>
      <c r="AP32" s="82"/>
      <c r="AQ32" s="14">
        <f t="shared" si="2"/>
        <v>0</v>
      </c>
      <c r="AR32" s="82"/>
      <c r="AS32" s="14">
        <f t="shared" si="3"/>
        <v>0</v>
      </c>
      <c r="AT32" s="82">
        <v>15435</v>
      </c>
      <c r="AU32" s="14">
        <f t="shared" si="4"/>
        <v>2.4688099808061419</v>
      </c>
      <c r="AV32" s="82">
        <v>14954</v>
      </c>
      <c r="AW32" s="14">
        <f t="shared" si="4"/>
        <v>2.3918746001279589</v>
      </c>
      <c r="AX32" s="82">
        <v>9543</v>
      </c>
      <c r="AY32" s="14">
        <f t="shared" si="4"/>
        <v>1.5263915547024951</v>
      </c>
      <c r="AZ32" s="2">
        <v>9312</v>
      </c>
      <c r="BA32" s="14">
        <f t="shared" si="4"/>
        <v>1.489443378119002</v>
      </c>
      <c r="BB32" s="2">
        <v>7853</v>
      </c>
      <c r="BC32" s="14">
        <f t="shared" si="4"/>
        <v>1.2560780550223929</v>
      </c>
      <c r="BD32" s="2">
        <v>7081</v>
      </c>
      <c r="BE32" s="14">
        <f t="shared" si="11"/>
        <v>1.132597568777991</v>
      </c>
      <c r="BF32" s="2">
        <v>7551</v>
      </c>
      <c r="BG32" s="14">
        <f t="shared" si="5"/>
        <v>1.2077735124760076</v>
      </c>
      <c r="BH32" s="10">
        <v>7891</v>
      </c>
      <c r="BI32" s="14">
        <f t="shared" si="6"/>
        <v>1.2621561100447856</v>
      </c>
      <c r="BK32" s="10">
        <v>9211</v>
      </c>
      <c r="BM32" s="10">
        <v>10721</v>
      </c>
      <c r="BO32" s="10">
        <v>8623</v>
      </c>
      <c r="BQ32" s="10">
        <v>8332</v>
      </c>
    </row>
    <row r="33" spans="1:69" s="10" customFormat="1" ht="15.75" customHeight="1">
      <c r="A33" s="119">
        <v>42</v>
      </c>
      <c r="B33" s="601" t="s">
        <v>197</v>
      </c>
      <c r="C33" s="121" t="str">
        <f t="shared" ca="1" si="17"/>
        <v>{"dossier":`Z01b_${p.AHVNumber5} 4-No85`,"buttonName":"Bewilligen","checkStatus":"Bewilligt"}</v>
      </c>
      <c r="D33" s="82"/>
      <c r="E33" s="83" t="str">
        <f t="shared" ca="1" si="18"/>
        <v>{"dossier":`Z01b_${p.AHVNumber5} 4-No85`,"buttonName":"Bewilligen","checkStatus":"Bewilligt"}</v>
      </c>
      <c r="F33" s="84" t="s">
        <v>348</v>
      </c>
      <c r="G33" s="79" t="str">
        <f ca="1">Z01b!$G$11</f>
        <v>Z01b_${p.AHVNumber5} 4-No85</v>
      </c>
      <c r="H33" s="84" t="s">
        <v>476</v>
      </c>
      <c r="I33" s="82" t="s">
        <v>136</v>
      </c>
      <c r="J33" s="84" t="s">
        <v>132</v>
      </c>
      <c r="K33" s="84" t="s">
        <v>137</v>
      </c>
      <c r="L33" s="84" t="s">
        <v>37</v>
      </c>
      <c r="M33" s="82"/>
      <c r="N33" s="84"/>
      <c r="O33" s="82"/>
      <c r="P33" s="84"/>
      <c r="Q33" s="82"/>
      <c r="R33" s="84"/>
      <c r="S33" s="82"/>
      <c r="T33" s="84"/>
      <c r="U33" s="82"/>
      <c r="V33" s="84"/>
      <c r="W33" s="82"/>
      <c r="X33" s="82"/>
      <c r="Y33" s="82"/>
      <c r="Z33" s="82"/>
      <c r="AA33" s="82"/>
      <c r="AB33" s="82"/>
      <c r="AC33" s="82"/>
      <c r="AD33" s="82"/>
      <c r="AE33" s="4"/>
      <c r="AF33" s="4"/>
      <c r="AG33" s="82">
        <v>4015</v>
      </c>
      <c r="AH33" s="82">
        <v>4015</v>
      </c>
      <c r="AI33" s="14">
        <f t="shared" si="15"/>
        <v>1</v>
      </c>
      <c r="AJ33" s="82">
        <v>4020</v>
      </c>
      <c r="AK33" s="14">
        <f t="shared" si="9"/>
        <v>1.0012453300124533</v>
      </c>
      <c r="AL33" s="82">
        <v>4005</v>
      </c>
      <c r="AM33" s="14">
        <f t="shared" si="10"/>
        <v>0.99750933997509339</v>
      </c>
      <c r="AN33" s="82"/>
      <c r="AO33" s="14">
        <f t="shared" si="16"/>
        <v>0</v>
      </c>
      <c r="AP33" s="82"/>
      <c r="AQ33" s="14">
        <f t="shared" si="2"/>
        <v>0</v>
      </c>
      <c r="AR33" s="82"/>
      <c r="AS33" s="14">
        <f t="shared" si="3"/>
        <v>0</v>
      </c>
      <c r="AT33" s="82">
        <v>4006</v>
      </c>
      <c r="AU33" s="14">
        <f t="shared" si="4"/>
        <v>0.99775840597758403</v>
      </c>
      <c r="AV33" s="82">
        <v>4009</v>
      </c>
      <c r="AW33" s="14">
        <f t="shared" si="4"/>
        <v>0.99850560398505606</v>
      </c>
      <c r="AX33" s="82">
        <v>4018</v>
      </c>
      <c r="AY33" s="14">
        <f t="shared" si="4"/>
        <v>1.000747198007472</v>
      </c>
      <c r="AZ33" s="2">
        <v>4010</v>
      </c>
      <c r="BA33" s="14">
        <f t="shared" si="4"/>
        <v>0.99875466998754669</v>
      </c>
      <c r="BB33" s="2">
        <v>4010</v>
      </c>
      <c r="BC33" s="14">
        <f t="shared" si="4"/>
        <v>0.99875466998754669</v>
      </c>
      <c r="BD33" s="2">
        <v>4061</v>
      </c>
      <c r="BE33" s="14">
        <f t="shared" si="11"/>
        <v>1.0114570361145703</v>
      </c>
      <c r="BF33" s="2">
        <v>4007</v>
      </c>
      <c r="BG33" s="14">
        <f t="shared" si="5"/>
        <v>0.99800747198007467</v>
      </c>
      <c r="BH33" s="10">
        <v>4014</v>
      </c>
      <c r="BI33" s="14">
        <f t="shared" si="6"/>
        <v>0.99975093399750936</v>
      </c>
      <c r="BK33" s="10">
        <v>9829</v>
      </c>
      <c r="BM33" s="10">
        <v>10371</v>
      </c>
      <c r="BO33" s="10">
        <v>10316</v>
      </c>
      <c r="BQ33" s="10">
        <v>10353</v>
      </c>
    </row>
    <row r="34" spans="1:69" s="10" customFormat="1" ht="15.75" customHeight="1">
      <c r="A34" s="119">
        <v>43</v>
      </c>
      <c r="B34" s="120" t="s">
        <v>134</v>
      </c>
      <c r="C34" s="121" t="str">
        <f t="shared" si="17"/>
        <v>{"username":"Bern.Sachbearbeiterin@diartis.ch","password":"XXxa22?pdTA66-S@"}</v>
      </c>
      <c r="D34" s="82"/>
      <c r="E34" s="83" t="str">
        <f t="shared" si="18"/>
        <v>{"username":"Bern.Sachbearbeiterin@diartis.ch","password":"XXxa22?pdTA66-S@"}</v>
      </c>
      <c r="F34" s="84" t="s">
        <v>29</v>
      </c>
      <c r="G34" s="85" t="s">
        <v>30</v>
      </c>
      <c r="H34" s="84" t="s">
        <v>31</v>
      </c>
      <c r="I34" s="86" t="s">
        <v>32</v>
      </c>
      <c r="J34" s="84" t="s">
        <v>37</v>
      </c>
      <c r="K34" s="87"/>
      <c r="L34" s="84"/>
      <c r="M34" s="82"/>
      <c r="N34" s="84"/>
      <c r="O34" s="82"/>
      <c r="P34" s="84"/>
      <c r="Q34" s="82"/>
      <c r="R34" s="84"/>
      <c r="S34" s="82"/>
      <c r="T34" s="84"/>
      <c r="U34" s="82"/>
      <c r="V34" s="84"/>
      <c r="W34" s="82"/>
      <c r="X34" s="82"/>
      <c r="Y34" s="82"/>
      <c r="Z34" s="82"/>
      <c r="AA34" s="82"/>
      <c r="AB34" s="82"/>
      <c r="AC34" s="82"/>
      <c r="AD34" s="82"/>
      <c r="AE34" s="4"/>
      <c r="AF34" s="4"/>
      <c r="AG34" s="82">
        <v>8327</v>
      </c>
      <c r="AH34" s="82">
        <v>10992</v>
      </c>
      <c r="AI34" s="14">
        <f t="shared" si="15"/>
        <v>1.3200432328569713</v>
      </c>
      <c r="AJ34" s="82">
        <v>16717</v>
      </c>
      <c r="AK34" s="14">
        <f t="shared" si="9"/>
        <v>2.0075657499699773</v>
      </c>
      <c r="AL34" s="82">
        <v>16441</v>
      </c>
      <c r="AM34" s="14">
        <f t="shared" si="10"/>
        <v>1.9744205596253153</v>
      </c>
      <c r="AN34" s="82"/>
      <c r="AO34" s="14">
        <f t="shared" si="16"/>
        <v>0</v>
      </c>
      <c r="AP34" s="82"/>
      <c r="AQ34" s="14">
        <f t="shared" si="2"/>
        <v>0</v>
      </c>
      <c r="AR34" s="82"/>
      <c r="AS34" s="14">
        <f t="shared" si="3"/>
        <v>0</v>
      </c>
      <c r="AT34" s="82">
        <v>14853</v>
      </c>
      <c r="AU34" s="14">
        <f t="shared" si="4"/>
        <v>1.7837156238741443</v>
      </c>
      <c r="AV34" s="82">
        <v>15094</v>
      </c>
      <c r="AW34" s="14">
        <f t="shared" si="4"/>
        <v>1.8126576197910411</v>
      </c>
      <c r="AX34" s="82">
        <v>8330</v>
      </c>
      <c r="AY34" s="14">
        <f t="shared" si="4"/>
        <v>1.0003602738080941</v>
      </c>
      <c r="AZ34" s="2">
        <v>9399</v>
      </c>
      <c r="BA34" s="14">
        <f t="shared" si="4"/>
        <v>1.1287378407589768</v>
      </c>
      <c r="BB34" s="2">
        <v>7570</v>
      </c>
      <c r="BC34" s="14">
        <f t="shared" si="4"/>
        <v>0.90909090909090906</v>
      </c>
      <c r="BD34" s="2">
        <v>7584</v>
      </c>
      <c r="BE34" s="14">
        <f t="shared" si="11"/>
        <v>0.91077218686201511</v>
      </c>
      <c r="BF34" s="2">
        <v>7447</v>
      </c>
      <c r="BG34" s="14">
        <f t="shared" si="5"/>
        <v>0.89431968295904885</v>
      </c>
      <c r="BH34" s="10">
        <v>7385</v>
      </c>
      <c r="BI34" s="14">
        <f t="shared" si="6"/>
        <v>0.88687402425843642</v>
      </c>
      <c r="BK34" s="10">
        <v>9359</v>
      </c>
      <c r="BM34" s="10">
        <v>11160</v>
      </c>
      <c r="BO34" s="10">
        <v>8761</v>
      </c>
      <c r="BQ34" s="10">
        <v>8194</v>
      </c>
    </row>
    <row r="35" spans="1:69" s="10" customFormat="1" ht="15.75" customHeight="1">
      <c r="A35" s="119">
        <v>45</v>
      </c>
      <c r="B35" s="596" t="s">
        <v>139</v>
      </c>
      <c r="C35" s="121" t="str">
        <f ca="1">E35</f>
        <v>{"searchDossierOrKlient":`Z01b_${p.AHVNumber5} 4-No85`,"resultType":"Dossiers"}</v>
      </c>
      <c r="D35" s="56"/>
      <c r="E35" s="109" t="str">
        <f ca="1">F35&amp;G35&amp;H35&amp;I35&amp;J35&amp;K35&amp;L35&amp;M35&amp;N35&amp;O35&amp;P35&amp;Q35&amp;R35&amp;S35&amp;T35&amp;U35&amp;V35&amp;W35&amp;X35</f>
        <v>{"searchDossierOrKlient":`Z01b_${p.AHVNumber5} 4-No85`,"resultType":"Dossiers"}</v>
      </c>
      <c r="F35" s="110" t="s">
        <v>407</v>
      </c>
      <c r="G35" s="111" t="str">
        <f ca="1">G33</f>
        <v>Z01b_${p.AHVNumber5} 4-No85</v>
      </c>
      <c r="H35" s="110" t="s">
        <v>408</v>
      </c>
      <c r="I35" s="56" t="s">
        <v>142</v>
      </c>
      <c r="J35" s="110" t="s">
        <v>37</v>
      </c>
      <c r="K35" s="56"/>
      <c r="L35" s="110"/>
      <c r="M35" s="56"/>
      <c r="N35" s="110"/>
      <c r="O35" s="56"/>
      <c r="P35" s="110"/>
      <c r="Q35" s="56"/>
      <c r="R35" s="110"/>
      <c r="S35" s="56"/>
      <c r="T35" s="110"/>
      <c r="U35" s="56"/>
      <c r="V35" s="110"/>
      <c r="W35" s="56"/>
      <c r="X35" s="56"/>
      <c r="Y35" s="56"/>
      <c r="Z35" s="56"/>
      <c r="AA35" s="56"/>
      <c r="AB35" s="56"/>
      <c r="AC35" s="56"/>
      <c r="AD35" s="56"/>
      <c r="AE35" s="4"/>
      <c r="AF35" s="4"/>
      <c r="AG35" s="56">
        <v>1012</v>
      </c>
      <c r="AH35" s="56">
        <v>1016</v>
      </c>
      <c r="AI35" s="14">
        <f t="shared" si="15"/>
        <v>1.0039525691699605</v>
      </c>
      <c r="AJ35" s="56">
        <v>1005</v>
      </c>
      <c r="AK35" s="14">
        <f t="shared" si="9"/>
        <v>0.99308300395256921</v>
      </c>
      <c r="AL35" s="56">
        <v>1008</v>
      </c>
      <c r="AM35" s="14">
        <f t="shared" si="10"/>
        <v>0.99604743083003955</v>
      </c>
      <c r="AN35" s="56"/>
      <c r="AO35" s="14">
        <f t="shared" si="16"/>
        <v>0</v>
      </c>
      <c r="AP35" s="56"/>
      <c r="AQ35" s="14">
        <f t="shared" si="2"/>
        <v>0</v>
      </c>
      <c r="AR35" s="56"/>
      <c r="AS35" s="14">
        <f t="shared" si="3"/>
        <v>0</v>
      </c>
      <c r="AT35" s="56">
        <v>1009</v>
      </c>
      <c r="AU35" s="14">
        <f t="shared" si="4"/>
        <v>0.99703557312252966</v>
      </c>
      <c r="AV35" s="56">
        <v>1011</v>
      </c>
      <c r="AW35" s="14">
        <f t="shared" si="4"/>
        <v>0.99901185770750989</v>
      </c>
      <c r="AX35" s="56">
        <v>1005</v>
      </c>
      <c r="AY35" s="14">
        <f t="shared" si="4"/>
        <v>0.99308300395256921</v>
      </c>
      <c r="AZ35" s="2">
        <v>1051</v>
      </c>
      <c r="BA35" s="14">
        <f t="shared" si="4"/>
        <v>1.0385375494071147</v>
      </c>
      <c r="BB35" s="2">
        <v>1004</v>
      </c>
      <c r="BC35" s="14">
        <f t="shared" si="4"/>
        <v>0.9920948616600791</v>
      </c>
      <c r="BD35" s="2">
        <v>1011</v>
      </c>
      <c r="BE35" s="14">
        <f t="shared" si="11"/>
        <v>0.99901185770750989</v>
      </c>
      <c r="BF35" s="2">
        <v>1029</v>
      </c>
      <c r="BG35" s="14">
        <f t="shared" si="5"/>
        <v>1.016798418972332</v>
      </c>
      <c r="BH35" s="10">
        <v>1003</v>
      </c>
      <c r="BI35" s="14">
        <f t="shared" si="6"/>
        <v>0.99110671936758898</v>
      </c>
      <c r="BK35" s="10">
        <v>10490</v>
      </c>
      <c r="BM35" s="10">
        <v>10190</v>
      </c>
      <c r="BO35" s="10">
        <v>10803</v>
      </c>
      <c r="BQ35" s="10">
        <v>10612</v>
      </c>
    </row>
    <row r="36" spans="1:69" s="10" customFormat="1" ht="15.75" customHeight="1">
      <c r="A36" s="119">
        <v>46</v>
      </c>
      <c r="B36" s="122" t="s">
        <v>200</v>
      </c>
      <c r="C36" s="121" t="str">
        <f ca="1">E36</f>
        <v xml:space="preserve">{"verwendungPeriode":"November 2025,Dezember 2025,Januar 2026,Februar 2026,März 2026,April 2026,Mai 2026","status":"Zu bezahlen"}																				
</v>
      </c>
      <c r="D36" s="82"/>
      <c r="E36" s="109" t="str">
        <f ca="1">F36&amp;G36&amp;H36&amp;I36&amp;J36&amp;K36&amp;L36&amp;M36&amp;N36&amp;O36&amp;P36&amp;Q36&amp;R36&amp;S36&amp;T36&amp;U36&amp;V36&amp;W36&amp;X36</f>
        <v xml:space="preserve">{"verwendungPeriode":"November 2025,Dezember 2025,Januar 2026,Februar 2026,März 2026,April 2026,Mai 2026","status":"Zu bezahlen"}																				
</v>
      </c>
      <c r="F36" s="84" t="s">
        <v>201</v>
      </c>
      <c r="G36" s="69" t="str">
        <f ca="1">F63&amp;","&amp;F64&amp;","&amp;F65&amp;","&amp;F66&amp;","&amp;F67&amp;","&amp;F68&amp;","&amp;F69</f>
        <v>November 2025,Dezember 2025,Januar 2026,Februar 2026,März 2026,April 2026,Mai 2026</v>
      </c>
      <c r="H36" s="84"/>
      <c r="I36" s="117"/>
      <c r="J36" s="84" t="s">
        <v>202</v>
      </c>
      <c r="K36" s="87" t="s">
        <v>203</v>
      </c>
      <c r="L36" s="118" t="s">
        <v>204</v>
      </c>
      <c r="M36" s="82"/>
      <c r="N36" s="84"/>
      <c r="O36" s="84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4"/>
      <c r="AF36" s="4"/>
      <c r="AG36" s="82">
        <v>11232</v>
      </c>
      <c r="AH36" s="82">
        <v>11854</v>
      </c>
      <c r="AI36" s="14">
        <f t="shared" si="15"/>
        <v>1.0553774928774928</v>
      </c>
      <c r="AJ36" s="82">
        <v>12682</v>
      </c>
      <c r="AK36" s="14">
        <f t="shared" si="9"/>
        <v>1.1290954415954415</v>
      </c>
      <c r="AL36" s="82">
        <v>12036</v>
      </c>
      <c r="AM36" s="14">
        <f t="shared" si="10"/>
        <v>1.0715811965811965</v>
      </c>
      <c r="AN36" s="82"/>
      <c r="AO36" s="14">
        <f t="shared" si="16"/>
        <v>0</v>
      </c>
      <c r="AP36" s="82"/>
      <c r="AQ36" s="14">
        <f t="shared" si="2"/>
        <v>0</v>
      </c>
      <c r="AR36" s="82"/>
      <c r="AS36" s="14">
        <f t="shared" si="3"/>
        <v>0</v>
      </c>
      <c r="AT36" s="82">
        <v>5007</v>
      </c>
      <c r="AU36" s="14">
        <f t="shared" si="4"/>
        <v>0.44577991452991456</v>
      </c>
      <c r="AV36" s="82">
        <v>5008</v>
      </c>
      <c r="AW36" s="14">
        <f t="shared" si="4"/>
        <v>0.44586894586894588</v>
      </c>
      <c r="AX36" s="82">
        <v>5015</v>
      </c>
      <c r="AY36" s="14">
        <f t="shared" si="4"/>
        <v>0.44649216524216523</v>
      </c>
      <c r="AZ36" s="2">
        <v>5015</v>
      </c>
      <c r="BA36" s="14">
        <f t="shared" si="4"/>
        <v>0.44649216524216523</v>
      </c>
      <c r="BB36" s="2">
        <v>5014</v>
      </c>
      <c r="BC36" s="14">
        <f t="shared" si="4"/>
        <v>0.44640313390313391</v>
      </c>
      <c r="BD36" s="2">
        <v>5010</v>
      </c>
      <c r="BE36" s="14">
        <f t="shared" si="11"/>
        <v>0.44604700854700857</v>
      </c>
      <c r="BF36" s="2">
        <v>5007</v>
      </c>
      <c r="BG36" s="14">
        <f t="shared" si="5"/>
        <v>0.44577991452991456</v>
      </c>
      <c r="BH36" s="10">
        <v>5004</v>
      </c>
      <c r="BI36" s="14">
        <f t="shared" si="6"/>
        <v>0.44551282051282054</v>
      </c>
      <c r="BK36" s="10">
        <v>5627</v>
      </c>
      <c r="BM36" s="10">
        <v>6052</v>
      </c>
      <c r="BO36" s="10">
        <v>6030</v>
      </c>
      <c r="BQ36" s="10">
        <v>5761</v>
      </c>
    </row>
    <row r="37" spans="1:69" ht="24" customHeight="1">
      <c r="A37" s="119">
        <v>18</v>
      </c>
      <c r="B37" s="120" t="s">
        <v>134</v>
      </c>
      <c r="C37" s="594" t="s">
        <v>138</v>
      </c>
      <c r="E37" s="2" t="str">
        <f t="shared" ref="E37" si="19">F37&amp;G37&amp;H37&amp;I37&amp;J37&amp;K37&amp;L37&amp;M37&amp;N37&amp;O37&amp;P37&amp;Q37&amp;R37&amp;S37&amp;T37&amp;U37&amp;V37&amp;W37&amp;X37</f>
        <v>{"username":"Bern.Sachbearbeiterin@diartis.ch","password":"XXxa22?pdTA66-S@"}</v>
      </c>
      <c r="F37" s="41" t="s">
        <v>29</v>
      </c>
      <c r="G37" s="2" t="s">
        <v>30</v>
      </c>
      <c r="H37" s="41" t="s">
        <v>31</v>
      </c>
      <c r="I37" s="2" t="s">
        <v>32</v>
      </c>
      <c r="J37" s="41" t="s">
        <v>37</v>
      </c>
      <c r="L37" s="41"/>
      <c r="N37" s="41"/>
      <c r="P37" s="41"/>
      <c r="R37" s="41"/>
      <c r="T37" s="41"/>
      <c r="V37" s="41"/>
      <c r="AG37" s="2">
        <v>12332</v>
      </c>
      <c r="AH37" s="2">
        <v>12688</v>
      </c>
      <c r="AI37" s="14">
        <f t="shared" si="15"/>
        <v>1.0288679857281868</v>
      </c>
      <c r="AJ37" s="2">
        <v>12610</v>
      </c>
      <c r="AK37" s="14">
        <f t="shared" ref="AK37" si="20">AJ37/$AG37</f>
        <v>1.0225429776192021</v>
      </c>
      <c r="AL37" s="2">
        <v>13286</v>
      </c>
      <c r="AM37" s="14">
        <f t="shared" ref="AM37" si="21">AL37/$AG37</f>
        <v>1.0773597145637366</v>
      </c>
      <c r="AN37" s="2">
        <v>13505</v>
      </c>
      <c r="AO37" s="14">
        <f t="shared" si="16"/>
        <v>1.0951183911774245</v>
      </c>
      <c r="AP37" s="2">
        <v>13825</v>
      </c>
      <c r="AQ37" s="14">
        <f t="shared" ref="AQ37" si="22">AP37/$AG37</f>
        <v>1.1210671423937724</v>
      </c>
      <c r="AR37" s="2">
        <v>13317</v>
      </c>
      <c r="AS37" s="14">
        <f t="shared" ref="AS37" si="23">AR37/$AG37</f>
        <v>1.0798734998378203</v>
      </c>
      <c r="AT37" s="2">
        <v>13148</v>
      </c>
      <c r="AU37" s="14">
        <f t="shared" ref="AU37:BE37" si="24">AT37/$AG37</f>
        <v>1.0661693156016867</v>
      </c>
      <c r="AV37" s="2">
        <v>13175</v>
      </c>
      <c r="AW37" s="14">
        <f t="shared" si="24"/>
        <v>1.068358741485566</v>
      </c>
      <c r="AX37" s="2">
        <v>6770</v>
      </c>
      <c r="AY37" s="14">
        <f t="shared" si="24"/>
        <v>0.54897826792085636</v>
      </c>
      <c r="AZ37" s="2">
        <v>0</v>
      </c>
      <c r="BA37" s="14">
        <f t="shared" si="24"/>
        <v>0</v>
      </c>
      <c r="BB37" s="2">
        <v>4700</v>
      </c>
      <c r="BC37" s="14">
        <f t="shared" si="24"/>
        <v>0.38112228349010702</v>
      </c>
      <c r="BD37" s="2">
        <v>6078</v>
      </c>
      <c r="BE37" s="14">
        <f t="shared" si="24"/>
        <v>0.49286409341550436</v>
      </c>
      <c r="BF37" s="2">
        <v>5078</v>
      </c>
      <c r="BG37" s="14">
        <f t="shared" si="5"/>
        <v>0.4117742458644178</v>
      </c>
      <c r="BH37" s="2">
        <v>4676</v>
      </c>
      <c r="BI37" s="14">
        <f t="shared" si="6"/>
        <v>0.37917612714888094</v>
      </c>
      <c r="BK37" s="2">
        <v>6786</v>
      </c>
      <c r="BM37" s="2">
        <v>6179</v>
      </c>
      <c r="BO37" s="2">
        <v>5547</v>
      </c>
      <c r="BQ37" s="2">
        <v>5779</v>
      </c>
    </row>
    <row r="38" spans="1:69" s="10" customFormat="1" ht="24.75" customHeight="1">
      <c r="A38" s="119">
        <v>33</v>
      </c>
      <c r="B38" s="591" t="s">
        <v>139</v>
      </c>
      <c r="C38" s="595" t="str">
        <f ca="1">E38</f>
        <v>{"searchDossierOrKlient":`Z01b_${p.AHVNumber5} 4-No85`,"resultType":"Dossiers"}</v>
      </c>
      <c r="D38" s="90"/>
      <c r="E38" s="91" t="str">
        <f ca="1">F38&amp;G38&amp;H38&amp;I38&amp;J38&amp;K38&amp;L38&amp;M38&amp;N38&amp;O38&amp;P38&amp;Q38&amp;R38&amp;S38&amp;T38&amp;U38&amp;V38&amp;W38&amp;X38</f>
        <v>{"searchDossierOrKlient":`Z01b_${p.AHVNumber5} 4-No85`,"resultType":"Dossiers"}</v>
      </c>
      <c r="F38" s="92" t="s">
        <v>407</v>
      </c>
      <c r="G38" s="79" t="str">
        <f ca="1">Z01b!$G$11</f>
        <v>Z01b_${p.AHVNumber5} 4-No85</v>
      </c>
      <c r="H38" s="92" t="s">
        <v>408</v>
      </c>
      <c r="I38" s="90" t="s">
        <v>142</v>
      </c>
      <c r="J38" s="92" t="s">
        <v>37</v>
      </c>
      <c r="K38" s="90"/>
      <c r="L38" s="92"/>
      <c r="M38" s="90"/>
      <c r="N38" s="92"/>
      <c r="O38" s="90"/>
      <c r="P38" s="92"/>
      <c r="Q38" s="90"/>
      <c r="R38" s="92"/>
      <c r="S38" s="90"/>
      <c r="T38" s="92"/>
      <c r="U38" s="90"/>
      <c r="V38" s="92"/>
      <c r="W38" s="90"/>
      <c r="X38" s="90"/>
      <c r="Y38" s="90"/>
      <c r="Z38" s="90"/>
      <c r="AA38" s="90"/>
      <c r="AB38" s="90"/>
      <c r="AC38" s="90"/>
      <c r="AD38" s="90"/>
      <c r="AE38" s="4"/>
      <c r="AF38" s="4"/>
      <c r="AG38" s="90">
        <v>10683</v>
      </c>
      <c r="AH38" s="90">
        <v>10939</v>
      </c>
      <c r="AI38" s="14">
        <f t="shared" si="15"/>
        <v>1.0239633061874005</v>
      </c>
      <c r="AJ38" s="90">
        <v>2013</v>
      </c>
      <c r="AK38" s="14">
        <f t="shared" si="9"/>
        <v>0.18843021623139566</v>
      </c>
      <c r="AL38" s="90"/>
      <c r="AM38" s="14">
        <f t="shared" si="10"/>
        <v>0</v>
      </c>
      <c r="AN38" s="90"/>
      <c r="AO38" s="14">
        <f t="shared" si="16"/>
        <v>0</v>
      </c>
      <c r="AP38" s="90"/>
      <c r="AQ38" s="14">
        <f t="shared" si="2"/>
        <v>0</v>
      </c>
      <c r="AR38" s="90"/>
      <c r="AS38" s="14">
        <f t="shared" si="3"/>
        <v>0</v>
      </c>
      <c r="AT38" s="90">
        <v>0</v>
      </c>
      <c r="AU38" s="14">
        <f t="shared" si="4"/>
        <v>0</v>
      </c>
      <c r="AV38" s="90">
        <v>0</v>
      </c>
      <c r="AW38" s="14">
        <f t="shared" si="4"/>
        <v>0</v>
      </c>
      <c r="AX38" s="90"/>
      <c r="AY38" s="14">
        <f t="shared" si="4"/>
        <v>0</v>
      </c>
      <c r="BA38" s="14">
        <f t="shared" si="4"/>
        <v>0</v>
      </c>
      <c r="BC38" s="14">
        <f t="shared" si="4"/>
        <v>0</v>
      </c>
      <c r="BD38" s="2">
        <v>11138</v>
      </c>
      <c r="BE38" s="14">
        <f t="shared" si="11"/>
        <v>1.0425910324815126</v>
      </c>
      <c r="BF38" s="2">
        <v>9761</v>
      </c>
      <c r="BG38" s="14">
        <f t="shared" si="5"/>
        <v>0.91369465505944025</v>
      </c>
      <c r="BH38" s="10">
        <v>10623</v>
      </c>
      <c r="BI38" s="14">
        <f t="shared" si="6"/>
        <v>0.99438360011232796</v>
      </c>
      <c r="BK38" s="10">
        <v>10174</v>
      </c>
      <c r="BM38" s="10">
        <v>10237</v>
      </c>
      <c r="BO38" s="10">
        <v>9743</v>
      </c>
      <c r="BQ38" s="10">
        <v>9524</v>
      </c>
    </row>
    <row r="39" spans="1:69" s="10" customFormat="1" ht="15.75" customHeight="1" thickBot="1">
      <c r="A39" s="21">
        <v>53</v>
      </c>
      <c r="B39" s="240" t="s">
        <v>1142</v>
      </c>
      <c r="C39" s="391" t="str">
        <f ca="1">E39</f>
        <v>{"dossier":`Z01b_${p.AHVNumber5} 4-No85`,"totalbetrag":"171.45"}</v>
      </c>
      <c r="D39" s="90"/>
      <c r="E39" s="91" t="str">
        <f ca="1">F39&amp;G39&amp;H39&amp;I39&amp;J39&amp;K39&amp;L39&amp;M39&amp;N39&amp;O39&amp;P39&amp;Q39&amp;R39&amp;S39&amp;T39&amp;U39&amp;V39&amp;W39&amp;X39</f>
        <v>{"dossier":`Z01b_${p.AHVNumber5} 4-No85`,"totalbetrag":"171.45"}</v>
      </c>
      <c r="F39" s="130" t="s">
        <v>348</v>
      </c>
      <c r="G39" s="79" t="str">
        <f ca="1">Z01b!$G$11</f>
        <v>Z01b_${p.AHVNumber5} 4-No85</v>
      </c>
      <c r="H39" s="92" t="s">
        <v>1143</v>
      </c>
      <c r="I39" s="131">
        <v>171.45</v>
      </c>
      <c r="J39" s="92" t="s">
        <v>37</v>
      </c>
      <c r="K39" s="90"/>
      <c r="L39" s="92"/>
      <c r="M39" s="90"/>
      <c r="N39" s="92"/>
      <c r="O39" s="90"/>
      <c r="P39" s="92"/>
      <c r="Q39" s="90"/>
      <c r="R39" s="92"/>
      <c r="S39" s="90"/>
      <c r="T39" s="92"/>
      <c r="U39" s="90"/>
      <c r="V39" s="92"/>
      <c r="W39" s="90"/>
      <c r="X39" s="90"/>
      <c r="Y39" s="90"/>
      <c r="Z39" s="90"/>
      <c r="AA39" s="90"/>
      <c r="AB39" s="90"/>
      <c r="AC39" s="90"/>
      <c r="AD39" s="90"/>
      <c r="AE39" s="4"/>
      <c r="AF39" s="4"/>
      <c r="AG39" s="90">
        <v>17062</v>
      </c>
      <c r="AH39" s="90">
        <v>17360</v>
      </c>
      <c r="AI39" s="14">
        <f t="shared" si="15"/>
        <v>1.0174657132809752</v>
      </c>
      <c r="AJ39" s="90">
        <v>11768</v>
      </c>
      <c r="AK39" s="14">
        <f t="shared" si="9"/>
        <v>0.68971984527019103</v>
      </c>
      <c r="AL39" s="90"/>
      <c r="AM39" s="14">
        <f t="shared" si="10"/>
        <v>0</v>
      </c>
      <c r="AN39" s="90"/>
      <c r="AO39" s="14">
        <f t="shared" si="16"/>
        <v>0</v>
      </c>
      <c r="AP39" s="90"/>
      <c r="AQ39" s="14">
        <f t="shared" si="2"/>
        <v>0</v>
      </c>
      <c r="AR39" s="90"/>
      <c r="AS39" s="14">
        <f t="shared" si="3"/>
        <v>0</v>
      </c>
      <c r="AT39" s="90">
        <v>430</v>
      </c>
      <c r="AU39" s="14">
        <f t="shared" si="4"/>
        <v>2.5202203727581762E-2</v>
      </c>
      <c r="AV39" s="90">
        <v>328</v>
      </c>
      <c r="AW39" s="14">
        <f t="shared" si="4"/>
        <v>1.9224006564294925E-2</v>
      </c>
      <c r="AX39" s="90">
        <v>7274</v>
      </c>
      <c r="AY39" s="14">
        <f t="shared" si="4"/>
        <v>0.42632751142890635</v>
      </c>
      <c r="AZ39" s="2">
        <v>352</v>
      </c>
      <c r="BA39" s="14">
        <f t="shared" si="4"/>
        <v>2.0630641190950649E-2</v>
      </c>
      <c r="BB39" s="2">
        <v>9929</v>
      </c>
      <c r="BC39" s="14">
        <f t="shared" si="4"/>
        <v>0.58193646700269608</v>
      </c>
      <c r="BD39" s="2">
        <v>5662</v>
      </c>
      <c r="BE39" s="14">
        <f t="shared" si="11"/>
        <v>0.33184855233853006</v>
      </c>
      <c r="BF39" s="2">
        <v>6165</v>
      </c>
      <c r="BG39" s="14">
        <f t="shared" si="5"/>
        <v>0.36132926972218965</v>
      </c>
      <c r="BH39" s="10">
        <v>6110</v>
      </c>
      <c r="BI39" s="14">
        <f t="shared" si="6"/>
        <v>0.35810573203610363</v>
      </c>
      <c r="BK39" s="10">
        <v>6625</v>
      </c>
      <c r="BM39" s="10">
        <v>6128</v>
      </c>
      <c r="BO39" s="10">
        <v>6002</v>
      </c>
      <c r="BQ39" s="10">
        <v>5851</v>
      </c>
    </row>
    <row r="40" spans="1:69" s="53" customFormat="1" ht="15.75" hidden="1" customHeight="1">
      <c r="A40" s="21"/>
      <c r="B40" s="54" t="s">
        <v>22</v>
      </c>
      <c r="C40" s="55" t="s">
        <v>23</v>
      </c>
      <c r="D40" s="90"/>
      <c r="E40" s="124"/>
      <c r="F40" s="125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4"/>
      <c r="AF40" s="4"/>
      <c r="AG40" s="90"/>
      <c r="AH40" s="90"/>
      <c r="AI40" s="14"/>
      <c r="AJ40" s="90"/>
      <c r="AK40" s="14"/>
      <c r="AL40" s="90"/>
      <c r="AM40" s="14"/>
      <c r="AN40" s="90"/>
      <c r="AO40" s="14"/>
      <c r="AP40" s="90"/>
      <c r="AQ40" s="14"/>
      <c r="AR40" s="90"/>
      <c r="AS40" s="14"/>
      <c r="AT40" s="90"/>
      <c r="AU40" s="14"/>
      <c r="AV40" s="90"/>
      <c r="AW40" s="14"/>
      <c r="AX40" s="90"/>
      <c r="AY40" s="14"/>
      <c r="BA40" s="14"/>
      <c r="BC40" s="14"/>
      <c r="BE40" s="14"/>
      <c r="BG40" s="14"/>
      <c r="BI40" s="14"/>
    </row>
    <row r="41" spans="1:69" s="10" customFormat="1" ht="15.75" hidden="1" customHeight="1">
      <c r="A41" s="49"/>
      <c r="B41" s="19" t="s">
        <v>134</v>
      </c>
      <c r="C41" s="38" t="str">
        <f>E41</f>
        <v>{"username":"Bern.Buchhalter@diartis.ch","password":"HBcc73+ppTX42?E."}</v>
      </c>
      <c r="D41" s="90"/>
      <c r="E41" s="91" t="str">
        <f>F41&amp;G41&amp;H41&amp;I41&amp;J41&amp;K41&amp;L41&amp;M41&amp;N41&amp;O41&amp;P41&amp;Q41&amp;R41&amp;S41&amp;T41&amp;U41&amp;V41&amp;W41&amp;X41</f>
        <v>{"username":"Bern.Buchhalter@diartis.ch","password":"HBcc73+ppTX42?E."}</v>
      </c>
      <c r="F41" s="92" t="s">
        <v>29</v>
      </c>
      <c r="G41" s="90" t="s">
        <v>219</v>
      </c>
      <c r="H41" s="92" t="s">
        <v>31</v>
      </c>
      <c r="I41" s="90" t="s">
        <v>220</v>
      </c>
      <c r="J41" s="92" t="s">
        <v>37</v>
      </c>
      <c r="K41" s="133"/>
      <c r="L41" s="92"/>
      <c r="M41" s="90"/>
      <c r="N41" s="92"/>
      <c r="O41" s="90"/>
      <c r="P41" s="92"/>
      <c r="Q41" s="90"/>
      <c r="R41" s="92"/>
      <c r="S41" s="90"/>
      <c r="T41" s="92"/>
      <c r="U41" s="90"/>
      <c r="V41" s="92"/>
      <c r="W41" s="90"/>
      <c r="X41" s="90"/>
      <c r="Y41" s="90"/>
      <c r="Z41" s="90"/>
      <c r="AA41" s="90"/>
      <c r="AB41" s="90"/>
      <c r="AC41" s="90"/>
      <c r="AD41" s="90"/>
      <c r="AE41" s="4"/>
      <c r="AF41" s="4"/>
      <c r="AG41" s="90"/>
      <c r="AH41" s="90"/>
      <c r="AI41" s="14"/>
      <c r="AJ41" s="90"/>
      <c r="AK41" s="14"/>
      <c r="AL41" s="90"/>
      <c r="AM41" s="14"/>
      <c r="AN41" s="90"/>
      <c r="AO41" s="14"/>
      <c r="AP41" s="90"/>
      <c r="AQ41" s="14"/>
      <c r="AR41" s="90"/>
      <c r="AS41" s="14"/>
      <c r="AT41" s="90"/>
      <c r="AU41" s="14"/>
      <c r="AV41" s="90"/>
      <c r="AW41" s="14"/>
      <c r="AX41" s="90"/>
      <c r="AY41" s="14"/>
      <c r="BA41" s="14"/>
      <c r="BC41" s="14"/>
      <c r="BE41" s="14"/>
      <c r="BG41" s="14"/>
      <c r="BI41" s="14"/>
    </row>
    <row r="42" spans="1:69" s="53" customFormat="1" ht="15.75" hidden="1" customHeight="1">
      <c r="A42" s="49"/>
      <c r="B42" s="134" t="s">
        <v>22</v>
      </c>
      <c r="C42" s="55" t="s">
        <v>194</v>
      </c>
      <c r="D42" s="90"/>
      <c r="E42" s="124"/>
      <c r="F42" s="125"/>
      <c r="G42" s="90"/>
      <c r="H42" s="90"/>
      <c r="I42" s="90"/>
      <c r="J42" s="90"/>
      <c r="K42" s="5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4"/>
      <c r="AF42" s="4"/>
      <c r="AG42" s="90"/>
      <c r="AH42" s="90"/>
      <c r="AI42" s="14"/>
      <c r="AJ42" s="90"/>
      <c r="AK42" s="14"/>
      <c r="AL42" s="90"/>
      <c r="AM42" s="14"/>
      <c r="AN42" s="90"/>
      <c r="AO42" s="14"/>
      <c r="AP42" s="90"/>
      <c r="AQ42" s="14"/>
      <c r="AR42" s="90"/>
      <c r="AS42" s="14"/>
      <c r="AT42" s="90"/>
      <c r="AU42" s="14"/>
      <c r="AV42" s="90"/>
      <c r="AW42" s="14"/>
      <c r="AX42" s="90"/>
      <c r="AY42" s="14"/>
      <c r="BA42" s="14"/>
      <c r="BC42" s="14"/>
      <c r="BE42" s="14"/>
      <c r="BG42" s="14"/>
      <c r="BI42" s="14"/>
    </row>
    <row r="43" spans="1:69" s="10" customFormat="1" ht="15.75" hidden="1" customHeight="1">
      <c r="A43" s="116"/>
      <c r="B43" s="50" t="s">
        <v>139</v>
      </c>
      <c r="C43" s="89" t="str">
        <f ca="1">E43</f>
        <v>{"searchDossierOrKlient":`Z01b_${p.AHVNumber5} 4-No85`,"resultType":"Dossiers"}</v>
      </c>
      <c r="D43" s="90"/>
      <c r="E43" s="91" t="str">
        <f ca="1">F43&amp;G43&amp;H43&amp;I43&amp;J43&amp;K43&amp;L43&amp;M43&amp;N43&amp;O43&amp;P43&amp;Q43&amp;R43&amp;S43&amp;T43&amp;U43&amp;V43&amp;W43&amp;X43</f>
        <v>{"searchDossierOrKlient":`Z01b_${p.AHVNumber5} 4-No85`,"resultType":"Dossiers"}</v>
      </c>
      <c r="F43" s="92" t="s">
        <v>407</v>
      </c>
      <c r="G43" s="79" t="str">
        <f ca="1">Z01b!$G$11</f>
        <v>Z01b_${p.AHVNumber5} 4-No85</v>
      </c>
      <c r="H43" s="92" t="s">
        <v>408</v>
      </c>
      <c r="I43" s="90" t="s">
        <v>142</v>
      </c>
      <c r="J43" s="92" t="s">
        <v>37</v>
      </c>
      <c r="K43" s="90"/>
      <c r="L43" s="92"/>
      <c r="M43" s="90"/>
      <c r="N43" s="92"/>
      <c r="O43" s="90"/>
      <c r="P43" s="92"/>
      <c r="Q43" s="90"/>
      <c r="R43" s="92"/>
      <c r="S43" s="90"/>
      <c r="T43" s="92"/>
      <c r="U43" s="90"/>
      <c r="V43" s="92"/>
      <c r="W43" s="90"/>
      <c r="X43" s="90"/>
      <c r="Y43" s="90"/>
      <c r="Z43" s="90"/>
      <c r="AA43" s="90"/>
      <c r="AB43" s="90"/>
      <c r="AC43" s="90"/>
      <c r="AD43" s="90"/>
      <c r="AE43" s="4"/>
      <c r="AF43" s="4"/>
      <c r="AG43" s="90"/>
      <c r="AH43" s="90"/>
      <c r="AI43" s="14"/>
      <c r="AJ43" s="90"/>
      <c r="AK43" s="14"/>
      <c r="AL43" s="90"/>
      <c r="AM43" s="14"/>
      <c r="AN43" s="90"/>
      <c r="AO43" s="14"/>
      <c r="AP43" s="90"/>
      <c r="AQ43" s="14"/>
      <c r="AR43" s="90"/>
      <c r="AS43" s="14"/>
      <c r="AT43" s="90"/>
      <c r="AU43" s="14"/>
      <c r="AV43" s="90"/>
      <c r="AW43" s="14"/>
      <c r="AX43" s="90"/>
      <c r="AY43" s="14"/>
      <c r="BA43" s="14"/>
      <c r="BC43" s="14"/>
      <c r="BE43" s="14"/>
      <c r="BG43" s="14"/>
      <c r="BI43" s="14"/>
    </row>
    <row r="44" spans="1:69" s="10" customFormat="1" ht="36" hidden="1" customHeight="1">
      <c r="A44" s="21"/>
      <c r="B44" s="135" t="s">
        <v>221</v>
      </c>
      <c r="C44" s="89" t="str">
        <f ca="1">E44</f>
        <v>{"bisValutaDatum":"31.12.2024","dossier":Z01b_${p.AHVNumber5} 4-No85,"zahlungenTotal":"","buchhaltung":`Regionaler Sozialdienst "Bern"`,"zustGemeinde":""}</v>
      </c>
      <c r="D44" s="90"/>
      <c r="E44" s="91" t="str">
        <f ca="1">F44&amp;G44&amp;H44&amp;I44&amp;J44&amp;K44&amp;L44&amp;M44&amp;N44&amp;O44&amp;P44&amp;Q44&amp;R44&amp;S44&amp;T44&amp;U44&amp;V44&amp;W44&amp;X44</f>
        <v>{"bisValutaDatum":"31.12.2024","dossier":Z01b_${p.AHVNumber5} 4-No85,"zahlungenTotal":"","buchhaltung":`Regionaler Sozialdienst "Bern"`,"zustGemeinde":""}</v>
      </c>
      <c r="F44" s="92" t="s">
        <v>222</v>
      </c>
      <c r="G44" s="90" t="s">
        <v>223</v>
      </c>
      <c r="H44" s="92" t="s">
        <v>224</v>
      </c>
      <c r="I44" s="133" t="str">
        <f ca="1">G38</f>
        <v>Z01b_${p.AHVNumber5} 4-No85</v>
      </c>
      <c r="J44" s="92" t="s">
        <v>225</v>
      </c>
      <c r="K44" s="136"/>
      <c r="L44" s="92" t="s">
        <v>226</v>
      </c>
      <c r="M44" s="90" t="s">
        <v>227</v>
      </c>
      <c r="N44" s="92" t="s">
        <v>228</v>
      </c>
      <c r="O44" s="90"/>
      <c r="P44" s="92" t="s">
        <v>37</v>
      </c>
      <c r="Q44" s="90"/>
      <c r="R44" s="92"/>
      <c r="S44" s="90"/>
      <c r="T44" s="92"/>
      <c r="U44" s="90"/>
      <c r="V44" s="92"/>
      <c r="W44" s="90"/>
      <c r="X44" s="90"/>
      <c r="Y44" s="90"/>
      <c r="Z44" s="90"/>
      <c r="AA44" s="90"/>
      <c r="AB44" s="90"/>
      <c r="AC44" s="90"/>
      <c r="AD44" s="90"/>
      <c r="AE44" s="4"/>
      <c r="AF44" s="4"/>
      <c r="AG44" s="90"/>
      <c r="AH44" s="90"/>
      <c r="AI44" s="14"/>
      <c r="AJ44" s="90"/>
      <c r="AK44" s="14"/>
      <c r="AL44" s="90"/>
      <c r="AM44" s="14"/>
      <c r="AN44" s="90"/>
      <c r="AO44" s="14"/>
      <c r="AP44" s="90"/>
      <c r="AQ44" s="14"/>
      <c r="AR44" s="90"/>
      <c r="AS44" s="14"/>
      <c r="AT44" s="90"/>
      <c r="AU44" s="14"/>
      <c r="AV44" s="90"/>
      <c r="AW44" s="14"/>
      <c r="AX44" s="90"/>
      <c r="AY44" s="14"/>
      <c r="BA44" s="14"/>
      <c r="BC44" s="14"/>
      <c r="BE44" s="14"/>
      <c r="BG44" s="14"/>
      <c r="BI44" s="14"/>
    </row>
    <row r="45" spans="1:69" s="53" customFormat="1" ht="15.75" hidden="1" customHeight="1">
      <c r="A45" s="49"/>
      <c r="B45" s="54" t="s">
        <v>22</v>
      </c>
      <c r="C45" s="55" t="s">
        <v>126</v>
      </c>
      <c r="D45" s="90"/>
      <c r="E45" s="124"/>
      <c r="F45" s="125"/>
      <c r="G45" s="90"/>
      <c r="H45" s="90"/>
      <c r="I45" s="90"/>
      <c r="J45" s="90"/>
      <c r="K45" s="5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4"/>
      <c r="AF45" s="4"/>
      <c r="AG45" s="90"/>
      <c r="AH45" s="90"/>
      <c r="AI45" s="14"/>
      <c r="AJ45" s="90"/>
      <c r="AK45" s="14"/>
      <c r="AL45" s="90"/>
      <c r="AM45" s="14"/>
      <c r="AN45" s="90"/>
      <c r="AO45" s="14"/>
      <c r="AP45" s="90"/>
      <c r="AQ45" s="14"/>
      <c r="AR45" s="90"/>
      <c r="AS45" s="14"/>
      <c r="AT45" s="90"/>
      <c r="AU45" s="14"/>
      <c r="AV45" s="90"/>
      <c r="AW45" s="14"/>
      <c r="AX45" s="90"/>
      <c r="AY45" s="14"/>
      <c r="BA45" s="14"/>
      <c r="BC45" s="14"/>
      <c r="BE45" s="14"/>
      <c r="BG45" s="14"/>
      <c r="BI45" s="14"/>
    </row>
    <row r="46" spans="1:69" s="10" customFormat="1" ht="15.75" hidden="1" customHeight="1">
      <c r="A46" s="21"/>
      <c r="B46" s="16" t="s">
        <v>229</v>
      </c>
      <c r="C46" s="38" t="str">
        <f ca="1">E46</f>
        <v>{"dossier":`Z01b_${p.AHVNumber5} 4-No85`,"ausgefuehrteZahlungen":"7"}</v>
      </c>
      <c r="D46" s="38"/>
      <c r="E46" s="91" t="str">
        <f ca="1">F46&amp;G46&amp;H46&amp;I46&amp;J46&amp;K46&amp;L46&amp;M46&amp;N46&amp;O46&amp;P46&amp;Q46&amp;R46&amp;S46&amp;T46&amp;U46&amp;V46&amp;W46</f>
        <v>{"dossier":`Z01b_${p.AHVNumber5} 4-No85`,"ausgefuehrteZahlungen":"7"}</v>
      </c>
      <c r="F46" s="2" t="s">
        <v>348</v>
      </c>
      <c r="G46" s="79" t="str">
        <f ca="1">G43</f>
        <v>Z01b_${p.AHVNumber5} 4-No85</v>
      </c>
      <c r="H46" s="2" t="s">
        <v>485</v>
      </c>
      <c r="I46" s="131">
        <v>7</v>
      </c>
      <c r="J46" s="2" t="s">
        <v>37</v>
      </c>
      <c r="K46" s="51"/>
      <c r="L46" s="2"/>
      <c r="M46" s="2"/>
      <c r="N46" s="2"/>
      <c r="O46" s="30"/>
      <c r="P46" s="2"/>
      <c r="Q46" s="2"/>
      <c r="R46" s="2"/>
      <c r="S46" s="2"/>
      <c r="T46" s="2"/>
      <c r="U46" s="2"/>
      <c r="V46" s="2"/>
      <c r="W46" s="2"/>
      <c r="X46" s="2"/>
      <c r="Y46" s="2" t="s">
        <v>37</v>
      </c>
      <c r="Z46" s="2"/>
      <c r="AA46" s="2"/>
      <c r="AB46" s="2"/>
      <c r="AC46" s="2"/>
      <c r="AD46" s="2"/>
      <c r="AE46" s="56"/>
      <c r="AF46" s="56"/>
      <c r="AG46" s="2"/>
      <c r="AH46" s="2"/>
      <c r="AI46" s="14"/>
      <c r="AJ46" s="2"/>
      <c r="AK46" s="14"/>
      <c r="AL46" s="2"/>
      <c r="AM46" s="14"/>
      <c r="AN46" s="2"/>
      <c r="AO46" s="14"/>
      <c r="AP46" s="2"/>
      <c r="AQ46" s="14"/>
      <c r="AR46" s="2"/>
      <c r="AS46" s="14"/>
      <c r="AT46" s="2"/>
      <c r="AU46" s="14"/>
      <c r="AV46" s="2"/>
      <c r="AW46" s="14"/>
      <c r="AX46" s="2"/>
      <c r="AY46" s="14"/>
      <c r="BA46" s="14"/>
      <c r="BC46" s="14"/>
      <c r="BE46" s="14"/>
      <c r="BG46" s="14"/>
      <c r="BI46" s="14"/>
    </row>
    <row r="47" spans="1:69" ht="15.75" hidden="1" customHeight="1">
      <c r="A47" s="49"/>
      <c r="B47" s="137" t="s">
        <v>134</v>
      </c>
      <c r="C47" s="88" t="s">
        <v>138</v>
      </c>
      <c r="E47" s="2" t="str">
        <f>F47&amp;G47&amp;H47&amp;I47&amp;J47&amp;K47&amp;L47&amp;M47&amp;N47&amp;O47&amp;P47&amp;Q47&amp;R47&amp;S47&amp;T47&amp;U47&amp;V47&amp;W47&amp;X47</f>
        <v>{"username":"Bern.Sachbearbeiterin@diartis.ch","password":"XXxa22?pdTA66-S@"}</v>
      </c>
      <c r="F47" s="41" t="s">
        <v>29</v>
      </c>
      <c r="G47" s="2" t="s">
        <v>30</v>
      </c>
      <c r="H47" s="41" t="s">
        <v>31</v>
      </c>
      <c r="I47" s="2" t="s">
        <v>32</v>
      </c>
      <c r="J47" s="41" t="s">
        <v>37</v>
      </c>
      <c r="K47" s="51"/>
      <c r="L47" s="41"/>
      <c r="N47" s="41"/>
      <c r="P47" s="41"/>
      <c r="R47" s="41"/>
      <c r="T47" s="41"/>
      <c r="V47" s="41"/>
      <c r="AE47" s="13"/>
      <c r="AF47" s="13"/>
      <c r="AI47" s="14"/>
      <c r="AK47" s="14"/>
      <c r="AM47" s="14"/>
      <c r="AO47" s="14"/>
      <c r="AQ47" s="14"/>
      <c r="AS47" s="14"/>
      <c r="AU47" s="14"/>
      <c r="AW47" s="14"/>
      <c r="AY47" s="14"/>
      <c r="BA47" s="14"/>
      <c r="BC47" s="14"/>
      <c r="BE47" s="14"/>
      <c r="BG47" s="14"/>
      <c r="BI47" s="14"/>
    </row>
    <row r="48" spans="1:69" ht="15.75" customHeight="1">
      <c r="B48" s="18"/>
      <c r="C48" s="38"/>
      <c r="E48" s="2"/>
      <c r="F48" s="41"/>
      <c r="H48" s="41"/>
      <c r="J48" s="41"/>
      <c r="K48" s="51"/>
      <c r="L48" s="41"/>
      <c r="N48" s="41"/>
      <c r="P48" s="41"/>
      <c r="R48" s="41"/>
      <c r="T48" s="41"/>
      <c r="V48" s="41"/>
      <c r="AE48" s="13"/>
      <c r="AF48" s="13"/>
      <c r="AI48" s="14"/>
      <c r="AK48" s="14"/>
      <c r="AM48" s="14"/>
      <c r="AO48" s="14"/>
      <c r="AQ48" s="14"/>
      <c r="AS48" s="14"/>
      <c r="AU48" s="14"/>
      <c r="AW48" s="14"/>
      <c r="AY48" s="14"/>
      <c r="BA48" s="14"/>
      <c r="BC48" s="14"/>
      <c r="BE48" s="14"/>
      <c r="BG48" s="14"/>
      <c r="BI48" s="14"/>
    </row>
    <row r="49" spans="1:61" ht="15.75" customHeight="1">
      <c r="B49" s="24" t="s">
        <v>231</v>
      </c>
      <c r="C49" s="38"/>
      <c r="E49" s="2"/>
      <c r="F49" s="41"/>
      <c r="H49" s="41"/>
      <c r="J49" s="41"/>
      <c r="K49" s="138" t="s">
        <v>232</v>
      </c>
      <c r="L49" s="41"/>
      <c r="N49" s="41"/>
      <c r="P49" s="41"/>
      <c r="R49" s="41"/>
      <c r="T49" s="41"/>
      <c r="V49" s="41"/>
      <c r="AE49" s="56"/>
      <c r="AF49" s="56"/>
      <c r="AI49" s="14"/>
      <c r="AK49" s="14"/>
      <c r="AM49" s="14"/>
      <c r="AO49" s="14"/>
      <c r="AQ49" s="14"/>
      <c r="AS49" s="14"/>
      <c r="AU49" s="14"/>
      <c r="AW49" s="14"/>
      <c r="AY49" s="14"/>
      <c r="BA49" s="14"/>
      <c r="BC49" s="14"/>
      <c r="BE49" s="14"/>
      <c r="BG49" s="14"/>
      <c r="BI49" s="14"/>
    </row>
    <row r="50" spans="1:61" s="35" customFormat="1" ht="15.75" customHeight="1">
      <c r="A50" s="1"/>
      <c r="B50" s="2" t="s">
        <v>233</v>
      </c>
      <c r="C50" s="38"/>
      <c r="D50" s="2"/>
      <c r="E50" s="2"/>
      <c r="F50" s="41"/>
      <c r="G50" s="2"/>
      <c r="H50" s="41"/>
      <c r="I50" s="2"/>
      <c r="J50" s="41"/>
      <c r="K50" s="51"/>
      <c r="L50" s="41"/>
      <c r="M50" s="2"/>
      <c r="N50" s="41"/>
      <c r="O50" s="2"/>
      <c r="P50" s="41"/>
      <c r="Q50" s="2"/>
      <c r="R50" s="41"/>
      <c r="S50" s="2"/>
      <c r="T50" s="41"/>
      <c r="U50" s="2"/>
      <c r="V50" s="41"/>
      <c r="W50" s="2"/>
      <c r="X50" s="2"/>
      <c r="Y50" s="2"/>
      <c r="Z50" s="2"/>
      <c r="AA50" s="2"/>
      <c r="AB50" s="2"/>
      <c r="AC50" s="2"/>
      <c r="AD50" s="2"/>
      <c r="AE50" s="74"/>
      <c r="AF50" s="74"/>
      <c r="AG50" s="2"/>
      <c r="AH50" s="2"/>
      <c r="AI50" s="14"/>
      <c r="AJ50" s="2"/>
      <c r="AK50" s="14"/>
      <c r="AL50" s="2"/>
      <c r="AM50" s="14"/>
      <c r="AN50" s="41"/>
      <c r="AO50" s="14"/>
      <c r="AP50" s="41"/>
      <c r="AQ50" s="14"/>
      <c r="AR50" s="41"/>
      <c r="AS50" s="14"/>
      <c r="AT50" s="41"/>
      <c r="AU50" s="14"/>
      <c r="AV50" s="41"/>
      <c r="AW50" s="14"/>
      <c r="AX50" s="41"/>
      <c r="AY50" s="14"/>
      <c r="BA50" s="14"/>
      <c r="BC50" s="14"/>
      <c r="BE50" s="14"/>
      <c r="BG50" s="14"/>
      <c r="BI50" s="14"/>
    </row>
    <row r="51" spans="1:61" s="35" customFormat="1" ht="15.75" customHeight="1">
      <c r="A51" s="1"/>
      <c r="B51" s="2" t="s">
        <v>234</v>
      </c>
      <c r="C51" s="38"/>
      <c r="D51" s="2"/>
      <c r="E51" s="2"/>
      <c r="F51" s="41"/>
      <c r="G51" s="2"/>
      <c r="H51" s="41"/>
      <c r="I51" s="2"/>
      <c r="J51" s="41"/>
      <c r="K51" s="2"/>
      <c r="L51" s="41"/>
      <c r="M51" s="2"/>
      <c r="N51" s="41"/>
      <c r="O51" s="2"/>
      <c r="P51" s="41"/>
      <c r="Q51" s="2"/>
      <c r="R51" s="41"/>
      <c r="S51" s="2"/>
      <c r="T51" s="41"/>
      <c r="U51" s="2"/>
      <c r="V51" s="41"/>
      <c r="W51" s="2"/>
      <c r="X51" s="2"/>
      <c r="Y51" s="2"/>
      <c r="Z51" s="2"/>
      <c r="AA51" s="2"/>
      <c r="AB51" s="2"/>
      <c r="AC51" s="2"/>
      <c r="AD51" s="2"/>
      <c r="AE51" s="56"/>
      <c r="AF51" s="56"/>
      <c r="AG51" s="2"/>
      <c r="AH51" s="2"/>
      <c r="AI51" s="14"/>
      <c r="AJ51" s="2"/>
      <c r="AK51" s="14"/>
      <c r="AL51" s="2"/>
      <c r="AM51" s="14"/>
      <c r="AN51" s="41"/>
      <c r="AO51" s="14"/>
      <c r="AP51" s="41"/>
      <c r="AQ51" s="14"/>
      <c r="AR51" s="41"/>
      <c r="AS51" s="14"/>
      <c r="AT51" s="41"/>
      <c r="AU51" s="14"/>
      <c r="AV51" s="41"/>
      <c r="AW51" s="14"/>
      <c r="AX51" s="41"/>
      <c r="AY51" s="14"/>
      <c r="BA51" s="14"/>
      <c r="BC51" s="14"/>
      <c r="BE51" s="14"/>
      <c r="BG51" s="14"/>
      <c r="BI51" s="14"/>
    </row>
    <row r="52" spans="1:61" s="35" customFormat="1" ht="15.75" customHeight="1">
      <c r="A52" s="1"/>
      <c r="B52" s="18" t="s">
        <v>235</v>
      </c>
      <c r="C52" s="38"/>
      <c r="D52" s="2"/>
      <c r="E52" s="2"/>
      <c r="F52" s="41"/>
      <c r="G52" s="2"/>
      <c r="H52" s="41"/>
      <c r="I52" s="2"/>
      <c r="J52" s="41"/>
      <c r="K52" s="2"/>
      <c r="L52" s="41"/>
      <c r="M52" s="2"/>
      <c r="N52" s="41"/>
      <c r="O52" s="2"/>
      <c r="P52" s="41"/>
      <c r="Q52" s="2"/>
      <c r="R52" s="41"/>
      <c r="S52" s="2"/>
      <c r="T52" s="41"/>
      <c r="U52" s="2"/>
      <c r="V52" s="41"/>
      <c r="W52" s="2"/>
      <c r="X52" s="2"/>
      <c r="Y52" s="2"/>
      <c r="Z52" s="2"/>
      <c r="AA52" s="2"/>
      <c r="AB52" s="2"/>
      <c r="AC52" s="2"/>
      <c r="AD52" s="2"/>
      <c r="AE52" s="74"/>
      <c r="AF52" s="74"/>
      <c r="AG52" s="2"/>
      <c r="AH52" s="2"/>
      <c r="AI52" s="14"/>
      <c r="AJ52" s="2"/>
      <c r="AK52" s="14"/>
      <c r="AL52" s="2"/>
      <c r="AM52" s="14"/>
      <c r="AN52" s="41"/>
      <c r="AO52" s="14"/>
      <c r="AP52" s="41"/>
      <c r="AQ52" s="14"/>
      <c r="AR52" s="41"/>
      <c r="AS52" s="14"/>
      <c r="AT52" s="41"/>
      <c r="AU52" s="14"/>
      <c r="AV52" s="41"/>
      <c r="AW52" s="14"/>
      <c r="AX52" s="41"/>
      <c r="AY52" s="14"/>
      <c r="BA52" s="14"/>
      <c r="BC52" s="14"/>
      <c r="BE52" s="14"/>
      <c r="BG52" s="14"/>
      <c r="BI52" s="14"/>
    </row>
    <row r="53" spans="1:61" s="35" customFormat="1" ht="15.75" customHeight="1">
      <c r="B53" s="2" t="s">
        <v>233</v>
      </c>
      <c r="C53" s="38"/>
      <c r="D53" s="2"/>
      <c r="E53" s="2"/>
      <c r="F53" s="41" t="s">
        <v>236</v>
      </c>
      <c r="G53" s="2" t="str">
        <f>"p.DossierName"&amp;G58</f>
        <v>p.DossierName32</v>
      </c>
      <c r="H53" s="13" t="str">
        <f>"p.ManFirstName"&amp;G58</f>
        <v>p.ManFirstName32</v>
      </c>
      <c r="I53" s="13" t="str">
        <f>"p.AHVNumber"&amp;G60</f>
        <v>p.AHVNumber125</v>
      </c>
      <c r="J53" s="65" t="str">
        <f>"p.BirthdayAdult"&amp;G58</f>
        <v>p.BirthdayAdult32</v>
      </c>
      <c r="K53" s="2"/>
      <c r="L53" s="41"/>
      <c r="M53" s="2"/>
      <c r="N53" s="41"/>
      <c r="O53" s="2"/>
      <c r="P53" s="41"/>
      <c r="Q53" s="2"/>
      <c r="R53" s="41"/>
      <c r="S53" s="2"/>
      <c r="T53" s="41"/>
      <c r="U53" s="2"/>
      <c r="V53" s="41"/>
      <c r="W53" s="2"/>
      <c r="X53" s="2"/>
      <c r="Y53" s="2"/>
      <c r="Z53" s="2"/>
      <c r="AA53" s="2"/>
      <c r="AB53" s="2"/>
      <c r="AC53" s="2"/>
      <c r="AD53" s="2"/>
      <c r="AE53" s="56"/>
      <c r="AF53" s="56"/>
    </row>
    <row r="54" spans="1:61" s="35" customFormat="1" ht="15.75" customHeight="1">
      <c r="B54" s="2" t="s">
        <v>231</v>
      </c>
      <c r="C54" s="38"/>
      <c r="D54" s="2"/>
      <c r="E54" s="2"/>
      <c r="F54" s="41" t="s">
        <v>237</v>
      </c>
      <c r="G54" s="2" t="str">
        <f>"p.FamilyName"&amp;G58</f>
        <v>p.FamilyName32</v>
      </c>
      <c r="H54" s="13" t="str">
        <f>"p.WomanFirstName"&amp;G58</f>
        <v>p.WomanFirstName32</v>
      </c>
      <c r="I54" s="13" t="str">
        <f>"p.AHVNumber"&amp;G60+1</f>
        <v>p.AHVNumber126</v>
      </c>
      <c r="J54" s="65" t="str">
        <f>"p.BirthdayAdult"&amp;G59</f>
        <v>p.BirthdayAdult33</v>
      </c>
      <c r="K54" s="2"/>
      <c r="L54" s="41"/>
      <c r="M54" s="2"/>
      <c r="N54" s="41"/>
      <c r="O54" s="2"/>
      <c r="P54" s="41"/>
      <c r="Q54" s="2"/>
      <c r="R54" s="41"/>
      <c r="S54" s="2"/>
      <c r="T54" s="41"/>
      <c r="U54" s="2"/>
      <c r="V54" s="41"/>
      <c r="W54" s="2"/>
      <c r="X54" s="2"/>
      <c r="Y54" s="2"/>
      <c r="Z54" s="2"/>
      <c r="AA54" s="2"/>
      <c r="AB54" s="2"/>
      <c r="AC54" s="2"/>
      <c r="AD54" s="2"/>
      <c r="AE54" s="74"/>
      <c r="AF54" s="74"/>
    </row>
    <row r="55" spans="1:61" s="35" customFormat="1" ht="15.75" customHeight="1">
      <c r="B55" s="2"/>
      <c r="C55" s="38"/>
      <c r="D55" s="2"/>
      <c r="E55" s="2"/>
      <c r="F55" s="41" t="s">
        <v>238</v>
      </c>
      <c r="G55" s="2" t="str">
        <f>G54</f>
        <v>p.FamilyName32</v>
      </c>
      <c r="H55" s="13" t="str">
        <f>"p.GirlFirstName"&amp;G58</f>
        <v>p.GirlFirstName32</v>
      </c>
      <c r="I55" s="13" t="str">
        <f>"p.AHVNumber"&amp;G60+2</f>
        <v>p.AHVNumber127</v>
      </c>
      <c r="J55" s="65" t="str">
        <f>"p.BirthdayKid"&amp;G58</f>
        <v>p.BirthdayKid32</v>
      </c>
      <c r="K55" s="2"/>
      <c r="L55" s="41"/>
      <c r="M55" s="2"/>
      <c r="N55" s="41"/>
      <c r="O55" s="2"/>
      <c r="P55" s="41"/>
      <c r="Q55" s="2"/>
      <c r="R55" s="41"/>
      <c r="S55" s="2"/>
      <c r="T55" s="41"/>
      <c r="U55" s="2"/>
      <c r="V55" s="41"/>
      <c r="W55" s="2"/>
      <c r="X55" s="2"/>
      <c r="Y55" s="2"/>
      <c r="Z55" s="2"/>
      <c r="AA55" s="2"/>
      <c r="AB55" s="2"/>
      <c r="AC55" s="2"/>
      <c r="AD55" s="2"/>
      <c r="AE55" s="81"/>
      <c r="AF55" s="81"/>
    </row>
    <row r="56" spans="1:61" s="35" customFormat="1" ht="15.75" customHeight="1">
      <c r="B56" s="15" t="s">
        <v>239</v>
      </c>
      <c r="C56" s="38"/>
      <c r="D56" s="2"/>
      <c r="E56" s="2"/>
      <c r="F56" s="41"/>
      <c r="G56" s="2"/>
      <c r="H56" s="13" t="str">
        <f>"p.ManFirstName"&amp;G59</f>
        <v>p.ManFirstName33</v>
      </c>
      <c r="I56" s="13" t="str">
        <f>"p.AHVNumber"&amp;G60+3</f>
        <v>p.AHVNumber128</v>
      </c>
      <c r="J56" s="65" t="str">
        <f>"p.BirthdayKid"&amp;G59</f>
        <v>p.BirthdayKid33</v>
      </c>
      <c r="K56" s="2"/>
      <c r="L56" s="41"/>
      <c r="M56" s="2"/>
      <c r="N56" s="41"/>
      <c r="O56" s="2"/>
      <c r="P56" s="41"/>
      <c r="Q56" s="2"/>
      <c r="R56" s="41"/>
      <c r="S56" s="2"/>
      <c r="T56" s="41"/>
      <c r="U56" s="2"/>
      <c r="V56" s="41"/>
      <c r="W56" s="2"/>
      <c r="X56" s="2"/>
      <c r="Y56" s="2"/>
      <c r="Z56" s="2"/>
      <c r="AA56" s="2"/>
      <c r="AB56" s="2"/>
      <c r="AC56" s="2"/>
      <c r="AD56" s="2"/>
      <c r="AE56" s="74"/>
      <c r="AF56" s="74"/>
    </row>
    <row r="57" spans="1:61" s="35" customFormat="1" ht="15" customHeight="1">
      <c r="B57" s="2"/>
      <c r="C57" s="38"/>
      <c r="D57" s="2"/>
      <c r="E57" s="2"/>
      <c r="F57" s="41"/>
      <c r="G57" s="2"/>
      <c r="H57" s="41"/>
      <c r="I57" s="2"/>
      <c r="J57" s="41"/>
      <c r="K57" s="2"/>
      <c r="L57" s="41"/>
      <c r="M57" s="2"/>
      <c r="N57" s="41"/>
      <c r="O57" s="2"/>
      <c r="P57" s="41"/>
      <c r="Q57" s="2"/>
      <c r="R57" s="41"/>
      <c r="S57" s="2"/>
      <c r="T57" s="41"/>
      <c r="U57" s="2"/>
      <c r="V57" s="41"/>
      <c r="W57" s="2"/>
      <c r="X57" s="2"/>
      <c r="Y57" s="2"/>
      <c r="Z57" s="2"/>
      <c r="AA57" s="2"/>
      <c r="AB57" s="2"/>
      <c r="AC57" s="2"/>
      <c r="AD57" s="2"/>
      <c r="AE57" s="34"/>
      <c r="AF57" s="34"/>
    </row>
    <row r="58" spans="1:61" s="35" customFormat="1" ht="15.75" customHeight="1">
      <c r="B58" s="2" t="s">
        <v>240</v>
      </c>
      <c r="C58" s="38"/>
      <c r="D58" s="2"/>
      <c r="E58" s="2"/>
      <c r="F58" s="41"/>
      <c r="G58" s="62">
        <v>32</v>
      </c>
      <c r="H58" s="41"/>
      <c r="I58" s="2"/>
      <c r="J58" s="41"/>
      <c r="K58" s="2"/>
      <c r="L58" s="41"/>
      <c r="M58" s="2"/>
      <c r="N58" s="41"/>
      <c r="O58" s="2"/>
      <c r="P58" s="41"/>
      <c r="Q58" s="2"/>
      <c r="R58" s="41"/>
      <c r="S58" s="2"/>
      <c r="T58" s="41"/>
      <c r="U58" s="2"/>
      <c r="V58" s="41"/>
      <c r="W58" s="2"/>
      <c r="X58" s="2"/>
      <c r="Y58" s="2"/>
      <c r="Z58" s="2"/>
      <c r="AA58" s="2"/>
      <c r="AB58" s="2"/>
      <c r="AC58" s="2"/>
      <c r="AD58" s="2"/>
      <c r="AE58" s="74"/>
      <c r="AF58" s="74"/>
    </row>
    <row r="59" spans="1:61" s="35" customFormat="1" ht="15.75" customHeight="1">
      <c r="B59" s="24" t="s">
        <v>241</v>
      </c>
      <c r="C59" s="38"/>
      <c r="D59" s="2"/>
      <c r="E59" s="2"/>
      <c r="F59" s="41"/>
      <c r="G59" s="2">
        <f>G58+1</f>
        <v>33</v>
      </c>
      <c r="H59" s="41"/>
      <c r="I59" s="2"/>
      <c r="J59" s="41"/>
      <c r="K59" s="2"/>
      <c r="L59" s="41"/>
      <c r="M59" s="2"/>
      <c r="N59" s="41"/>
      <c r="O59" s="2"/>
      <c r="P59" s="41"/>
      <c r="Q59" s="2"/>
      <c r="R59" s="41"/>
      <c r="S59" s="2"/>
      <c r="T59" s="41"/>
      <c r="U59" s="2"/>
      <c r="V59" s="41"/>
      <c r="W59" s="2"/>
      <c r="X59" s="2"/>
      <c r="Y59" s="2"/>
      <c r="Z59" s="2"/>
      <c r="AA59" s="2"/>
      <c r="AB59" s="2"/>
      <c r="AC59" s="2"/>
      <c r="AD59" s="2"/>
      <c r="AE59" s="81"/>
      <c r="AF59" s="81"/>
    </row>
    <row r="60" spans="1:61" s="35" customFormat="1" ht="15.75" customHeight="1">
      <c r="B60" s="24" t="s">
        <v>242</v>
      </c>
      <c r="C60" s="38"/>
      <c r="D60" s="2"/>
      <c r="E60" s="2"/>
      <c r="F60" s="41"/>
      <c r="G60" s="2">
        <f>G58*4-4+1</f>
        <v>125</v>
      </c>
      <c r="H60" s="41"/>
      <c r="I60" s="2"/>
      <c r="J60" s="41"/>
      <c r="K60" s="2"/>
      <c r="L60" s="41"/>
      <c r="M60" s="2"/>
      <c r="N60" s="41"/>
      <c r="O60" s="2"/>
      <c r="P60" s="41"/>
      <c r="Q60" s="2"/>
      <c r="R60" s="41"/>
      <c r="S60" s="2"/>
      <c r="T60" s="41"/>
      <c r="U60" s="2"/>
      <c r="V60" s="41"/>
      <c r="W60" s="2"/>
      <c r="X60" s="2"/>
      <c r="Y60" s="2"/>
      <c r="Z60" s="2"/>
      <c r="AA60" s="2"/>
      <c r="AB60" s="2"/>
      <c r="AC60" s="2"/>
      <c r="AD60" s="2"/>
      <c r="AE60" s="81"/>
      <c r="AF60" s="81"/>
    </row>
    <row r="61" spans="1:61" s="35" customFormat="1" ht="15.75" customHeight="1">
      <c r="B61" s="24" t="s">
        <v>243</v>
      </c>
      <c r="C61" s="38"/>
      <c r="D61" s="2"/>
      <c r="E61" s="2"/>
      <c r="F61" s="41"/>
      <c r="G61" s="2"/>
      <c r="H61" s="41"/>
      <c r="I61" s="2"/>
      <c r="J61" s="41"/>
      <c r="K61" s="2"/>
      <c r="L61" s="41"/>
      <c r="M61" s="2"/>
      <c r="N61" s="41"/>
      <c r="O61" s="2"/>
      <c r="P61" s="41"/>
      <c r="Q61" s="2"/>
      <c r="R61" s="41"/>
      <c r="S61" s="2"/>
      <c r="T61" s="41"/>
      <c r="U61" s="2"/>
      <c r="V61" s="41"/>
      <c r="W61" s="2"/>
      <c r="X61" s="2"/>
      <c r="Y61" s="2"/>
      <c r="Z61" s="2"/>
      <c r="AA61" s="2"/>
      <c r="AB61" s="2"/>
      <c r="AC61" s="2"/>
      <c r="AD61" s="2"/>
      <c r="AE61" s="74"/>
      <c r="AF61" s="74"/>
    </row>
    <row r="62" spans="1:61" s="35" customFormat="1" ht="15.75" customHeight="1">
      <c r="B62" s="24" t="s">
        <v>244</v>
      </c>
      <c r="C62" s="38"/>
      <c r="D62" s="139" t="s">
        <v>245</v>
      </c>
      <c r="E62" s="140"/>
      <c r="F62" s="141"/>
      <c r="G62" s="142"/>
      <c r="H62" s="141"/>
      <c r="I62" s="143"/>
      <c r="J62" s="41"/>
      <c r="K62" s="2"/>
      <c r="L62" s="41"/>
      <c r="M62" s="2"/>
      <c r="N62" s="41"/>
      <c r="O62" s="2"/>
      <c r="P62" s="41"/>
      <c r="Q62" s="2"/>
      <c r="R62" s="41"/>
      <c r="S62" s="2"/>
      <c r="T62" s="41"/>
      <c r="U62" s="2"/>
      <c r="V62" s="41"/>
      <c r="W62" s="2"/>
      <c r="X62" s="2"/>
      <c r="Y62" s="2"/>
      <c r="Z62" s="2"/>
      <c r="AA62" s="2"/>
      <c r="AB62" s="2"/>
      <c r="AC62" s="2"/>
      <c r="AD62" s="2"/>
      <c r="AE62" s="81"/>
      <c r="AF62" s="81"/>
    </row>
    <row r="63" spans="1:61" s="35" customFormat="1" ht="15.75" customHeight="1">
      <c r="B63" s="144" t="s">
        <v>246</v>
      </c>
      <c r="C63" s="38"/>
      <c r="D63" s="145"/>
      <c r="E63" s="2">
        <f ca="1">MONTH(TODAY())</f>
        <v>11</v>
      </c>
      <c r="F63" s="146" t="str">
        <f t="array" aca="1" ref="F63" ca="1">_xlfn.CHOOSEROWS(H$75:H$98,E63)&amp;" "&amp;_xlfn.CHOOSEROWS(I$75:I$98,E63)</f>
        <v>November 2025</v>
      </c>
      <c r="G63" s="41"/>
      <c r="H63" s="2"/>
      <c r="I63" s="147"/>
      <c r="J63" s="41"/>
      <c r="K63" s="2"/>
      <c r="L63" s="41"/>
      <c r="M63" s="2"/>
      <c r="N63" s="41"/>
      <c r="O63" s="2"/>
      <c r="P63" s="41"/>
      <c r="Q63" s="2"/>
      <c r="R63" s="41"/>
      <c r="S63" s="2"/>
      <c r="T63" s="41"/>
      <c r="U63" s="2"/>
      <c r="V63" s="41"/>
      <c r="W63" s="2"/>
      <c r="X63" s="2"/>
      <c r="Y63" s="2"/>
      <c r="Z63" s="2"/>
      <c r="AA63" s="2"/>
      <c r="AB63" s="2"/>
      <c r="AC63" s="2"/>
      <c r="AD63" s="2"/>
      <c r="AE63" s="81"/>
      <c r="AF63" s="81"/>
    </row>
    <row r="64" spans="1:61" s="35" customFormat="1" ht="15.75" customHeight="1">
      <c r="B64" s="24" t="s">
        <v>247</v>
      </c>
      <c r="C64" s="38"/>
      <c r="D64" s="145"/>
      <c r="E64" s="2">
        <f ca="1">E63+1</f>
        <v>12</v>
      </c>
      <c r="F64" s="146" t="str">
        <f t="array" aca="1" ref="F64" ca="1">_xlfn.CHOOSEROWS(H$75:H$98,E64)&amp;" "&amp;_xlfn.CHOOSEROWS(I$75:I$98,E64)</f>
        <v>Dezember 2025</v>
      </c>
      <c r="G64" s="41"/>
      <c r="H64" s="2"/>
      <c r="I64" s="147"/>
      <c r="J64" s="41"/>
      <c r="K64" s="2"/>
      <c r="L64" s="41"/>
      <c r="M64" s="2"/>
      <c r="N64" s="41"/>
      <c r="O64" s="2"/>
      <c r="P64" s="41"/>
      <c r="Q64" s="2"/>
      <c r="R64" s="41"/>
      <c r="S64" s="2"/>
      <c r="T64" s="41"/>
      <c r="U64" s="2"/>
      <c r="V64" s="41"/>
      <c r="W64" s="2"/>
      <c r="X64" s="2"/>
      <c r="Y64" s="2"/>
      <c r="Z64" s="2"/>
      <c r="AA64" s="2"/>
      <c r="AB64" s="2"/>
      <c r="AC64" s="2"/>
      <c r="AD64" s="2"/>
      <c r="AE64" s="225"/>
      <c r="AF64" s="225"/>
    </row>
    <row r="65" spans="2:32" s="35" customFormat="1" ht="15.75" customHeight="1">
      <c r="B65" s="144" t="s">
        <v>248</v>
      </c>
      <c r="C65" s="38"/>
      <c r="D65" s="145"/>
      <c r="E65" s="2">
        <f t="shared" ref="E65:E69" ca="1" si="25">E64+1</f>
        <v>13</v>
      </c>
      <c r="F65" s="146" t="str">
        <f t="array" aca="1" ref="F65" ca="1">_xlfn.CHOOSEROWS(H$75:H$98,E65)&amp;" "&amp;_xlfn.CHOOSEROWS(I$75:I$98,E65)</f>
        <v>Januar 2026</v>
      </c>
      <c r="G65" s="41"/>
      <c r="H65" s="2"/>
      <c r="I65" s="147"/>
      <c r="J65" s="41"/>
      <c r="K65" s="2"/>
      <c r="L65" s="41"/>
      <c r="M65" s="2"/>
      <c r="N65" s="41"/>
      <c r="O65" s="2"/>
      <c r="P65" s="41"/>
      <c r="Q65" s="2"/>
      <c r="R65" s="41"/>
      <c r="S65" s="2"/>
      <c r="T65" s="41"/>
      <c r="U65" s="2"/>
      <c r="V65" s="41"/>
      <c r="W65" s="2"/>
      <c r="X65" s="2"/>
      <c r="Y65" s="2"/>
      <c r="Z65" s="2"/>
      <c r="AA65" s="2"/>
      <c r="AB65" s="2"/>
      <c r="AC65" s="2"/>
      <c r="AD65" s="2"/>
      <c r="AE65" s="225"/>
      <c r="AF65" s="225"/>
    </row>
    <row r="66" spans="2:32" s="35" customFormat="1" ht="15.75" customHeight="1">
      <c r="B66" s="2"/>
      <c r="C66" s="38"/>
      <c r="D66" s="145"/>
      <c r="E66" s="2">
        <f t="shared" ca="1" si="25"/>
        <v>14</v>
      </c>
      <c r="F66" s="146" t="str">
        <f t="array" aca="1" ref="F66" ca="1">_xlfn.CHOOSEROWS(H$75:H$98,E66)&amp;" "&amp;_xlfn.CHOOSEROWS(I$75:I$98,E66)</f>
        <v>Februar 2026</v>
      </c>
      <c r="G66" s="41"/>
      <c r="H66" s="2"/>
      <c r="I66" s="147"/>
      <c r="J66" s="41"/>
      <c r="K66" s="2"/>
      <c r="L66" s="41"/>
      <c r="M66" s="2"/>
      <c r="N66" s="41"/>
      <c r="O66" s="2"/>
      <c r="P66" s="41"/>
      <c r="Q66" s="2"/>
      <c r="R66" s="41"/>
      <c r="S66" s="2"/>
      <c r="T66" s="41"/>
      <c r="U66" s="2"/>
      <c r="V66" s="41"/>
      <c r="W66" s="2"/>
      <c r="X66" s="2"/>
      <c r="Y66" s="2"/>
      <c r="Z66" s="2"/>
      <c r="AA66" s="2"/>
      <c r="AB66" s="2"/>
      <c r="AC66" s="2"/>
      <c r="AD66" s="2"/>
      <c r="AE66" s="225"/>
      <c r="AF66" s="225"/>
    </row>
    <row r="67" spans="2:32" s="35" customFormat="1" ht="15.75" customHeight="1">
      <c r="B67" s="2"/>
      <c r="C67" s="38"/>
      <c r="D67" s="145"/>
      <c r="E67" s="2">
        <f t="shared" ca="1" si="25"/>
        <v>15</v>
      </c>
      <c r="F67" s="146" t="str">
        <f t="array" aca="1" ref="F67" ca="1">_xlfn.CHOOSEROWS(H$75:H$98,E67)&amp;" "&amp;_xlfn.CHOOSEROWS(I$75:I$98,E67)</f>
        <v>März 2026</v>
      </c>
      <c r="G67" s="41"/>
      <c r="H67" s="2"/>
      <c r="I67" s="147"/>
      <c r="J67" s="41"/>
      <c r="K67" s="2"/>
      <c r="L67" s="41"/>
      <c r="M67" s="2"/>
      <c r="N67" s="41"/>
      <c r="O67" s="2"/>
      <c r="P67" s="41"/>
      <c r="Q67" s="2"/>
      <c r="R67" s="41"/>
      <c r="S67" s="2"/>
      <c r="T67" s="41"/>
      <c r="U67" s="2"/>
      <c r="V67" s="41"/>
      <c r="W67" s="2"/>
      <c r="X67" s="2"/>
      <c r="Y67" s="2"/>
      <c r="Z67" s="2"/>
      <c r="AA67" s="2"/>
      <c r="AB67" s="2"/>
      <c r="AC67" s="2"/>
      <c r="AD67" s="2"/>
      <c r="AE67" s="225"/>
      <c r="AF67" s="225"/>
    </row>
    <row r="68" spans="2:32" s="35" customFormat="1" ht="15.75" customHeight="1">
      <c r="B68" s="2"/>
      <c r="C68" s="38"/>
      <c r="D68" s="145"/>
      <c r="E68" s="2">
        <f t="shared" ca="1" si="25"/>
        <v>16</v>
      </c>
      <c r="F68" s="146" t="str">
        <f t="array" aca="1" ref="F68" ca="1">_xlfn.CHOOSEROWS(H$75:H$98,E68)&amp;" "&amp;_xlfn.CHOOSEROWS(I$75:I$98,E68)</f>
        <v>April 2026</v>
      </c>
      <c r="G68" s="41"/>
      <c r="H68" s="2"/>
      <c r="I68" s="147"/>
      <c r="J68" s="41"/>
      <c r="K68" s="2"/>
      <c r="L68" s="41"/>
      <c r="M68" s="2"/>
      <c r="N68" s="41"/>
      <c r="O68" s="2"/>
      <c r="P68" s="41"/>
      <c r="Q68" s="2"/>
      <c r="R68" s="41"/>
      <c r="S68" s="2"/>
      <c r="T68" s="41"/>
      <c r="U68" s="2"/>
      <c r="V68" s="41"/>
      <c r="W68" s="2"/>
      <c r="X68" s="2"/>
      <c r="Y68" s="2"/>
      <c r="Z68" s="2"/>
      <c r="AA68" s="2"/>
      <c r="AB68" s="2"/>
      <c r="AC68" s="2"/>
      <c r="AD68" s="2"/>
      <c r="AE68" s="4"/>
      <c r="AF68" s="4"/>
    </row>
    <row r="69" spans="2:32" s="35" customFormat="1" ht="15.75" customHeight="1">
      <c r="D69" s="145"/>
      <c r="E69" s="2">
        <f t="shared" ca="1" si="25"/>
        <v>17</v>
      </c>
      <c r="F69" s="146" t="str">
        <f t="array" aca="1" ref="F69" ca="1">_xlfn.CHOOSEROWS(H$75:H$98,E69)&amp;" "&amp;_xlfn.CHOOSEROWS(I$75:I$98,E69)</f>
        <v>Mai 2026</v>
      </c>
      <c r="G69" s="41"/>
      <c r="H69" s="2"/>
      <c r="I69" s="147"/>
    </row>
    <row r="70" spans="2:32" ht="15" customHeight="1">
      <c r="E70" s="2"/>
      <c r="F70" s="41"/>
      <c r="H70" s="41"/>
    </row>
    <row r="71" spans="2:32" s="35" customFormat="1" ht="15.75" customHeight="1">
      <c r="D71" s="41"/>
      <c r="E71" s="2">
        <v>13</v>
      </c>
      <c r="F71" s="24">
        <f t="array" ref="F71">_xlfn.CHOOSEROWS(I75:I98,E71)</f>
        <v>2026</v>
      </c>
      <c r="G71" s="41"/>
      <c r="H71" s="2"/>
      <c r="I71" s="147"/>
    </row>
    <row r="72" spans="2:32" s="35" customFormat="1" ht="15.75" customHeight="1">
      <c r="D72" s="41"/>
      <c r="E72" s="2"/>
      <c r="F72" s="2"/>
      <c r="G72" s="41"/>
      <c r="H72" s="2"/>
      <c r="I72" s="147"/>
    </row>
    <row r="73" spans="2:32" s="35" customFormat="1" ht="15.75" customHeight="1">
      <c r="D73" s="41"/>
      <c r="E73" s="2"/>
      <c r="F73" s="2"/>
      <c r="G73" s="41"/>
      <c r="H73" s="2"/>
      <c r="I73" s="147"/>
    </row>
    <row r="74" spans="2:32" s="35" customFormat="1" ht="15.75" customHeight="1">
      <c r="D74" s="41"/>
      <c r="E74" s="2"/>
      <c r="F74" s="2" t="str">
        <f t="array" ref="F74">_xlfn.CHOOSEROWS(H74:H80,3)</f>
        <v>Februar</v>
      </c>
      <c r="G74" s="41"/>
      <c r="H74" s="2"/>
      <c r="I74" s="147"/>
    </row>
    <row r="75" spans="2:32" s="35" customFormat="1" ht="15.75" customHeight="1">
      <c r="D75" s="41"/>
      <c r="E75" s="2"/>
      <c r="F75" s="2"/>
      <c r="G75" s="41">
        <v>1</v>
      </c>
      <c r="H75" s="2" t="s">
        <v>249</v>
      </c>
      <c r="I75" s="147">
        <v>2025</v>
      </c>
    </row>
    <row r="76" spans="2:32" s="35" customFormat="1" ht="15.75" customHeight="1">
      <c r="D76" s="41"/>
      <c r="E76" s="2"/>
      <c r="F76" s="2"/>
      <c r="G76" s="41">
        <v>2</v>
      </c>
      <c r="H76" s="2" t="s">
        <v>250</v>
      </c>
      <c r="I76" s="147">
        <v>2025</v>
      </c>
    </row>
    <row r="77" spans="2:32" s="35" customFormat="1" ht="15.75" customHeight="1">
      <c r="D77" s="41"/>
      <c r="E77" s="2"/>
      <c r="F77" s="2"/>
      <c r="G77" s="41">
        <v>3</v>
      </c>
      <c r="H77" s="2" t="s">
        <v>251</v>
      </c>
      <c r="I77" s="147">
        <v>2025</v>
      </c>
    </row>
    <row r="78" spans="2:32" s="35" customFormat="1" ht="15.75" customHeight="1">
      <c r="D78" s="41"/>
      <c r="E78" s="2"/>
      <c r="F78" s="2"/>
      <c r="G78" s="41">
        <v>4</v>
      </c>
      <c r="H78" s="2" t="s">
        <v>252</v>
      </c>
      <c r="I78" s="147">
        <v>2025</v>
      </c>
    </row>
    <row r="79" spans="2:32" s="35" customFormat="1" ht="15.75" customHeight="1">
      <c r="D79" s="41"/>
      <c r="E79" s="2"/>
      <c r="F79" s="2"/>
      <c r="G79" s="41">
        <v>5</v>
      </c>
      <c r="H79" s="2" t="s">
        <v>253</v>
      </c>
      <c r="I79" s="147">
        <v>2025</v>
      </c>
    </row>
    <row r="80" spans="2:32" s="35" customFormat="1" ht="15.75" customHeight="1">
      <c r="D80" s="41"/>
      <c r="E80" s="2"/>
      <c r="F80" s="2"/>
      <c r="G80" s="41">
        <v>6</v>
      </c>
      <c r="H80" s="2" t="s">
        <v>254</v>
      </c>
      <c r="I80" s="147">
        <v>2025</v>
      </c>
    </row>
    <row r="81" spans="4:9" s="35" customFormat="1" ht="15.75" customHeight="1">
      <c r="D81" s="41"/>
      <c r="E81" s="2"/>
      <c r="F81" s="2"/>
      <c r="G81" s="41">
        <v>7</v>
      </c>
      <c r="H81" s="2" t="s">
        <v>255</v>
      </c>
      <c r="I81" s="147">
        <v>2025</v>
      </c>
    </row>
    <row r="82" spans="4:9" s="35" customFormat="1" ht="15.75" customHeight="1">
      <c r="D82" s="41"/>
      <c r="E82" s="2"/>
      <c r="F82" s="2"/>
      <c r="G82" s="41">
        <v>8</v>
      </c>
      <c r="H82" s="2" t="s">
        <v>256</v>
      </c>
      <c r="I82" s="147">
        <v>2025</v>
      </c>
    </row>
    <row r="83" spans="4:9" s="35" customFormat="1" ht="15.75" customHeight="1">
      <c r="D83" s="41"/>
      <c r="E83" s="2"/>
      <c r="F83" s="2"/>
      <c r="G83" s="41">
        <v>9</v>
      </c>
      <c r="H83" s="2" t="s">
        <v>257</v>
      </c>
      <c r="I83" s="147">
        <v>2025</v>
      </c>
    </row>
    <row r="84" spans="4:9" s="35" customFormat="1" ht="15.75" customHeight="1">
      <c r="D84" s="41"/>
      <c r="E84" s="2"/>
      <c r="F84" s="2"/>
      <c r="G84" s="41">
        <v>10</v>
      </c>
      <c r="H84" s="2" t="s">
        <v>258</v>
      </c>
      <c r="I84" s="147">
        <v>2025</v>
      </c>
    </row>
    <row r="85" spans="4:9" s="35" customFormat="1" ht="15.75" customHeight="1">
      <c r="F85" s="2"/>
      <c r="G85" s="41">
        <v>11</v>
      </c>
      <c r="H85" s="2" t="s">
        <v>259</v>
      </c>
      <c r="I85" s="147">
        <v>2025</v>
      </c>
    </row>
    <row r="86" spans="4:9" s="35" customFormat="1" ht="15.75" customHeight="1">
      <c r="F86" s="2"/>
      <c r="G86" s="41">
        <v>12</v>
      </c>
      <c r="H86" s="2" t="s">
        <v>260</v>
      </c>
      <c r="I86" s="147">
        <v>2025</v>
      </c>
    </row>
    <row r="87" spans="4:9" s="35" customFormat="1" ht="15.75" customHeight="1">
      <c r="F87" s="2"/>
      <c r="G87" s="41">
        <v>13</v>
      </c>
      <c r="H87" s="2" t="s">
        <v>249</v>
      </c>
      <c r="I87" s="147">
        <v>2026</v>
      </c>
    </row>
    <row r="88" spans="4:9" s="35" customFormat="1" ht="15.75" customHeight="1">
      <c r="F88" s="2"/>
      <c r="G88" s="41">
        <v>14</v>
      </c>
      <c r="H88" s="2" t="s">
        <v>250</v>
      </c>
      <c r="I88" s="147">
        <v>2026</v>
      </c>
    </row>
    <row r="89" spans="4:9" s="35" customFormat="1" ht="15.75" customHeight="1">
      <c r="F89" s="2"/>
      <c r="G89" s="41">
        <v>15</v>
      </c>
      <c r="H89" s="2" t="s">
        <v>251</v>
      </c>
      <c r="I89" s="147">
        <v>2026</v>
      </c>
    </row>
    <row r="90" spans="4:9" s="35" customFormat="1" ht="15.75" customHeight="1">
      <c r="F90" s="2"/>
      <c r="G90" s="41">
        <v>16</v>
      </c>
      <c r="H90" s="2" t="s">
        <v>252</v>
      </c>
      <c r="I90" s="147">
        <v>2026</v>
      </c>
    </row>
    <row r="91" spans="4:9" s="35" customFormat="1" ht="15.75" customHeight="1">
      <c r="F91" s="2"/>
      <c r="G91" s="41">
        <v>17</v>
      </c>
      <c r="H91" s="2" t="s">
        <v>253</v>
      </c>
      <c r="I91" s="147">
        <v>2026</v>
      </c>
    </row>
    <row r="92" spans="4:9" s="35" customFormat="1" ht="15.75" customHeight="1">
      <c r="F92" s="2"/>
      <c r="G92" s="41">
        <v>18</v>
      </c>
      <c r="H92" s="2" t="s">
        <v>254</v>
      </c>
      <c r="I92" s="147">
        <v>2026</v>
      </c>
    </row>
    <row r="93" spans="4:9" s="35" customFormat="1" ht="15.75" customHeight="1">
      <c r="F93" s="2"/>
      <c r="G93" s="41">
        <v>19</v>
      </c>
      <c r="H93" s="2" t="s">
        <v>255</v>
      </c>
      <c r="I93" s="147">
        <v>2026</v>
      </c>
    </row>
    <row r="94" spans="4:9" s="35" customFormat="1" ht="15.75" customHeight="1">
      <c r="F94" s="2"/>
      <c r="G94" s="41">
        <v>20</v>
      </c>
      <c r="H94" s="2" t="s">
        <v>256</v>
      </c>
      <c r="I94" s="147">
        <v>2026</v>
      </c>
    </row>
    <row r="95" spans="4:9" s="35" customFormat="1" ht="15.75" customHeight="1">
      <c r="F95" s="2"/>
      <c r="G95" s="41">
        <v>21</v>
      </c>
      <c r="H95" s="2" t="s">
        <v>257</v>
      </c>
      <c r="I95" s="147">
        <v>2026</v>
      </c>
    </row>
    <row r="96" spans="4:9" s="35" customFormat="1" ht="15.75" customHeight="1">
      <c r="F96" s="2"/>
      <c r="G96" s="41">
        <v>22</v>
      </c>
      <c r="H96" s="2" t="s">
        <v>258</v>
      </c>
      <c r="I96" s="147">
        <v>2026</v>
      </c>
    </row>
    <row r="97" spans="6:9" s="35" customFormat="1" ht="15.75" customHeight="1">
      <c r="F97" s="2"/>
      <c r="G97" s="41">
        <v>23</v>
      </c>
      <c r="H97" s="2" t="s">
        <v>259</v>
      </c>
      <c r="I97" s="147">
        <v>2026</v>
      </c>
    </row>
    <row r="98" spans="6:9" s="35" customFormat="1" ht="15.75" customHeight="1">
      <c r="F98" s="148"/>
      <c r="G98" s="436">
        <v>24</v>
      </c>
      <c r="H98" s="149" t="s">
        <v>260</v>
      </c>
      <c r="I98" s="147">
        <v>2026</v>
      </c>
    </row>
  </sheetData>
  <conditionalFormatting sqref="AI2:AI108 AK2:AK39 AM2:AM108 AO2:AO108 AQ2:AQ108 AS2:AS108 AU2:AU108 AW2:AW108 AY2:AY108 BA2:BA108 BC2:BC108 BE2:BE108 BG2:BG108 BI2:BI108">
    <cfRule type="colorScale" priority="13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conditionalFormatting sqref="AK40:AK108">
    <cfRule type="colorScale" priority="15">
      <colorScale>
        <cfvo type="num" val="0.1"/>
        <cfvo type="num" val="1"/>
        <cfvo type="num" val="3"/>
        <color rgb="FF92D050"/>
        <color rgb="FFFFEB84"/>
        <color rgb="FFFF0000"/>
      </colorScale>
    </cfRule>
  </conditionalFormatting>
  <hyperlinks>
    <hyperlink ref="G2" r:id="rId1" xr:uid="{00000000-0004-0000-4700-000000000000}"/>
    <hyperlink ref="G3" r:id="rId2" xr:uid="{00000000-0004-0000-4700-000001000000}"/>
    <hyperlink ref="K6" r:id="rId3" xr:uid="{00000000-0004-0000-4700-000002000000}"/>
    <hyperlink ref="G14" r:id="rId4" xr:uid="{00000000-0004-0000-4700-000003000000}"/>
    <hyperlink ref="I14" r:id="rId5" xr:uid="{00000000-0004-0000-4700-000004000000}"/>
    <hyperlink ref="G16" r:id="rId6" xr:uid="{00000000-0004-0000-4700-000005000000}"/>
    <hyperlink ref="I16" r:id="rId7" xr:uid="{00000000-0004-0000-4700-000006000000}"/>
    <hyperlink ref="G30" r:id="rId8" xr:uid="{00000000-0004-0000-4700-000007000000}"/>
    <hyperlink ref="I30" r:id="rId9" xr:uid="{00000000-0004-0000-4700-000008000000}"/>
    <hyperlink ref="G32" r:id="rId10" xr:uid="{00000000-0004-0000-4700-000009000000}"/>
    <hyperlink ref="I32" r:id="rId11" xr:uid="{00000000-0004-0000-4700-00000A000000}"/>
    <hyperlink ref="G34" r:id="rId12" xr:uid="{00000000-0004-0000-4700-00000B000000}"/>
    <hyperlink ref="I34" r:id="rId13" xr:uid="{00000000-0004-0000-4700-00000C000000}"/>
    <hyperlink ref="G37" r:id="rId14" xr:uid="{00000000-0004-0000-4700-00000D000000}"/>
    <hyperlink ref="I37" r:id="rId15" xr:uid="{00000000-0004-0000-4700-00000E000000}"/>
    <hyperlink ref="G47" r:id="rId16" xr:uid="{00000000-0004-0000-4700-00000F000000}"/>
    <hyperlink ref="I47" r:id="rId17" xr:uid="{00000000-0004-0000-4700-000010000000}"/>
  </hyperlinks>
  <pageMargins left="0.7" right="0.7" top="0.75" bottom="0.75" header="0.3" footer="0.3"/>
  <pageSetup paperSize="9" orientation="portrait" useFirstPageNumber="1" horizontalDpi="4294967295" verticalDpi="429496729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0" tint="-0.249977111117893"/>
  </sheetPr>
  <dimension ref="A1:BG70"/>
  <sheetViews>
    <sheetView zoomScale="85" zoomScaleNormal="85" workbookViewId="0">
      <pane xSplit="2" ySplit="1" topLeftCell="C14" activePane="bottomRight" state="frozen"/>
      <selection activeCell="B23" sqref="B23"/>
      <selection pane="topRight" activeCell="B23" sqref="B23"/>
      <selection pane="bottomLeft" activeCell="B23" sqref="B23"/>
      <selection pane="bottomRight" activeCell="A26" sqref="A26:XFD26"/>
    </sheetView>
  </sheetViews>
  <sheetFormatPr defaultColWidth="9.140625" defaultRowHeight="15.75" customHeight="1"/>
  <cols>
    <col min="1" max="1" width="9.140625" style="1" customWidth="1"/>
    <col min="2" max="2" width="41.42578125" style="2" customWidth="1"/>
    <col min="3" max="3" width="209.7109375" style="38" customWidth="1"/>
    <col min="4" max="4" width="5.42578125" style="2" customWidth="1"/>
    <col min="5" max="5" width="9.7109375" style="2" customWidth="1"/>
    <col min="6" max="6" width="30" style="41" customWidth="1"/>
    <col min="7" max="7" width="32.28515625" style="2" customWidth="1"/>
    <col min="8" max="8" width="22" style="41" customWidth="1"/>
    <col min="9" max="9" width="36.28515625" style="2" customWidth="1"/>
    <col min="10" max="10" width="10.5703125" style="41" customWidth="1"/>
    <col min="11" max="11" width="23.5703125" style="2" customWidth="1"/>
    <col min="12" max="12" width="9.28515625" style="41" customWidth="1"/>
    <col min="13" max="13" width="24.42578125" style="2" customWidth="1"/>
    <col min="14" max="14" width="9.140625" style="41" customWidth="1"/>
    <col min="15" max="15" width="36.85546875" style="2" customWidth="1"/>
    <col min="16" max="16" width="9.140625" style="41" customWidth="1"/>
    <col min="17" max="17" width="16.140625" style="2" customWidth="1"/>
    <col min="18" max="18" width="9.140625" style="41" customWidth="1"/>
    <col min="19" max="19" width="9.140625" style="2" customWidth="1"/>
    <col min="20" max="20" width="9.140625" style="41" customWidth="1"/>
    <col min="21" max="21" width="9.140625" style="2" customWidth="1"/>
    <col min="22" max="22" width="9.140625" style="41" customWidth="1"/>
    <col min="23" max="24" width="9.140625" style="2" customWidth="1"/>
    <col min="25" max="25" width="14.42578125" style="2" customWidth="1"/>
    <col min="26" max="28" width="9.140625" style="2" customWidth="1"/>
    <col min="29" max="29" width="13" style="2" customWidth="1"/>
    <col min="30" max="30" width="9.140625" style="2" customWidth="1"/>
    <col min="31" max="31" width="13" style="2" customWidth="1"/>
    <col min="32" max="32" width="9.140625" style="2" customWidth="1"/>
    <col min="33" max="16384" width="9.140625" style="2"/>
  </cols>
  <sheetData>
    <row r="1" spans="1:59" ht="15.75" customHeight="1">
      <c r="A1" s="5" t="s">
        <v>0</v>
      </c>
      <c r="B1" s="37" t="s">
        <v>60</v>
      </c>
      <c r="C1" s="38" t="s">
        <v>61</v>
      </c>
      <c r="D1" s="39" t="s">
        <v>3</v>
      </c>
      <c r="E1" s="40" t="s">
        <v>735</v>
      </c>
      <c r="G1" s="2558">
        <f>14*60*1000*SpeedFaktor</f>
        <v>840000</v>
      </c>
      <c r="H1" s="41">
        <v>10</v>
      </c>
      <c r="AH1" s="2" t="s">
        <v>5</v>
      </c>
      <c r="BG1" s="7" t="s">
        <v>5</v>
      </c>
    </row>
    <row r="2" spans="1:59" s="185" customFormat="1" ht="15.75" customHeight="1">
      <c r="A2" s="21">
        <v>1</v>
      </c>
      <c r="B2" s="13" t="s">
        <v>21</v>
      </c>
      <c r="C2" s="44" t="str">
        <f>B60</f>
        <v>{"url":"https://dev.aventis.swiss"}</v>
      </c>
      <c r="E2" s="45" t="str">
        <f t="shared" ref="E2:E7" si="0">F2&amp;G2&amp;H2&amp;I2&amp;J2&amp;K2&amp;L2&amp;M2&amp;N2&amp;O2&amp;P2&amp;Q2&amp;R2&amp;S2&amp;T2&amp;U2&amp;V2&amp;W2&amp;X2</f>
        <v>{"url":"https://dev.aventis.swiss"}</v>
      </c>
      <c r="F2" s="46" t="s">
        <v>67</v>
      </c>
      <c r="G2" s="47" t="s">
        <v>68</v>
      </c>
      <c r="H2" s="46" t="s">
        <v>37</v>
      </c>
      <c r="J2" s="46"/>
      <c r="L2" s="46"/>
      <c r="N2" s="46"/>
      <c r="P2" s="46"/>
      <c r="R2" s="46"/>
      <c r="T2" s="46"/>
      <c r="V2" s="46"/>
    </row>
    <row r="3" spans="1:59" s="185" customFormat="1" ht="15.75" customHeight="1">
      <c r="A3" s="21">
        <v>2</v>
      </c>
      <c r="B3" s="24" t="s">
        <v>25</v>
      </c>
      <c r="C3" s="437" t="str">
        <f>E3</f>
        <v>{"username":"bern.sozialarbeiterin1a@diartis.ch","password":"SMze97-jkSJ59!F.","fullname":"Sozialarbeiterin 1A Bern","team":"Sozialarbeit Bern 1"}</v>
      </c>
      <c r="D3" s="13" t="s">
        <v>28</v>
      </c>
      <c r="E3" s="45" t="str">
        <f t="shared" si="0"/>
        <v>{"username":"bern.sozialarbeiterin1a@diartis.ch","password":"SMze97-jkSJ59!F.","fullname":"Sozialarbeiterin 1A Bern","team":"Sozialarbeit Bern 1"}</v>
      </c>
      <c r="F3" s="46" t="s">
        <v>29</v>
      </c>
      <c r="G3" s="13" t="s">
        <v>71</v>
      </c>
      <c r="H3" s="46" t="s">
        <v>31</v>
      </c>
      <c r="I3" s="13" t="s">
        <v>72</v>
      </c>
      <c r="J3" s="46" t="s">
        <v>73</v>
      </c>
      <c r="K3" s="13" t="s">
        <v>74</v>
      </c>
      <c r="L3" s="46" t="s">
        <v>75</v>
      </c>
      <c r="M3" s="13" t="s">
        <v>76</v>
      </c>
      <c r="N3" s="46" t="s">
        <v>37</v>
      </c>
      <c r="P3" s="46"/>
      <c r="R3" s="46"/>
      <c r="T3" s="46"/>
      <c r="V3" s="46"/>
    </row>
    <row r="4" spans="1:59" s="185" customFormat="1" ht="15.75" customHeight="1">
      <c r="A4" s="21">
        <v>3</v>
      </c>
      <c r="B4" s="13" t="s">
        <v>77</v>
      </c>
      <c r="C4" s="19" t="str">
        <f>E4</f>
        <v>{"name":p.FamilyName1,"vorname":p.ManFirstName1,"ahvNumber":"","geburtsdatum":""}</v>
      </c>
      <c r="D4" s="13" t="s">
        <v>28</v>
      </c>
      <c r="E4" s="45" t="str">
        <f t="shared" si="0"/>
        <v>{"name":p.FamilyName1,"vorname":p.ManFirstName1,"ahvNumber":"","geburtsdatum":""}</v>
      </c>
      <c r="F4" s="61" t="s">
        <v>78</v>
      </c>
      <c r="G4" s="13" t="str">
        <f>G64</f>
        <v>p.FamilyName1</v>
      </c>
      <c r="H4" s="46" t="s">
        <v>79</v>
      </c>
      <c r="I4" s="13" t="str">
        <f>H63</f>
        <v>p.ManFirstName1</v>
      </c>
      <c r="J4" s="46" t="s">
        <v>80</v>
      </c>
      <c r="L4" s="46" t="s">
        <v>81</v>
      </c>
      <c r="M4" s="63"/>
      <c r="N4" s="46" t="s">
        <v>37</v>
      </c>
      <c r="P4" s="46"/>
      <c r="R4" s="46"/>
      <c r="T4" s="46"/>
      <c r="V4" s="46"/>
      <c r="Y4" s="13" t="s">
        <v>1144</v>
      </c>
      <c r="Z4" s="13" t="s">
        <v>1145</v>
      </c>
      <c r="AA4" s="13" t="s">
        <v>1146</v>
      </c>
      <c r="AB4" s="13" t="s">
        <v>1147</v>
      </c>
      <c r="AC4" s="13" t="s">
        <v>1148</v>
      </c>
    </row>
    <row r="5" spans="1:59" s="185" customFormat="1" ht="15.75" customHeight="1">
      <c r="A5" s="21">
        <v>4</v>
      </c>
      <c r="B5" s="11" t="s">
        <v>82</v>
      </c>
      <c r="C5" s="38" t="str">
        <f>E5</f>
        <v>{"name":p.FamilyName1,"vorname":p.ManFirstName1,"ahvNumber":p.AHVNumber1,"language":"Deutsch","zivilstand":"ledig","geburtsdatum":p.BirthdayAdult1,"national":"Schweiz","gender":"männlich","aufenthalt":""}</v>
      </c>
      <c r="D5" s="13" t="s">
        <v>28</v>
      </c>
      <c r="E5" s="45" t="str">
        <f t="shared" si="0"/>
        <v>{"name":p.FamilyName1,"vorname":p.ManFirstName1,"ahvNumber":p.AHVNumber1,"language":"Deutsch","zivilstand":"ledig","geburtsdatum":p.BirthdayAdult1,"national":"Schweiz","gender":"männlich","aufenthalt":""}</v>
      </c>
      <c r="F5" s="61" t="s">
        <v>78</v>
      </c>
      <c r="G5" s="13" t="str">
        <f>G4</f>
        <v>p.FamilyName1</v>
      </c>
      <c r="H5" s="46" t="s">
        <v>79</v>
      </c>
      <c r="I5" s="13" t="str">
        <f>I4</f>
        <v>p.ManFirstName1</v>
      </c>
      <c r="J5" s="46" t="s">
        <v>83</v>
      </c>
      <c r="K5" s="13" t="str">
        <f>I63</f>
        <v>p.AHVNumber1</v>
      </c>
      <c r="L5" s="46" t="s">
        <v>84</v>
      </c>
      <c r="M5" s="63" t="s">
        <v>85</v>
      </c>
      <c r="N5" s="46" t="s">
        <v>86</v>
      </c>
      <c r="O5" s="13" t="s">
        <v>87</v>
      </c>
      <c r="P5" s="46" t="s">
        <v>88</v>
      </c>
      <c r="Q5" s="65" t="str">
        <f>J63</f>
        <v>p.BirthdayAdult1</v>
      </c>
      <c r="R5" s="46" t="s">
        <v>89</v>
      </c>
      <c r="S5" s="13" t="s">
        <v>90</v>
      </c>
      <c r="T5" s="46" t="s">
        <v>91</v>
      </c>
      <c r="U5" s="13" t="s">
        <v>92</v>
      </c>
      <c r="V5" s="46" t="s">
        <v>93</v>
      </c>
      <c r="X5" s="13" t="s">
        <v>37</v>
      </c>
      <c r="Y5" s="13" t="str">
        <f ca="1">"756"&amp;RIGHT(AC5,9)&amp;Z5</f>
        <v>7564433967642</v>
      </c>
      <c r="Z5" s="182">
        <f ca="1">ROUNDUP(SUM(LEFT($AC5,1)*1+RIGHT(LEFT($AC5,12),1)*3+RIGHT(LEFT($AC5,11),1)*1+RIGHT(LEFT($AC5,10),1)*3+RIGHT(LEFT($AC5,9),1)*1+RIGHT(LEFT($AC5,8),1)*3+RIGHT(LEFT($AC5,7),1)*1+RIGHT(LEFT($AC5,6),1)*3+RIGHT(LEFT($AC5,5),1)*1+RIGHT(LEFT($AC5,4),1)*3+RIGHT(LEFT($AC5,3),1)*1+RIGHT(LEFT($AC5,2),1)*3)/10,0)*10 - SUM(LEFT($AC5,1)*1+RIGHT(LEFT($AC5,12),1)*3+RIGHT(LEFT($AC5,11),1)*1+RIGHT(LEFT($AC5,10),1)*3+RIGHT(LEFT($AC5,9),1)*1+RIGHT(LEFT($AC5,8),1)*3+RIGHT(LEFT($AC5,7),1)*1+RIGHT(LEFT($AC5,6),1)*3+RIGHT(LEFT($AC5,5),1)*1+RIGHT(LEFT($AC5,4),1)*3+RIGHT(LEFT($AC5,3),1)*1+RIGHT(LEFT($AC5,2),1)*3)</f>
        <v>2</v>
      </c>
      <c r="AA5" s="13" t="s">
        <v>90</v>
      </c>
      <c r="AB5" s="13" t="s">
        <v>1149</v>
      </c>
      <c r="AC5" s="66">
        <f ca="1">AE5+AF5</f>
        <v>756443396764</v>
      </c>
      <c r="AE5" s="66">
        <v>756443000000</v>
      </c>
      <c r="AF5" s="66">
        <f ca="1">RANDBETWEEN(0,999999)</f>
        <v>396764</v>
      </c>
    </row>
    <row r="6" spans="1:59" s="185" customFormat="1" ht="15.75" customHeight="1">
      <c r="A6" s="21">
        <v>5</v>
      </c>
      <c r="B6" s="13" t="s">
        <v>94</v>
      </c>
      <c r="C6" s="38" t="str">
        <f ca="1">E6</f>
        <v>{"mobile":"079 5541127","privateNumber":"079 5514653","email":"9142abc@gmail.com"}</v>
      </c>
      <c r="D6" s="13" t="s">
        <v>28</v>
      </c>
      <c r="E6" s="45" t="str">
        <f t="shared" ca="1" si="0"/>
        <v>{"mobile":"079 5541127","privateNumber":"079 5514653","email":"9142abc@gmail.com"}</v>
      </c>
      <c r="F6" s="61" t="s">
        <v>95</v>
      </c>
      <c r="G6" s="13" t="str">
        <f ca="1">"079 "&amp;RANDBETWEEN(5234500,5699999)</f>
        <v>079 5541127</v>
      </c>
      <c r="H6" s="46" t="s">
        <v>96</v>
      </c>
      <c r="I6" s="13" t="str">
        <f ca="1">"079 "&amp;RANDBETWEEN(5234500,5699999)</f>
        <v>079 5514653</v>
      </c>
      <c r="J6" s="46" t="s">
        <v>97</v>
      </c>
      <c r="K6" s="47" t="s">
        <v>1150</v>
      </c>
      <c r="L6" s="46" t="s">
        <v>37</v>
      </c>
      <c r="N6" s="46"/>
      <c r="P6" s="46"/>
      <c r="R6" s="46"/>
      <c r="T6" s="46"/>
      <c r="V6" s="46"/>
      <c r="AB6" s="13">
        <v>756</v>
      </c>
      <c r="AC6" s="66" t="s">
        <v>1151</v>
      </c>
    </row>
    <row r="7" spans="1:59" s="185" customFormat="1" ht="15.75" customHeight="1">
      <c r="A7" s="21">
        <v>6</v>
      </c>
      <c r="B7" s="13" t="s">
        <v>99</v>
      </c>
      <c r="C7" s="38" t="str">
        <f ca="1">E7</f>
        <v>{"zusatz":"","strasse":"Strasse_767","houseNumber":"50","ort":"3053 Münchenbuchsee","validDate":"17.7.2021"}</v>
      </c>
      <c r="D7" s="13" t="s">
        <v>28</v>
      </c>
      <c r="E7" s="45" t="str">
        <f t="shared" ca="1" si="0"/>
        <v>{"zusatz":"","strasse":"Strasse_767","houseNumber":"50","ort":"3053 Münchenbuchsee","validDate":"17.7.2021"}</v>
      </c>
      <c r="F7" s="46" t="s">
        <v>100</v>
      </c>
      <c r="H7" s="46" t="s">
        <v>101</v>
      </c>
      <c r="I7" s="13" t="str">
        <f ca="1">"Strasse_"&amp;RANDBETWEEN(1,1000)</f>
        <v>Strasse_767</v>
      </c>
      <c r="J7" s="46" t="s">
        <v>102</v>
      </c>
      <c r="K7" s="13">
        <f ca="1">RANDBETWEEN(1,100)</f>
        <v>50</v>
      </c>
      <c r="L7" s="46" t="s">
        <v>103</v>
      </c>
      <c r="M7" s="13" t="s">
        <v>104</v>
      </c>
      <c r="N7" s="46" t="s">
        <v>105</v>
      </c>
      <c r="O7" s="65" t="str">
        <f ca="1">TEXT(RANDBETWEEN(1,28)&amp;"."&amp;RANDBETWEEN(1,12)&amp;"."&amp;TEXT(TODAY()-4*365,"YYYY"),"DD.MM.YYYY")</f>
        <v>17.7.2021</v>
      </c>
      <c r="P7" s="46" t="s">
        <v>37</v>
      </c>
      <c r="R7" s="46"/>
      <c r="T7" s="46"/>
      <c r="V7" s="46"/>
    </row>
    <row r="8" spans="1:59" s="185" customFormat="1" ht="15.75" customHeight="1">
      <c r="A8" s="21">
        <v>7</v>
      </c>
      <c r="B8" s="13" t="s">
        <v>106</v>
      </c>
      <c r="C8" s="38" t="s">
        <v>326</v>
      </c>
      <c r="D8" s="13" t="s">
        <v>28</v>
      </c>
      <c r="E8" s="45"/>
      <c r="F8" s="46"/>
      <c r="H8" s="46"/>
      <c r="J8" s="46"/>
      <c r="L8" s="46"/>
      <c r="N8" s="46"/>
      <c r="P8" s="46"/>
      <c r="R8" s="46"/>
      <c r="T8" s="46"/>
      <c r="V8" s="46"/>
    </row>
    <row r="9" spans="1:59" s="185" customFormat="1" ht="15.75" customHeight="1">
      <c r="A9" s="21">
        <v>8</v>
      </c>
      <c r="B9" s="13" t="s">
        <v>110</v>
      </c>
      <c r="C9" s="38"/>
      <c r="D9" s="13" t="s">
        <v>28</v>
      </c>
      <c r="E9" s="45"/>
      <c r="F9" s="46"/>
      <c r="H9" s="46"/>
      <c r="J9" s="46"/>
      <c r="L9" s="46"/>
      <c r="N9" s="46"/>
      <c r="P9" s="46"/>
      <c r="R9" s="46"/>
      <c r="T9" s="46"/>
      <c r="V9" s="46"/>
    </row>
    <row r="10" spans="1:59" s="185" customFormat="1" ht="15.75" customHeight="1">
      <c r="A10" s="21">
        <v>9</v>
      </c>
      <c r="B10" s="13" t="s">
        <v>111</v>
      </c>
      <c r="C10" s="38" t="str">
        <f>E10</f>
        <v>{"zust_Gemeinde":"Münchenbuchsee","zust_SozTeam":"Sozialarbeit Bern 1","zust_SozMitarbeiter":"Bern Sozialarbeiterin 1A","zust_SachbTeam":"Sachbearbeitung Bern","zust_SachbMitarbeiter":"Bern Sachbearbeiterin"}</v>
      </c>
      <c r="D10" s="13" t="s">
        <v>28</v>
      </c>
      <c r="E10" s="13" t="str">
        <f t="shared" ref="E10:E25" si="1">F10&amp;G10&amp;H10&amp;I10&amp;J10&amp;K10&amp;L10&amp;M10&amp;N10&amp;O10&amp;P10&amp;Q10&amp;R10&amp;S10&amp;T10&amp;U10&amp;V10&amp;W10&amp;X10</f>
        <v>{"zust_Gemeinde":"Münchenbuchsee","zust_SozTeam":"Sozialarbeit Bern 1","zust_SozMitarbeiter":"Bern Sozialarbeiterin 1A","zust_SachbTeam":"Sachbearbeitung Bern","zust_SachbMitarbeiter":"Bern Sachbearbeiterin"}</v>
      </c>
      <c r="F10" s="46" t="s">
        <v>112</v>
      </c>
      <c r="G10" s="13" t="s">
        <v>113</v>
      </c>
      <c r="H10" s="46" t="s">
        <v>114</v>
      </c>
      <c r="I10" s="13" t="s">
        <v>76</v>
      </c>
      <c r="J10" s="46" t="s">
        <v>115</v>
      </c>
      <c r="K10" s="13" t="s">
        <v>116</v>
      </c>
      <c r="L10" s="46" t="s">
        <v>117</v>
      </c>
      <c r="M10" s="13" t="s">
        <v>118</v>
      </c>
      <c r="N10" s="46" t="s">
        <v>119</v>
      </c>
      <c r="O10" s="13" t="s">
        <v>120</v>
      </c>
      <c r="P10" s="46" t="s">
        <v>37</v>
      </c>
      <c r="R10" s="46"/>
      <c r="T10" s="46"/>
      <c r="V10" s="46"/>
    </row>
    <row r="11" spans="1:59" s="185" customFormat="1" ht="15.75" customHeight="1">
      <c r="A11" s="21">
        <v>10</v>
      </c>
      <c r="B11" s="11" t="s">
        <v>122</v>
      </c>
      <c r="C11" s="38" t="str">
        <f ca="1">E11</f>
        <v>{"dossierBezeichnung":p.DossierName1,"eroeffnetAm":"04.11.2025","dossierSprache":"Deutsch"}</v>
      </c>
      <c r="D11" s="13" t="s">
        <v>28</v>
      </c>
      <c r="E11" s="45" t="str">
        <f t="shared" ca="1" si="1"/>
        <v>{"dossierBezeichnung":p.DossierName1,"eroeffnetAm":"04.11.2025","dossierSprache":"Deutsch"}</v>
      </c>
      <c r="F11" s="46" t="s">
        <v>123</v>
      </c>
      <c r="G11" s="13" t="str">
        <f>G63</f>
        <v>p.DossierName1</v>
      </c>
      <c r="H11" s="46" t="s">
        <v>124</v>
      </c>
      <c r="I11" s="65" t="str">
        <f ca="1">TEXT(TEXT(TODAY(),"DD")&amp;"."&amp;TEXT(TODAY(),"MM")&amp;"."&amp;TEXT(TODAY(),"YYYY"),"DD.MM.YYYY")</f>
        <v>04.11.2025</v>
      </c>
      <c r="J11" s="46" t="s">
        <v>125</v>
      </c>
      <c r="K11" s="13" t="s">
        <v>85</v>
      </c>
      <c r="L11" s="46" t="s">
        <v>37</v>
      </c>
      <c r="N11" s="46"/>
      <c r="P11" s="46"/>
      <c r="R11" s="46"/>
      <c r="T11" s="46"/>
      <c r="V11" s="46"/>
    </row>
    <row r="12" spans="1:59" s="438" customFormat="1" ht="15.75" customHeight="1">
      <c r="A12" s="21">
        <v>11</v>
      </c>
      <c r="B12" s="24" t="s">
        <v>134</v>
      </c>
      <c r="C12" s="437" t="str">
        <f>E12</f>
        <v>{"username":"Bern.Sachbearbeiterin@diartis.ch","password":"XXxa22?pdTA66-S@"}</v>
      </c>
      <c r="D12" s="82" t="s">
        <v>28</v>
      </c>
      <c r="E12" s="83" t="str">
        <f t="shared" si="1"/>
        <v>{"username":"Bern.Sachbearbeiterin@diartis.ch","password":"XXxa22?pdTA66-S@"}</v>
      </c>
      <c r="F12" s="84" t="s">
        <v>29</v>
      </c>
      <c r="G12" s="85" t="s">
        <v>30</v>
      </c>
      <c r="H12" s="84" t="s">
        <v>31</v>
      </c>
      <c r="I12" s="86" t="s">
        <v>32</v>
      </c>
      <c r="J12" s="84" t="s">
        <v>37</v>
      </c>
      <c r="K12" s="87"/>
      <c r="L12" s="84"/>
      <c r="N12" s="84"/>
      <c r="P12" s="84"/>
      <c r="R12" s="84"/>
      <c r="T12" s="84"/>
      <c r="V12" s="84"/>
    </row>
    <row r="13" spans="1:59" s="67" customFormat="1" ht="15.75" customHeight="1">
      <c r="A13" s="21">
        <v>12</v>
      </c>
      <c r="B13" s="54" t="s">
        <v>139</v>
      </c>
      <c r="C13" s="89" t="str">
        <f>E13</f>
        <v>{"searchDossierOrKlient":p.DossierName1,"resultType":"Dossiers"}</v>
      </c>
      <c r="D13" s="90" t="s">
        <v>28</v>
      </c>
      <c r="E13" s="91" t="str">
        <f t="shared" si="1"/>
        <v>{"searchDossierOrKlient":p.DossierName1,"resultType":"Dossiers"}</v>
      </c>
      <c r="F13" s="92" t="s">
        <v>140</v>
      </c>
      <c r="G13" s="133" t="str">
        <f>'00x'!$G$11</f>
        <v>p.DossierName1</v>
      </c>
      <c r="H13" s="92" t="s">
        <v>141</v>
      </c>
      <c r="I13" s="90" t="s">
        <v>142</v>
      </c>
      <c r="J13" s="92" t="s">
        <v>37</v>
      </c>
      <c r="L13" s="92"/>
      <c r="N13" s="92"/>
      <c r="P13" s="92"/>
      <c r="R13" s="92"/>
      <c r="T13" s="92"/>
      <c r="V13" s="92"/>
    </row>
    <row r="14" spans="1:59" s="439" customFormat="1" ht="15.75" customHeight="1">
      <c r="A14" s="21">
        <v>13</v>
      </c>
      <c r="B14" s="75" t="s">
        <v>127</v>
      </c>
      <c r="C14" s="38" t="str">
        <f>E14</f>
        <v>{"dossierInstitution":p.DossierName1,"klientschaft":`${p.FamilyName1}, ${p.ManFirstName1}`,"buttonBewilligung":"Anfragen","checkStatus":"In Bearbeitung"}</v>
      </c>
      <c r="D14" s="76" t="s">
        <v>28</v>
      </c>
      <c r="E14" s="77" t="str">
        <f t="shared" si="1"/>
        <v>{"dossierInstitution":p.DossierName1,"klientschaft":`${p.FamilyName1}, ${p.ManFirstName1}`,"buttonBewilligung":"Anfragen","checkStatus":"In Bearbeitung"}</v>
      </c>
      <c r="F14" s="78" t="s">
        <v>128</v>
      </c>
      <c r="G14" s="80" t="str">
        <f>'00x'!$G$11</f>
        <v>p.DossierName1</v>
      </c>
      <c r="H14" s="78" t="s">
        <v>129</v>
      </c>
      <c r="I14" s="76" t="str">
        <f>"${"&amp;$G$4&amp;"}, ${"&amp;$I$4&amp;"}"</f>
        <v>${p.FamilyName1}, ${p.ManFirstName1}</v>
      </c>
      <c r="J14" s="78" t="s">
        <v>130</v>
      </c>
      <c r="K14" s="80" t="s">
        <v>131</v>
      </c>
      <c r="L14" s="78" t="s">
        <v>132</v>
      </c>
      <c r="M14" s="78" t="s">
        <v>133</v>
      </c>
      <c r="N14" s="78" t="s">
        <v>37</v>
      </c>
      <c r="P14" s="78"/>
      <c r="R14" s="78"/>
      <c r="T14" s="78"/>
      <c r="V14" s="78"/>
    </row>
    <row r="15" spans="1:59" s="10" customFormat="1" ht="15.75" customHeight="1">
      <c r="A15" s="21">
        <v>14</v>
      </c>
      <c r="B15" s="440" t="s">
        <v>134</v>
      </c>
      <c r="C15" s="441" t="s">
        <v>138</v>
      </c>
      <c r="D15" s="10" t="s">
        <v>28</v>
      </c>
      <c r="E15" s="12" t="s">
        <v>1152</v>
      </c>
      <c r="F15" s="442" t="s">
        <v>29</v>
      </c>
      <c r="G15" s="10" t="s">
        <v>30</v>
      </c>
      <c r="H15" s="442" t="s">
        <v>31</v>
      </c>
      <c r="I15" s="10" t="s">
        <v>32</v>
      </c>
      <c r="J15" s="442" t="s">
        <v>37</v>
      </c>
      <c r="L15" s="442"/>
      <c r="N15" s="442"/>
      <c r="P15" s="442"/>
      <c r="R15" s="442"/>
      <c r="T15" s="442"/>
      <c r="V15" s="442"/>
    </row>
    <row r="16" spans="1:59" s="439" customFormat="1" ht="15.75" customHeight="1">
      <c r="A16" s="21">
        <v>15</v>
      </c>
      <c r="B16" s="75" t="s">
        <v>127</v>
      </c>
      <c r="C16" s="38" t="str">
        <f t="shared" ref="C16:C25" si="2">E16</f>
        <v>{"dossierInstitution":p.DossierName1,"klientschaft":`${p.FamilyName1}, ${p.ManFirstName1}`,"buttonBewilligung":"Bewilligen","checkStatus":"Bewilligt"}</v>
      </c>
      <c r="D16" s="76" t="s">
        <v>28</v>
      </c>
      <c r="E16" s="77" t="str">
        <f t="shared" si="1"/>
        <v>{"dossierInstitution":p.DossierName1,"klientschaft":`${p.FamilyName1}, ${p.ManFirstName1}`,"buttonBewilligung":"Bewilligen","checkStatus":"Bewilligt"}</v>
      </c>
      <c r="F16" s="78" t="s">
        <v>128</v>
      </c>
      <c r="G16" s="80" t="str">
        <f>'00x'!$G$11</f>
        <v>p.DossierName1</v>
      </c>
      <c r="H16" s="78" t="s">
        <v>129</v>
      </c>
      <c r="I16" s="76" t="str">
        <f>I14</f>
        <v>${p.FamilyName1}, ${p.ManFirstName1}</v>
      </c>
      <c r="J16" s="78" t="s">
        <v>130</v>
      </c>
      <c r="K16" s="80" t="s">
        <v>136</v>
      </c>
      <c r="L16" s="78" t="s">
        <v>132</v>
      </c>
      <c r="M16" s="78" t="s">
        <v>137</v>
      </c>
      <c r="N16" s="78" t="s">
        <v>37</v>
      </c>
      <c r="P16" s="78"/>
      <c r="R16" s="78"/>
      <c r="T16" s="78"/>
      <c r="V16" s="78"/>
    </row>
    <row r="17" spans="1:32" s="185" customFormat="1" ht="15.75" customHeight="1">
      <c r="A17" s="21">
        <v>16</v>
      </c>
      <c r="B17" s="443" t="s">
        <v>143</v>
      </c>
      <c r="C17" s="38" t="str">
        <f t="shared" si="2"/>
        <v>{"vermieter":"Graber Immobilien, 3000 Bern","wohnungsgrosse":"4 Zimmer","mietkosten":1200,"nebenkosten":100}</v>
      </c>
      <c r="D17" s="13" t="s">
        <v>28</v>
      </c>
      <c r="E17" s="45" t="str">
        <f t="shared" si="1"/>
        <v>{"vermieter":"Graber Immobilien, 3000 Bern","wohnungsgrosse":"4 Zimmer","mietkosten":1200,"nebenkosten":100}</v>
      </c>
      <c r="F17" s="46" t="s">
        <v>144</v>
      </c>
      <c r="G17" s="93" t="s">
        <v>267</v>
      </c>
      <c r="H17" s="46" t="s">
        <v>146</v>
      </c>
      <c r="I17" s="13" t="s">
        <v>147</v>
      </c>
      <c r="J17" s="46" t="s">
        <v>148</v>
      </c>
      <c r="K17" s="13">
        <v>1200</v>
      </c>
      <c r="L17" s="46" t="s">
        <v>149</v>
      </c>
      <c r="M17" s="13">
        <v>100</v>
      </c>
      <c r="N17" s="46" t="s">
        <v>109</v>
      </c>
      <c r="P17" s="46"/>
      <c r="R17" s="46"/>
      <c r="T17" s="46"/>
      <c r="V17" s="46"/>
    </row>
    <row r="18" spans="1:32" s="185" customFormat="1" ht="15.75" customHeight="1">
      <c r="A18" s="21">
        <v>17</v>
      </c>
      <c r="B18" s="94" t="s">
        <v>150</v>
      </c>
      <c r="C18" s="38" t="str">
        <f t="shared" ca="1" si="2"/>
        <v>{"name":p.FamilyName1,"vorname":p.WomanFirstName1,"geburtsdatum":p.BirthdayAdult2,"ahvNumber":p.AHVNumber2,"personInhausltVon":"01.11.2024","inHauslt":"Übernehmen","ereignis":"Eheschliessung"}</v>
      </c>
      <c r="D18" s="13" t="s">
        <v>28</v>
      </c>
      <c r="E18" s="45" t="str">
        <f t="shared" ca="1" si="1"/>
        <v>{"name":p.FamilyName1,"vorname":p.WomanFirstName1,"geburtsdatum":p.BirthdayAdult2,"ahvNumber":p.AHVNumber2,"personInhausltVon":"01.11.2024","inHauslt":"Übernehmen","ereignis":"Eheschliessung"}</v>
      </c>
      <c r="F18" s="46" t="s">
        <v>78</v>
      </c>
      <c r="G18" s="13" t="str">
        <f>G5</f>
        <v>p.FamilyName1</v>
      </c>
      <c r="H18" s="46" t="s">
        <v>79</v>
      </c>
      <c r="I18" s="13" t="str">
        <f>H64</f>
        <v>p.WomanFirstName1</v>
      </c>
      <c r="J18" s="46" t="s">
        <v>151</v>
      </c>
      <c r="K18" s="65" t="str">
        <f>J64</f>
        <v>p.BirthdayAdult2</v>
      </c>
      <c r="L18" s="46" t="s">
        <v>83</v>
      </c>
      <c r="M18" s="13" t="str">
        <f>I64</f>
        <v>p.AHVNumber2</v>
      </c>
      <c r="N18" s="46" t="s">
        <v>152</v>
      </c>
      <c r="O18" s="65" t="str">
        <f ca="1">"01."&amp;MONTH(TODAY())&amp;".2024"</f>
        <v>01.11.2024</v>
      </c>
      <c r="P18" s="46" t="s">
        <v>153</v>
      </c>
      <c r="Q18" s="13" t="s">
        <v>154</v>
      </c>
      <c r="R18" s="46" t="s">
        <v>155</v>
      </c>
      <c r="S18" s="13" t="s">
        <v>156</v>
      </c>
      <c r="T18" s="46" t="s">
        <v>37</v>
      </c>
      <c r="V18" s="46"/>
      <c r="Y18" s="13" t="str">
        <f ca="1">"756"&amp;RIGHT(AC18,9)&amp;Z18</f>
        <v>7564336559746</v>
      </c>
      <c r="Z18" s="182">
        <f ca="1">ROUNDUP(SUM(LEFT($AC18,1)*1+RIGHT(LEFT($AC18,12),1)*3+RIGHT(LEFT($AC18,11),1)*1+RIGHT(LEFT($AC18,10),1)*3+RIGHT(LEFT($AC18,9),1)*1+RIGHT(LEFT($AC18,8),1)*3+RIGHT(LEFT($AC18,7),1)*1+RIGHT(LEFT($AC18,6),1)*3+RIGHT(LEFT($AC18,5),1)*1+RIGHT(LEFT($AC18,4),1)*3+RIGHT(LEFT($AC18,3),1)*1+RIGHT(LEFT($AC18,2),1)*3)/10,0)*10 - SUM(LEFT($AC18,1)*1+RIGHT(LEFT($AC18,12),1)*3+RIGHT(LEFT($AC18,11),1)*1+RIGHT(LEFT($AC18,10),1)*3+RIGHT(LEFT($AC18,9),1)*1+RIGHT(LEFT($AC18,8),1)*3+RIGHT(LEFT($AC18,7),1)*1+RIGHT(LEFT($AC18,6),1)*3+RIGHT(LEFT($AC18,5),1)*1+RIGHT(LEFT($AC18,4),1)*3+RIGHT(LEFT($AC18,3),1)*1+RIGHT(LEFT($AC18,2),1)*3)</f>
        <v>6</v>
      </c>
      <c r="AA18" s="13" t="s">
        <v>90</v>
      </c>
      <c r="AB18" s="13" t="s">
        <v>1149</v>
      </c>
      <c r="AC18" s="66">
        <f ca="1">AE18+AF18</f>
        <v>756433655974</v>
      </c>
      <c r="AE18" s="66">
        <v>756433000000</v>
      </c>
      <c r="AF18" s="66">
        <f ca="1">RANDBETWEEN(0,999999)</f>
        <v>655974</v>
      </c>
    </row>
    <row r="19" spans="1:32" s="185" customFormat="1" ht="15.75" customHeight="1">
      <c r="A19" s="21">
        <v>18</v>
      </c>
      <c r="B19" s="94" t="s">
        <v>150</v>
      </c>
      <c r="C19" s="38" t="str">
        <f t="shared" ca="1" si="2"/>
        <v>{"name":p.FamilyName1,"vorname":p.GirlFirstName1,"geburtsdatum":p.BirthdayKid1,"ahvNumber":p.AHVNumber3,"personInhausltVon":"01.11.2024","inHauslt":"Übernehmen","ereignis":"Geburt"}</v>
      </c>
      <c r="D19" s="13" t="s">
        <v>28</v>
      </c>
      <c r="E19" s="45" t="str">
        <f t="shared" ca="1" si="1"/>
        <v>{"name":p.FamilyName1,"vorname":p.GirlFirstName1,"geburtsdatum":p.BirthdayKid1,"ahvNumber":p.AHVNumber3,"personInhausltVon":"01.11.2024","inHauslt":"Übernehmen","ereignis":"Geburt"}</v>
      </c>
      <c r="F19" s="46" t="s">
        <v>78</v>
      </c>
      <c r="G19" s="13" t="str">
        <f>G18</f>
        <v>p.FamilyName1</v>
      </c>
      <c r="H19" s="46" t="s">
        <v>79</v>
      </c>
      <c r="I19" s="13" t="str">
        <f>H65</f>
        <v>p.GirlFirstName1</v>
      </c>
      <c r="J19" s="46" t="s">
        <v>151</v>
      </c>
      <c r="K19" s="65" t="str">
        <f>J65</f>
        <v>p.BirthdayKid1</v>
      </c>
      <c r="L19" s="46" t="s">
        <v>83</v>
      </c>
      <c r="M19" s="13" t="str">
        <f>I65</f>
        <v>p.AHVNumber3</v>
      </c>
      <c r="N19" s="46" t="s">
        <v>152</v>
      </c>
      <c r="O19" s="65" t="str">
        <f ca="1">"01."&amp;MONTH(TODAY())&amp;".2024"</f>
        <v>01.11.2024</v>
      </c>
      <c r="P19" s="46" t="s">
        <v>153</v>
      </c>
      <c r="Q19" s="13" t="s">
        <v>154</v>
      </c>
      <c r="R19" s="46" t="s">
        <v>155</v>
      </c>
      <c r="S19" s="13" t="s">
        <v>157</v>
      </c>
      <c r="T19" s="46" t="s">
        <v>37</v>
      </c>
      <c r="V19" s="46"/>
      <c r="Y19" s="13" t="str">
        <f ca="1">"756"&amp;RIGHT(AC19,9)&amp;Z19</f>
        <v>7564337703421</v>
      </c>
      <c r="Z19" s="182">
        <f ca="1">ROUNDUP(SUM(LEFT($AC19,1)*1+RIGHT(LEFT($AC19,12),1)*3+RIGHT(LEFT($AC19,11),1)*1+RIGHT(LEFT($AC19,10),1)*3+RIGHT(LEFT($AC19,9),1)*1+RIGHT(LEFT($AC19,8),1)*3+RIGHT(LEFT($AC19,7),1)*1+RIGHT(LEFT($AC19,6),1)*3+RIGHT(LEFT($AC19,5),1)*1+RIGHT(LEFT($AC19,4),1)*3+RIGHT(LEFT($AC19,3),1)*1+RIGHT(LEFT($AC19,2),1)*3)/10,0)*10 - SUM(LEFT($AC19,1)*1+RIGHT(LEFT($AC19,12),1)*3+RIGHT(LEFT($AC19,11),1)*1+RIGHT(LEFT($AC19,10),1)*3+RIGHT(LEFT($AC19,9),1)*1+RIGHT(LEFT($AC19,8),1)*3+RIGHT(LEFT($AC19,7),1)*1+RIGHT(LEFT($AC19,6),1)*3+RIGHT(LEFT($AC19,5),1)*1+RIGHT(LEFT($AC19,4),1)*3+RIGHT(LEFT($AC19,3),1)*1+RIGHT(LEFT($AC19,2),1)*3)</f>
        <v>1</v>
      </c>
      <c r="AA19" s="13" t="s">
        <v>90</v>
      </c>
      <c r="AB19" s="13" t="s">
        <v>1149</v>
      </c>
      <c r="AC19" s="66">
        <f ca="1">AE19+AF19</f>
        <v>756433770342</v>
      </c>
      <c r="AE19" s="66">
        <v>756433000000</v>
      </c>
      <c r="AF19" s="66">
        <f ca="1">RANDBETWEEN(0,999999)</f>
        <v>770342</v>
      </c>
    </row>
    <row r="20" spans="1:32" s="185" customFormat="1" ht="15.75" customHeight="1">
      <c r="A20" s="21">
        <v>19</v>
      </c>
      <c r="B20" s="94" t="s">
        <v>150</v>
      </c>
      <c r="C20" s="38" t="str">
        <f t="shared" ca="1" si="2"/>
        <v>{"name":p.FamilyName1,"vorname":p.ManFirstName2,"geburtsdatum":p.BirthdayKid2,"ahvNumber":p.AHVNumber4,"personInhausltVon":"01.11.2024","inHauslt":"Übernehmen","ereignis":"Geburt"}</v>
      </c>
      <c r="D20" s="13" t="s">
        <v>28</v>
      </c>
      <c r="E20" s="45" t="str">
        <f t="shared" ca="1" si="1"/>
        <v>{"name":p.FamilyName1,"vorname":p.ManFirstName2,"geburtsdatum":p.BirthdayKid2,"ahvNumber":p.AHVNumber4,"personInhausltVon":"01.11.2024","inHauslt":"Übernehmen","ereignis":"Geburt"}</v>
      </c>
      <c r="F20" s="46" t="s">
        <v>78</v>
      </c>
      <c r="G20" s="13" t="str">
        <f>G19</f>
        <v>p.FamilyName1</v>
      </c>
      <c r="H20" s="46" t="s">
        <v>79</v>
      </c>
      <c r="I20" s="13" t="str">
        <f>H66</f>
        <v>p.ManFirstName2</v>
      </c>
      <c r="J20" s="46" t="s">
        <v>151</v>
      </c>
      <c r="K20" s="65" t="str">
        <f>J66</f>
        <v>p.BirthdayKid2</v>
      </c>
      <c r="L20" s="46" t="s">
        <v>83</v>
      </c>
      <c r="M20" s="13" t="str">
        <f>I66</f>
        <v>p.AHVNumber4</v>
      </c>
      <c r="N20" s="46" t="s">
        <v>152</v>
      </c>
      <c r="O20" s="65" t="str">
        <f ca="1">"01."&amp;MONTH(TODAY())&amp;".2024"</f>
        <v>01.11.2024</v>
      </c>
      <c r="P20" s="46" t="s">
        <v>153</v>
      </c>
      <c r="Q20" s="13" t="s">
        <v>154</v>
      </c>
      <c r="R20" s="46" t="s">
        <v>155</v>
      </c>
      <c r="S20" s="13" t="s">
        <v>157</v>
      </c>
      <c r="T20" s="46" t="s">
        <v>37</v>
      </c>
      <c r="V20" s="46"/>
      <c r="Y20" s="13" t="str">
        <f ca="1">"756"&amp;RIGHT(AC20,9)&amp;Z20</f>
        <v>7564336659941</v>
      </c>
      <c r="Z20" s="182">
        <f ca="1">ROUNDUP(SUM(LEFT($AC20,1)*1+RIGHT(LEFT($AC20,12),1)*3+RIGHT(LEFT($AC20,11),1)*1+RIGHT(LEFT($AC20,10),1)*3+RIGHT(LEFT($AC20,9),1)*1+RIGHT(LEFT($AC20,8),1)*3+RIGHT(LEFT($AC20,7),1)*1+RIGHT(LEFT($AC20,6),1)*3+RIGHT(LEFT($AC20,5),1)*1+RIGHT(LEFT($AC20,4),1)*3+RIGHT(LEFT($AC20,3),1)*1+RIGHT(LEFT($AC20,2),1)*3)/10,0)*10 - SUM(LEFT($AC20,1)*1+RIGHT(LEFT($AC20,12),1)*3+RIGHT(LEFT($AC20,11),1)*1+RIGHT(LEFT($AC20,10),1)*3+RIGHT(LEFT($AC20,9),1)*1+RIGHT(LEFT($AC20,8),1)*3+RIGHT(LEFT($AC20,7),1)*1+RIGHT(LEFT($AC20,6),1)*3+RIGHT(LEFT($AC20,5),1)*1+RIGHT(LEFT($AC20,4),1)*3+RIGHT(LEFT($AC20,3),1)*1+RIGHT(LEFT($AC20,2),1)*3)</f>
        <v>1</v>
      </c>
      <c r="AA20" s="13" t="s">
        <v>90</v>
      </c>
      <c r="AB20" s="13" t="s">
        <v>1149</v>
      </c>
      <c r="AC20" s="66">
        <f ca="1">AE20+AF20</f>
        <v>756433665994</v>
      </c>
      <c r="AE20" s="66">
        <v>756433000000</v>
      </c>
      <c r="AF20" s="66">
        <f ca="1">RANDBETWEEN(0,999999)</f>
        <v>665994</v>
      </c>
    </row>
    <row r="21" spans="1:32" s="185" customFormat="1" ht="15.75" customHeight="1">
      <c r="A21" s="21">
        <v>20</v>
      </c>
      <c r="B21" s="443" t="s">
        <v>143</v>
      </c>
      <c r="C21" s="38" t="str">
        <f t="shared" si="2"/>
        <v>{"vermieter":"Graber Immobilien, 3000 Bern","wohnungsgrosse":"4 Zimmer","mietkosten":3000,"nebenkosten":300}</v>
      </c>
      <c r="D21" s="13" t="s">
        <v>28</v>
      </c>
      <c r="E21" s="45" t="str">
        <f t="shared" si="1"/>
        <v>{"vermieter":"Graber Immobilien, 3000 Bern","wohnungsgrosse":"4 Zimmer","mietkosten":3000,"nebenkosten":300}</v>
      </c>
      <c r="F21" s="46" t="s">
        <v>144</v>
      </c>
      <c r="G21" s="93" t="s">
        <v>267</v>
      </c>
      <c r="H21" s="46" t="s">
        <v>146</v>
      </c>
      <c r="I21" s="13" t="s">
        <v>147</v>
      </c>
      <c r="J21" s="46" t="s">
        <v>148</v>
      </c>
      <c r="K21" s="13">
        <v>3000</v>
      </c>
      <c r="L21" s="46" t="s">
        <v>149</v>
      </c>
      <c r="M21" s="13">
        <v>300</v>
      </c>
      <c r="N21" s="46" t="s">
        <v>109</v>
      </c>
      <c r="P21" s="46"/>
      <c r="R21" s="46"/>
      <c r="T21" s="46"/>
      <c r="V21" s="46"/>
    </row>
    <row r="22" spans="1:32" s="185" customFormat="1" ht="15.75" customHeight="1">
      <c r="A22" s="21">
        <v>21</v>
      </c>
      <c r="B22" s="97" t="s">
        <v>158</v>
      </c>
      <c r="C22" s="38" t="str">
        <f t="shared" si="2"/>
        <v>{"dossier":p.DossierName1,"klientschaft":`${p.FamilyName1}, ${p.ManFirstName1}`}</v>
      </c>
      <c r="D22" s="13" t="s">
        <v>28</v>
      </c>
      <c r="E22" s="45" t="str">
        <f t="shared" si="1"/>
        <v>{"dossier":p.DossierName1,"klientschaft":`${p.FamilyName1}, ${p.ManFirstName1}`}</v>
      </c>
      <c r="F22" s="98" t="s">
        <v>159</v>
      </c>
      <c r="G22" s="13" t="str">
        <f>G11</f>
        <v>p.DossierName1</v>
      </c>
      <c r="H22" s="46" t="s">
        <v>129</v>
      </c>
      <c r="I22" s="13" t="str">
        <f>"${"&amp;$G$4&amp;"}, ${"&amp;$I$4&amp;"}"</f>
        <v>${p.FamilyName1}, ${p.ManFirstName1}</v>
      </c>
      <c r="J22" s="46" t="s">
        <v>160</v>
      </c>
      <c r="L22" s="46"/>
      <c r="N22" s="46"/>
      <c r="P22" s="46"/>
      <c r="R22" s="46"/>
      <c r="T22" s="46"/>
      <c r="V22" s="46"/>
    </row>
    <row r="23" spans="1:32" s="185" customFormat="1" ht="15.75" customHeight="1">
      <c r="A23" s="21">
        <v>22</v>
      </c>
      <c r="B23" s="100" t="s">
        <v>161</v>
      </c>
      <c r="C23" s="38" t="str">
        <f t="shared" si="2"/>
        <v>{"panelTitle":"Erwerbssituation / Einnahmen","zahlbarDurch":"BKW Energie AG, 3013 Bern","pensumm":"100","betrag":"1000","gueltigVon":"01.01.2024","gueltigBis":"31.12.2024","checkbox":"x"}</v>
      </c>
      <c r="D23" s="13" t="s">
        <v>28</v>
      </c>
      <c r="E23" s="45" t="str">
        <f t="shared" si="1"/>
        <v>{"panelTitle":"Erwerbssituation / Einnahmen","zahlbarDurch":"BKW Energie AG, 3013 Bern","pensumm":"100","betrag":"1000","gueltigVon":"01.01.2024","gueltigBis":"31.12.2024","checkbox":"x"}</v>
      </c>
      <c r="F23" s="101" t="s">
        <v>268</v>
      </c>
      <c r="G23" s="13" t="s">
        <v>269</v>
      </c>
      <c r="H23" s="46" t="s">
        <v>176</v>
      </c>
      <c r="I23" s="13" t="s">
        <v>270</v>
      </c>
      <c r="J23" s="46" t="s">
        <v>165</v>
      </c>
      <c r="K23" s="13">
        <v>100</v>
      </c>
      <c r="L23" s="46" t="s">
        <v>166</v>
      </c>
      <c r="M23" s="13">
        <v>1000</v>
      </c>
      <c r="N23" s="46" t="s">
        <v>167</v>
      </c>
      <c r="O23" s="63" t="s">
        <v>271</v>
      </c>
      <c r="P23" s="13" t="s">
        <v>168</v>
      </c>
      <c r="Q23" s="63" t="s">
        <v>223</v>
      </c>
      <c r="R23" s="46" t="s">
        <v>169</v>
      </c>
      <c r="S23" s="13" t="s">
        <v>170</v>
      </c>
      <c r="T23" s="46" t="s">
        <v>37</v>
      </c>
      <c r="V23" s="46"/>
    </row>
    <row r="24" spans="1:32" s="444" customFormat="1" ht="15.75" customHeight="1">
      <c r="A24" s="21">
        <v>23</v>
      </c>
      <c r="B24" s="108" t="s">
        <v>139</v>
      </c>
      <c r="C24" s="38" t="str">
        <f t="shared" si="2"/>
        <v>{"searchDossierOrKlient":p.DossierName1,"resultType":"Dossiers"}</v>
      </c>
      <c r="D24" s="56" t="s">
        <v>28</v>
      </c>
      <c r="E24" s="109" t="str">
        <f t="shared" si="1"/>
        <v>{"searchDossierOrKlient":p.DossierName1,"resultType":"Dossiers"}</v>
      </c>
      <c r="F24" s="110" t="s">
        <v>140</v>
      </c>
      <c r="G24" s="160" t="str">
        <f>'00x'!$G$11</f>
        <v>p.DossierName1</v>
      </c>
      <c r="H24" s="110" t="s">
        <v>141</v>
      </c>
      <c r="I24" s="56" t="s">
        <v>142</v>
      </c>
      <c r="J24" s="110" t="s">
        <v>37</v>
      </c>
      <c r="L24" s="110"/>
      <c r="N24" s="110"/>
      <c r="P24" s="110"/>
      <c r="R24" s="110"/>
      <c r="T24" s="110"/>
      <c r="V24" s="110"/>
    </row>
    <row r="25" spans="1:32" s="444" customFormat="1" ht="15.75" customHeight="1">
      <c r="A25" s="21">
        <v>24</v>
      </c>
      <c r="B25" s="112" t="s">
        <v>180</v>
      </c>
      <c r="C25" s="38" t="str">
        <f t="shared" ca="1" si="2"/>
        <v>{"entscheidVom":"04.11.2025","begrundung":"Gar keine Begründung","unterstutzungab":"01.11.2025"}</v>
      </c>
      <c r="D25" s="56" t="s">
        <v>28</v>
      </c>
      <c r="E25" s="109" t="str">
        <f t="shared" ca="1" si="1"/>
        <v>{"entscheidVom":"04.11.2025","begrundung":"Gar keine Begründung","unterstutzungab":"01.11.2025"}</v>
      </c>
      <c r="F25" s="110" t="s">
        <v>181</v>
      </c>
      <c r="G25" s="160" t="str">
        <f ca="1">TEXT(TEXT(TODAY(),"DD")&amp;"."&amp;TEXT(TODAY(),"MM")&amp;"."&amp;TEXT(TODAY(),"YYYY"),"DD.MM.YYYY")</f>
        <v>04.11.2025</v>
      </c>
      <c r="H25" s="110" t="s">
        <v>182</v>
      </c>
      <c r="I25" s="56" t="s">
        <v>183</v>
      </c>
      <c r="J25" s="110" t="s">
        <v>184</v>
      </c>
      <c r="K25" s="160" t="str">
        <f ca="1">TEXT(TEXT(1,"DD")&amp;"."&amp;TEXT(TODAY(),"MM")&amp;"."&amp;TEXT(TODAY(),"YYYY"),"DD.MM.YYYY")</f>
        <v>01.11.2025</v>
      </c>
      <c r="L25" s="110" t="s">
        <v>37</v>
      </c>
      <c r="N25" s="110"/>
      <c r="P25" s="110"/>
      <c r="R25" s="110"/>
      <c r="T25" s="110"/>
      <c r="V25" s="110"/>
    </row>
    <row r="26" spans="1:32" s="445" customFormat="1" ht="15.75" customHeight="1">
      <c r="A26" s="21">
        <v>25</v>
      </c>
      <c r="B26" s="72" t="s">
        <v>22</v>
      </c>
      <c r="C26" s="55" t="s">
        <v>287</v>
      </c>
      <c r="E26" s="57"/>
      <c r="F26" s="58"/>
      <c r="G26" s="73"/>
    </row>
    <row r="27" spans="1:32" s="444" customFormat="1" ht="15.75" customHeight="1">
      <c r="A27" s="21">
        <v>26</v>
      </c>
      <c r="B27" s="113" t="s">
        <v>1153</v>
      </c>
      <c r="C27" s="38" t="str">
        <f ca="1">E27</f>
        <v>{"ubernahmeWohnkostenCFH":"100","uebernahmeWohnkostenVon":"01.11.2025","uebernahmeWohnkostenBis":"27.5.2025","uebernahemBegruendung":"Die Wohnungen sind teuer hier"}</v>
      </c>
      <c r="D27" s="56" t="s">
        <v>28</v>
      </c>
      <c r="E27" s="109" t="str">
        <f ca="1">F27&amp;G27&amp;H27&amp;I27&amp;J27&amp;K27&amp;L27&amp;M27&amp;N27&amp;O27&amp;P27&amp;Q27&amp;R27&amp;S27&amp;T27&amp;U27&amp;V27&amp;W27&amp;X27</f>
        <v>{"ubernahmeWohnkostenCFH":"100","uebernahmeWohnkostenVon":"01.11.2025","uebernahmeWohnkostenBis":"27.5.2025","uebernahemBegruendung":"Die Wohnungen sind teuer hier"}</v>
      </c>
      <c r="F27" s="114" t="s">
        <v>186</v>
      </c>
      <c r="G27" s="56">
        <v>100</v>
      </c>
      <c r="H27" s="56" t="s">
        <v>187</v>
      </c>
      <c r="I27" s="160" t="str">
        <f ca="1">"01."&amp;MONTH(TODAY())&amp;"."&amp;YEAR(TODAY())</f>
        <v>01.11.2025</v>
      </c>
      <c r="J27" s="56" t="s">
        <v>188</v>
      </c>
      <c r="K27" s="160" t="str">
        <f ca="1">"27."&amp;MONTH(TODAY()+180)&amp;"."&amp;YEAR(TODAY())</f>
        <v>27.5.2025</v>
      </c>
      <c r="L27" s="110" t="s">
        <v>189</v>
      </c>
      <c r="M27" s="56" t="s">
        <v>190</v>
      </c>
      <c r="N27" s="110" t="s">
        <v>37</v>
      </c>
    </row>
    <row r="28" spans="1:32" s="445" customFormat="1" ht="15.75" customHeight="1">
      <c r="A28" s="21">
        <v>27</v>
      </c>
      <c r="B28" s="72" t="s">
        <v>22</v>
      </c>
      <c r="C28" s="55" t="s">
        <v>287</v>
      </c>
      <c r="E28" s="57"/>
      <c r="F28" s="58"/>
      <c r="G28" s="73"/>
    </row>
    <row r="29" spans="1:32" s="438" customFormat="1" ht="15.75" customHeight="1">
      <c r="A29" s="21">
        <v>28</v>
      </c>
      <c r="B29" s="115" t="s">
        <v>191</v>
      </c>
      <c r="C29" s="38" t="str">
        <f ca="1">E29</f>
        <v>{"lEvonDate":"04.11.2025","lEbisDate":"04.11.2026","checkStatus":"In Bearbeitung"}</v>
      </c>
      <c r="D29" s="82" t="s">
        <v>28</v>
      </c>
      <c r="E29" s="83" t="str">
        <f ca="1">F29&amp;G29&amp;H29&amp;I29&amp;J29&amp;K29&amp;L29&amp;M29&amp;N29&amp;O29&amp;P29&amp;Q29&amp;R29&amp;S29&amp;T29&amp;U29&amp;V29&amp;W29&amp;X29</f>
        <v>{"lEvonDate":"04.11.2025","lEbisDate":"04.11.2026","checkStatus":"In Bearbeitung"}</v>
      </c>
      <c r="F29" s="84" t="s">
        <v>192</v>
      </c>
      <c r="G29" s="87" t="str">
        <f ca="1">TEXT(TEXT(TODAY(),"DD")&amp;"."&amp;TEXT(TODAY(),"MM")&amp;"."&amp;TEXT(TODAY(),"YYYY"),"DD.MM.YYYY")</f>
        <v>04.11.2025</v>
      </c>
      <c r="H29" s="84" t="s">
        <v>193</v>
      </c>
      <c r="I29" s="87" t="str">
        <f ca="1">TEXT(TEXT(TODAY(),"DD")&amp;"."&amp;TEXT(TODAY(),"MM")&amp;"."&amp;TEXT(TODAY()+360,"YYYY"),"DD.MM.YYYY")</f>
        <v>04.11.2026</v>
      </c>
      <c r="J29" s="84" t="s">
        <v>132</v>
      </c>
      <c r="K29" s="82" t="s">
        <v>133</v>
      </c>
      <c r="L29" s="84" t="s">
        <v>37</v>
      </c>
      <c r="N29" s="84"/>
      <c r="P29" s="84"/>
      <c r="R29" s="84"/>
      <c r="T29" s="84"/>
      <c r="V29" s="84"/>
    </row>
    <row r="30" spans="1:32" s="445" customFormat="1" ht="15.75" customHeight="1">
      <c r="A30" s="21">
        <v>29</v>
      </c>
      <c r="B30" s="72" t="s">
        <v>22</v>
      </c>
      <c r="C30" s="55" t="s">
        <v>287</v>
      </c>
      <c r="E30" s="57"/>
      <c r="F30" s="58"/>
      <c r="G30" s="59"/>
    </row>
    <row r="31" spans="1:32" s="438" customFormat="1" ht="15.75" customHeight="1">
      <c r="A31" s="21">
        <v>30</v>
      </c>
      <c r="B31" s="24" t="s">
        <v>134</v>
      </c>
      <c r="C31" s="437" t="str">
        <f>E31</f>
        <v>{"username":"Bern.Sachbearbeiterin@diartis.ch","password":"XXxa22?pdTA66-S@"}</v>
      </c>
      <c r="D31" s="82" t="s">
        <v>28</v>
      </c>
      <c r="E31" s="83" t="str">
        <f>F31&amp;G31&amp;H31&amp;I31&amp;J31&amp;K31&amp;L31&amp;M31&amp;N31&amp;O31&amp;P31&amp;Q31&amp;R31&amp;S31&amp;T31&amp;U31&amp;V31&amp;W31&amp;X31</f>
        <v>{"username":"Bern.Sachbearbeiterin@diartis.ch","password":"XXxa22?pdTA66-S@"}</v>
      </c>
      <c r="F31" s="84" t="s">
        <v>29</v>
      </c>
      <c r="G31" s="85" t="s">
        <v>30</v>
      </c>
      <c r="H31" s="84" t="s">
        <v>31</v>
      </c>
      <c r="I31" s="86" t="s">
        <v>32</v>
      </c>
      <c r="J31" s="84" t="s">
        <v>37</v>
      </c>
      <c r="K31" s="87"/>
      <c r="L31" s="84"/>
      <c r="N31" s="84"/>
      <c r="P31" s="84"/>
      <c r="R31" s="84"/>
      <c r="T31" s="84"/>
      <c r="V31" s="84"/>
    </row>
    <row r="32" spans="1:32" s="445" customFormat="1" ht="15.75" customHeight="1">
      <c r="A32" s="21">
        <v>31</v>
      </c>
      <c r="B32" s="72" t="s">
        <v>22</v>
      </c>
      <c r="C32" s="55" t="s">
        <v>287</v>
      </c>
      <c r="E32" s="57"/>
      <c r="F32" s="58"/>
      <c r="G32" s="59"/>
    </row>
    <row r="33" spans="1:22" s="438" customFormat="1" ht="15.75" customHeight="1">
      <c r="A33" s="21">
        <v>32</v>
      </c>
      <c r="B33" s="115" t="s">
        <v>273</v>
      </c>
      <c r="C33" s="38" t="str">
        <f>E33</f>
        <v>{"dossier":p.DossierName1,"buttonName":"Prüfung OK","checkStatus":"In Bearbeitung"}</v>
      </c>
      <c r="D33" s="82" t="s">
        <v>28</v>
      </c>
      <c r="E33" s="83" t="str">
        <f>F33&amp;G33&amp;H33&amp;I33&amp;J33&amp;K33&amp;L33&amp;M33&amp;N33&amp;O33&amp;P33&amp;Q33&amp;R33&amp;S33&amp;T33&amp;U33&amp;V33&amp;W33&amp;X33</f>
        <v>{"dossier":p.DossierName1,"buttonName":"Prüfung OK","checkStatus":"In Bearbeitung"}</v>
      </c>
      <c r="F33" s="84" t="s">
        <v>159</v>
      </c>
      <c r="G33" s="87" t="str">
        <f>'00x'!$G$11</f>
        <v>p.DossierName1</v>
      </c>
      <c r="H33" s="84" t="s">
        <v>198</v>
      </c>
      <c r="I33" s="82" t="s">
        <v>199</v>
      </c>
      <c r="J33" s="84" t="s">
        <v>132</v>
      </c>
      <c r="K33" s="82" t="s">
        <v>133</v>
      </c>
      <c r="L33" s="84" t="s">
        <v>37</v>
      </c>
      <c r="N33" s="84"/>
      <c r="P33" s="84"/>
      <c r="R33" s="84"/>
      <c r="T33" s="84"/>
      <c r="V33" s="84"/>
    </row>
    <row r="34" spans="1:22" s="438" customFormat="1" ht="15.75" customHeight="1">
      <c r="A34" s="21">
        <v>33</v>
      </c>
      <c r="B34" s="24" t="s">
        <v>134</v>
      </c>
      <c r="C34" s="437" t="str">
        <f>E34</f>
        <v>{"username":"aventis-gemeinde-ma@diartis.ch","password":"#xFymiADPk7wJG/FWMz"}</v>
      </c>
      <c r="D34" s="82" t="s">
        <v>28</v>
      </c>
      <c r="E34" s="83" t="str">
        <f>F34&amp;G34&amp;H34&amp;I34&amp;J34&amp;K34&amp;L34&amp;M34&amp;N34&amp;O34&amp;P34&amp;Q34&amp;R34&amp;S34&amp;T34&amp;U34&amp;V34&amp;W34&amp;X34</f>
        <v>{"username":"aventis-gemeinde-ma@diartis.ch","password":"#xFymiADPk7wJG/FWMz"}</v>
      </c>
      <c r="F34" s="84" t="s">
        <v>29</v>
      </c>
      <c r="G34" s="85" t="s">
        <v>195</v>
      </c>
      <c r="H34" s="84" t="s">
        <v>31</v>
      </c>
      <c r="I34" s="86" t="s">
        <v>196</v>
      </c>
      <c r="J34" s="84" t="s">
        <v>37</v>
      </c>
      <c r="K34" s="87"/>
      <c r="L34" s="84"/>
      <c r="N34" s="84"/>
      <c r="P34" s="84"/>
      <c r="R34" s="84"/>
      <c r="T34" s="84"/>
      <c r="V34" s="84"/>
    </row>
    <row r="35" spans="1:22" s="445" customFormat="1" ht="15.75" customHeight="1">
      <c r="A35" s="21">
        <v>34</v>
      </c>
      <c r="B35" s="72" t="s">
        <v>22</v>
      </c>
      <c r="C35" s="55" t="s">
        <v>1154</v>
      </c>
      <c r="E35" s="57"/>
      <c r="F35" s="58"/>
      <c r="G35" s="59"/>
    </row>
    <row r="36" spans="1:22" s="438" customFormat="1" ht="15.75" customHeight="1">
      <c r="A36" s="21">
        <v>35</v>
      </c>
      <c r="B36" s="115" t="s">
        <v>273</v>
      </c>
      <c r="C36" s="38" t="str">
        <f t="shared" ref="C36:C46" si="3">E36</f>
        <v>{"dossier":p.DossierName1,"buttonName":"Bewilligen","checkStatus":"Bewilligt"}</v>
      </c>
      <c r="D36" s="82" t="s">
        <v>28</v>
      </c>
      <c r="E36" s="83" t="str">
        <f t="shared" ref="E36:E46" si="4">F36&amp;G36&amp;H36&amp;I36&amp;J36&amp;K36&amp;L36&amp;M36&amp;N36&amp;O36&amp;P36&amp;Q36&amp;R36&amp;S36&amp;T36&amp;U36&amp;V36&amp;W36&amp;X36</f>
        <v>{"dossier":p.DossierName1,"buttonName":"Bewilligen","checkStatus":"Bewilligt"}</v>
      </c>
      <c r="F36" s="84" t="s">
        <v>159</v>
      </c>
      <c r="G36" s="87" t="str">
        <f>'00x'!$G$11</f>
        <v>p.DossierName1</v>
      </c>
      <c r="H36" s="84" t="s">
        <v>198</v>
      </c>
      <c r="I36" s="82" t="s">
        <v>136</v>
      </c>
      <c r="J36" s="84" t="s">
        <v>132</v>
      </c>
      <c r="K36" s="84" t="s">
        <v>137</v>
      </c>
      <c r="L36" s="84" t="s">
        <v>37</v>
      </c>
      <c r="N36" s="84"/>
      <c r="P36" s="84"/>
      <c r="R36" s="84"/>
      <c r="T36" s="84"/>
      <c r="V36" s="84"/>
    </row>
    <row r="37" spans="1:22" s="438" customFormat="1" ht="15.75" customHeight="1">
      <c r="A37" s="21">
        <v>36</v>
      </c>
      <c r="B37" s="19" t="s">
        <v>134</v>
      </c>
      <c r="C37" s="38" t="str">
        <f t="shared" si="3"/>
        <v>{"username":"Bern.Sachbearbeiterin@diartis.ch","password":"XXxa22?pdTA66-S@"}</v>
      </c>
      <c r="D37" s="82" t="s">
        <v>28</v>
      </c>
      <c r="E37" s="83" t="str">
        <f t="shared" si="4"/>
        <v>{"username":"Bern.Sachbearbeiterin@diartis.ch","password":"XXxa22?pdTA66-S@"}</v>
      </c>
      <c r="F37" s="84" t="s">
        <v>29</v>
      </c>
      <c r="G37" s="85" t="s">
        <v>30</v>
      </c>
      <c r="H37" s="84" t="s">
        <v>31</v>
      </c>
      <c r="I37" s="86" t="s">
        <v>32</v>
      </c>
      <c r="J37" s="84" t="s">
        <v>37</v>
      </c>
      <c r="K37" s="87"/>
      <c r="L37" s="84"/>
      <c r="N37" s="84"/>
      <c r="P37" s="84"/>
      <c r="R37" s="84"/>
      <c r="T37" s="84"/>
      <c r="V37" s="84"/>
    </row>
    <row r="38" spans="1:22" s="438" customFormat="1" ht="15.75" customHeight="1">
      <c r="A38" s="21">
        <v>37</v>
      </c>
      <c r="B38" s="56" t="s">
        <v>274</v>
      </c>
      <c r="C38" s="38" t="str">
        <f t="shared" si="3"/>
        <v>{"dossierInstitution":p.DossierName1,"verwendungPeriode":"Dezember 2024","status":"Zu bezahlen"}</v>
      </c>
      <c r="D38" s="82" t="s">
        <v>28</v>
      </c>
      <c r="E38" s="83" t="str">
        <f t="shared" si="4"/>
        <v>{"dossierInstitution":p.DossierName1,"verwendungPeriode":"Dezember 2024","status":"Zu bezahlen"}</v>
      </c>
      <c r="F38" s="84" t="s">
        <v>128</v>
      </c>
      <c r="G38" s="87" t="str">
        <f>'00x'!$G$11</f>
        <v>p.DossierName1</v>
      </c>
      <c r="H38" s="84" t="s">
        <v>275</v>
      </c>
      <c r="I38" s="117" t="s">
        <v>243</v>
      </c>
      <c r="J38" s="84" t="s">
        <v>202</v>
      </c>
      <c r="K38" s="87" t="s">
        <v>203</v>
      </c>
      <c r="L38" s="84" t="s">
        <v>37</v>
      </c>
      <c r="N38" s="84"/>
      <c r="O38" s="84"/>
    </row>
    <row r="39" spans="1:22" s="438" customFormat="1" ht="15.75" customHeight="1">
      <c r="A39" s="21">
        <v>38</v>
      </c>
      <c r="B39" s="56" t="s">
        <v>274</v>
      </c>
      <c r="C39" s="38" t="str">
        <f t="shared" si="3"/>
        <v>{"dossierInstitution":p.DossierName1,"verwendungPeriode":"Juni 2024","status":"Zu bezahlen"}</v>
      </c>
      <c r="D39" s="82" t="s">
        <v>28</v>
      </c>
      <c r="E39" s="83" t="str">
        <f t="shared" si="4"/>
        <v>{"dossierInstitution":p.DossierName1,"verwendungPeriode":"Juni 2024","status":"Zu bezahlen"}</v>
      </c>
      <c r="F39" s="84" t="s">
        <v>128</v>
      </c>
      <c r="G39" s="87" t="str">
        <f>'00x'!$G$11</f>
        <v>p.DossierName1</v>
      </c>
      <c r="H39" s="84" t="s">
        <v>275</v>
      </c>
      <c r="I39" s="117" t="s">
        <v>1155</v>
      </c>
      <c r="J39" s="84" t="s">
        <v>202</v>
      </c>
      <c r="K39" s="87" t="s">
        <v>203</v>
      </c>
      <c r="L39" s="84" t="s">
        <v>37</v>
      </c>
      <c r="N39" s="84"/>
      <c r="O39" s="84"/>
    </row>
    <row r="40" spans="1:22" s="438" customFormat="1" ht="15.75" customHeight="1">
      <c r="A40" s="21">
        <v>39</v>
      </c>
      <c r="B40" s="56" t="s">
        <v>274</v>
      </c>
      <c r="C40" s="38" t="str">
        <f t="shared" si="3"/>
        <v>{"dossierInstitution":p.DossierName1,"verwendungPeriode":"Juli 2024","status":"Zu bezahlen"}</v>
      </c>
      <c r="D40" s="82" t="s">
        <v>28</v>
      </c>
      <c r="E40" s="83" t="str">
        <f t="shared" si="4"/>
        <v>{"dossierInstitution":p.DossierName1,"verwendungPeriode":"Juli 2024","status":"Zu bezahlen"}</v>
      </c>
      <c r="F40" s="84" t="s">
        <v>128</v>
      </c>
      <c r="G40" s="87" t="str">
        <f>'00x'!$G$11</f>
        <v>p.DossierName1</v>
      </c>
      <c r="H40" s="84" t="s">
        <v>275</v>
      </c>
      <c r="I40" s="117" t="s">
        <v>278</v>
      </c>
      <c r="J40" s="84" t="s">
        <v>202</v>
      </c>
      <c r="K40" s="87" t="s">
        <v>203</v>
      </c>
      <c r="L40" s="84" t="s">
        <v>37</v>
      </c>
      <c r="N40" s="84"/>
      <c r="O40" s="84"/>
    </row>
    <row r="41" spans="1:22" s="438" customFormat="1" ht="15.75" customHeight="1">
      <c r="A41" s="21">
        <v>40</v>
      </c>
      <c r="B41" s="56" t="s">
        <v>274</v>
      </c>
      <c r="C41" s="38" t="str">
        <f t="shared" si="3"/>
        <v>{"dossierInstitution":p.DossierName1,"verwendungPeriode":"August 2024","status":"Zu bezahlen"}</v>
      </c>
      <c r="D41" s="82" t="s">
        <v>28</v>
      </c>
      <c r="E41" s="83" t="str">
        <f t="shared" si="4"/>
        <v>{"dossierInstitution":p.DossierName1,"verwendungPeriode":"August 2024","status":"Zu bezahlen"}</v>
      </c>
      <c r="F41" s="84" t="s">
        <v>128</v>
      </c>
      <c r="G41" s="87" t="str">
        <f>'00x'!$G$11</f>
        <v>p.DossierName1</v>
      </c>
      <c r="H41" s="84" t="s">
        <v>275</v>
      </c>
      <c r="I41" s="117" t="s">
        <v>277</v>
      </c>
      <c r="J41" s="84" t="s">
        <v>202</v>
      </c>
      <c r="K41" s="87" t="s">
        <v>203</v>
      </c>
      <c r="L41" s="84" t="s">
        <v>37</v>
      </c>
      <c r="N41" s="84"/>
      <c r="O41" s="84"/>
    </row>
    <row r="42" spans="1:22" s="438" customFormat="1" ht="15.75" customHeight="1">
      <c r="A42" s="21">
        <v>41</v>
      </c>
      <c r="B42" s="56" t="s">
        <v>274</v>
      </c>
      <c r="C42" s="38" t="str">
        <f t="shared" si="3"/>
        <v>{"dossierInstitution":p.DossierName1,"verwendungPeriode":"September 2024","status":"Zu bezahlen"}</v>
      </c>
      <c r="D42" s="82" t="s">
        <v>28</v>
      </c>
      <c r="E42" s="83" t="str">
        <f t="shared" si="4"/>
        <v>{"dossierInstitution":p.DossierName1,"verwendungPeriode":"September 2024","status":"Zu bezahlen"}</v>
      </c>
      <c r="F42" s="84" t="s">
        <v>128</v>
      </c>
      <c r="G42" s="87" t="str">
        <f>'00x'!$G$11</f>
        <v>p.DossierName1</v>
      </c>
      <c r="H42" s="84" t="s">
        <v>275</v>
      </c>
      <c r="I42" s="117" t="s">
        <v>276</v>
      </c>
      <c r="J42" s="84" t="s">
        <v>202</v>
      </c>
      <c r="K42" s="87" t="s">
        <v>203</v>
      </c>
      <c r="L42" s="84" t="s">
        <v>37</v>
      </c>
      <c r="N42" s="84"/>
      <c r="O42" s="84"/>
    </row>
    <row r="43" spans="1:22" s="438" customFormat="1" ht="15.75" customHeight="1">
      <c r="A43" s="21">
        <v>42</v>
      </c>
      <c r="B43" s="56" t="s">
        <v>274</v>
      </c>
      <c r="C43" s="38" t="str">
        <f t="shared" si="3"/>
        <v>{"dossierInstitution":p.DossierName1,"verwendungPeriode":"Oktober 2024","status":"Zu bezahlen"}</v>
      </c>
      <c r="D43" s="82" t="s">
        <v>28</v>
      </c>
      <c r="E43" s="83" t="str">
        <f t="shared" si="4"/>
        <v>{"dossierInstitution":p.DossierName1,"verwendungPeriode":"Oktober 2024","status":"Zu bezahlen"}</v>
      </c>
      <c r="F43" s="84" t="s">
        <v>128</v>
      </c>
      <c r="G43" s="87" t="str">
        <f>'00x'!$G$11</f>
        <v>p.DossierName1</v>
      </c>
      <c r="H43" s="84" t="s">
        <v>275</v>
      </c>
      <c r="I43" s="117" t="s">
        <v>241</v>
      </c>
      <c r="J43" s="84" t="s">
        <v>202</v>
      </c>
      <c r="K43" s="87" t="s">
        <v>203</v>
      </c>
      <c r="L43" s="84" t="s">
        <v>37</v>
      </c>
      <c r="N43" s="84"/>
      <c r="O43" s="84"/>
    </row>
    <row r="44" spans="1:22" s="438" customFormat="1" ht="15.75" customHeight="1">
      <c r="A44" s="21">
        <v>43</v>
      </c>
      <c r="B44" s="56" t="s">
        <v>274</v>
      </c>
      <c r="C44" s="38" t="str">
        <f t="shared" si="3"/>
        <v>{"dossierInstitution":p.DossierName1,"verwendungPeriode":"November 2024","status":"Zu bezahlen"}</v>
      </c>
      <c r="D44" s="82" t="s">
        <v>28</v>
      </c>
      <c r="E44" s="83" t="str">
        <f t="shared" si="4"/>
        <v>{"dossierInstitution":p.DossierName1,"verwendungPeriode":"November 2024","status":"Zu bezahlen"}</v>
      </c>
      <c r="F44" s="84" t="s">
        <v>128</v>
      </c>
      <c r="G44" s="87" t="str">
        <f>'00x'!$G$11</f>
        <v>p.DossierName1</v>
      </c>
      <c r="H44" s="84" t="s">
        <v>275</v>
      </c>
      <c r="I44" s="117" t="s">
        <v>242</v>
      </c>
      <c r="J44" s="84" t="s">
        <v>202</v>
      </c>
      <c r="K44" s="87" t="s">
        <v>203</v>
      </c>
      <c r="L44" s="84" t="s">
        <v>37</v>
      </c>
      <c r="N44" s="84"/>
      <c r="O44" s="84"/>
    </row>
    <row r="45" spans="1:22" s="439" customFormat="1" ht="15.75" customHeight="1">
      <c r="A45" s="21">
        <v>44</v>
      </c>
      <c r="B45" s="24" t="s">
        <v>205</v>
      </c>
      <c r="C45" s="38" t="str">
        <f t="shared" si="3"/>
        <v>{"haftungsType":"Einseitige Solidarhaftung erfassen","haftungDurch":`${p.FamilyName1}, ${p.ManFirstName1}`,"haftungVon":"01.01.2024","haftungBis":"31.12.2024","haftungFuer":`${p.FamilyName1}, ${p.WomanFirstName1}`,"person1":"","person2":""}</v>
      </c>
      <c r="D45" s="76" t="s">
        <v>28</v>
      </c>
      <c r="E45" s="77" t="str">
        <f t="shared" si="4"/>
        <v>{"haftungsType":"Einseitige Solidarhaftung erfassen","haftungDurch":`${p.FamilyName1}, ${p.ManFirstName1}`,"haftungVon":"01.01.2024","haftungBis":"31.12.2024","haftungFuer":`${p.FamilyName1}, ${p.WomanFirstName1}`,"person1":"","person2":""}</v>
      </c>
      <c r="F45" s="78" t="s">
        <v>206</v>
      </c>
      <c r="G45" s="76" t="s">
        <v>207</v>
      </c>
      <c r="H45" s="78" t="s">
        <v>208</v>
      </c>
      <c r="I45" s="76" t="str">
        <f>I16</f>
        <v>${p.FamilyName1}, ${p.ManFirstName1}</v>
      </c>
      <c r="J45" s="78" t="s">
        <v>209</v>
      </c>
      <c r="K45" s="76" t="s">
        <v>271</v>
      </c>
      <c r="L45" s="78" t="s">
        <v>210</v>
      </c>
      <c r="M45" s="127" t="s">
        <v>223</v>
      </c>
      <c r="N45" s="78" t="s">
        <v>211</v>
      </c>
      <c r="O45" s="76" t="str">
        <f>"${"&amp;$G$4&amp;"}, ${"&amp;$H$64&amp;"}"</f>
        <v>${p.FamilyName1}, ${p.WomanFirstName1}</v>
      </c>
      <c r="P45" s="78" t="s">
        <v>212</v>
      </c>
      <c r="Q45" s="80"/>
      <c r="R45" s="78" t="s">
        <v>213</v>
      </c>
      <c r="T45" s="76" t="s">
        <v>37</v>
      </c>
      <c r="V45" s="78"/>
    </row>
    <row r="46" spans="1:22" s="439" customFormat="1" ht="15.75" customHeight="1">
      <c r="A46" s="21">
        <v>45</v>
      </c>
      <c r="B46" s="24" t="s">
        <v>205</v>
      </c>
      <c r="C46" s="38" t="str">
        <f t="shared" si="3"/>
        <v>{"haftungsType":"Einzelhaftung erfassen","haftungDurch":`${p.FamilyName1}, ${p.ManFirstName1}`,"haftungVon":"01.01.2024","haftungBis":"31.12.2024","haftungFuer":`${p.FamilyName1}, ${p.GirlFirstName1}`,"person1":"","person2":""}</v>
      </c>
      <c r="D46" s="76" t="s">
        <v>28</v>
      </c>
      <c r="E46" s="77" t="str">
        <f t="shared" si="4"/>
        <v>{"haftungsType":"Einzelhaftung erfassen","haftungDurch":`${p.FamilyName1}, ${p.ManFirstName1}`,"haftungVon":"01.01.2024","haftungBis":"31.12.2024","haftungFuer":`${p.FamilyName1}, ${p.GirlFirstName1}`,"person1":"","person2":""}</v>
      </c>
      <c r="F46" s="78" t="s">
        <v>206</v>
      </c>
      <c r="G46" s="76" t="s">
        <v>214</v>
      </c>
      <c r="H46" s="78" t="s">
        <v>208</v>
      </c>
      <c r="I46" s="76" t="str">
        <f>I45</f>
        <v>${p.FamilyName1}, ${p.ManFirstName1}</v>
      </c>
      <c r="J46" s="78" t="s">
        <v>209</v>
      </c>
      <c r="K46" s="76" t="s">
        <v>271</v>
      </c>
      <c r="L46" s="78" t="s">
        <v>210</v>
      </c>
      <c r="M46" s="127" t="s">
        <v>223</v>
      </c>
      <c r="N46" s="78" t="s">
        <v>211</v>
      </c>
      <c r="O46" s="76" t="str">
        <f>"${"&amp;$G$4&amp;"}, ${"&amp;$H$65&amp;"}"</f>
        <v>${p.FamilyName1}, ${p.GirlFirstName1}</v>
      </c>
      <c r="P46" s="78" t="s">
        <v>212</v>
      </c>
      <c r="Q46" s="80"/>
      <c r="R46" s="78" t="s">
        <v>213</v>
      </c>
      <c r="T46" s="76" t="s">
        <v>37</v>
      </c>
      <c r="V46" s="78"/>
    </row>
    <row r="47" spans="1:22" s="446" customFormat="1" ht="15.75" customHeight="1">
      <c r="A47" s="21">
        <v>46</v>
      </c>
      <c r="B47" s="54" t="s">
        <v>22</v>
      </c>
      <c r="C47" s="55" t="s">
        <v>215</v>
      </c>
      <c r="E47" s="124"/>
      <c r="F47" s="125"/>
    </row>
    <row r="48" spans="1:22" s="439" customFormat="1" ht="15.75" customHeight="1">
      <c r="A48" s="21">
        <v>47</v>
      </c>
      <c r="B48" s="24" t="s">
        <v>216</v>
      </c>
      <c r="C48" s="38"/>
      <c r="E48" s="77"/>
      <c r="F48" s="126"/>
      <c r="H48" s="126"/>
      <c r="J48" s="126"/>
      <c r="L48" s="126"/>
      <c r="M48" s="127"/>
      <c r="N48" s="126"/>
      <c r="O48" s="11"/>
      <c r="P48" s="126"/>
      <c r="Q48" s="80"/>
      <c r="R48" s="126"/>
      <c r="V48" s="126"/>
    </row>
    <row r="49" spans="1:30" s="446" customFormat="1" ht="15.75" customHeight="1">
      <c r="A49" s="21">
        <v>48</v>
      </c>
      <c r="B49" s="54" t="s">
        <v>22</v>
      </c>
      <c r="C49" s="55" t="s">
        <v>215</v>
      </c>
      <c r="E49" s="124"/>
      <c r="F49" s="125"/>
    </row>
    <row r="50" spans="1:30" s="67" customFormat="1" ht="15.75" customHeight="1">
      <c r="A50" s="21">
        <v>49</v>
      </c>
      <c r="B50" s="54" t="s">
        <v>139</v>
      </c>
      <c r="C50" s="89" t="str">
        <f>E50</f>
        <v>{"searchDossierOrKlient":p.DossierName1,"resultType":"Dossiers"}</v>
      </c>
      <c r="D50" s="90" t="s">
        <v>28</v>
      </c>
      <c r="E50" s="91" t="str">
        <f>F50&amp;G50&amp;H50&amp;I50&amp;J50&amp;K50&amp;L50&amp;M50&amp;N50&amp;O50&amp;P50&amp;Q50&amp;R50&amp;S50&amp;T50&amp;U50&amp;V50&amp;W50&amp;X50</f>
        <v>{"searchDossierOrKlient":p.DossierName1,"resultType":"Dossiers"}</v>
      </c>
      <c r="F50" s="92" t="s">
        <v>140</v>
      </c>
      <c r="G50" s="133" t="str">
        <f>'00x'!$G$11</f>
        <v>p.DossierName1</v>
      </c>
      <c r="H50" s="92" t="s">
        <v>141</v>
      </c>
      <c r="I50" s="90" t="s">
        <v>142</v>
      </c>
      <c r="J50" s="92" t="s">
        <v>37</v>
      </c>
      <c r="L50" s="92"/>
      <c r="N50" s="92"/>
      <c r="P50" s="92"/>
      <c r="R50" s="92"/>
      <c r="T50" s="92"/>
      <c r="V50" s="92"/>
    </row>
    <row r="51" spans="1:30" s="67" customFormat="1" ht="15.75" customHeight="1">
      <c r="A51" s="21">
        <v>50</v>
      </c>
      <c r="B51" s="129" t="s">
        <v>217</v>
      </c>
      <c r="C51" s="89" t="str">
        <f>E51</f>
        <v>{"dossierInstitution":p.DossierName1,"freigegebeneZahlungen":"7"}</v>
      </c>
      <c r="D51" s="90" t="s">
        <v>28</v>
      </c>
      <c r="E51" s="91" t="str">
        <f>F51&amp;G51&amp;H51&amp;I51&amp;J51&amp;K51&amp;L51&amp;M51&amp;N51&amp;O51&amp;P51&amp;Q51&amp;R51&amp;S51&amp;T51&amp;U51&amp;V51&amp;W51&amp;X51</f>
        <v>{"dossierInstitution":p.DossierName1,"freigegebeneZahlungen":"7"}</v>
      </c>
      <c r="F51" s="130" t="s">
        <v>128</v>
      </c>
      <c r="G51" s="133" t="str">
        <f>'00x'!$G$11</f>
        <v>p.DossierName1</v>
      </c>
      <c r="H51" s="92" t="s">
        <v>218</v>
      </c>
      <c r="I51" s="90">
        <v>7</v>
      </c>
      <c r="J51" s="92" t="s">
        <v>37</v>
      </c>
      <c r="L51" s="92"/>
      <c r="N51" s="92"/>
      <c r="P51" s="92"/>
      <c r="R51" s="92"/>
      <c r="T51" s="92"/>
      <c r="V51" s="92"/>
    </row>
    <row r="52" spans="1:30" s="67" customFormat="1" ht="15.75" customHeight="1">
      <c r="A52" s="21">
        <v>51</v>
      </c>
      <c r="B52" s="19" t="s">
        <v>134</v>
      </c>
      <c r="C52" s="38" t="str">
        <f>E52</f>
        <v>{"username":"Bern.Buchhalter@diartis.ch","password":"HBcc73+ppTX42?E."}</v>
      </c>
      <c r="D52" s="90" t="s">
        <v>28</v>
      </c>
      <c r="E52" s="91" t="str">
        <f>F52&amp;G52&amp;H52&amp;I52&amp;J52&amp;K52&amp;L52&amp;M52&amp;N52&amp;O52&amp;P52&amp;Q52&amp;R52&amp;S52&amp;T52&amp;U52&amp;V52&amp;W52&amp;X52</f>
        <v>{"username":"Bern.Buchhalter@diartis.ch","password":"HBcc73+ppTX42?E."}</v>
      </c>
      <c r="F52" s="92" t="s">
        <v>29</v>
      </c>
      <c r="G52" s="90" t="s">
        <v>219</v>
      </c>
      <c r="H52" s="92" t="s">
        <v>31</v>
      </c>
      <c r="I52" s="90" t="s">
        <v>220</v>
      </c>
      <c r="J52" s="92" t="s">
        <v>37</v>
      </c>
      <c r="K52" s="133"/>
      <c r="L52" s="92"/>
      <c r="N52" s="92"/>
      <c r="P52" s="92"/>
      <c r="R52" s="92"/>
      <c r="T52" s="92"/>
      <c r="V52" s="92"/>
    </row>
    <row r="53" spans="1:30" s="67" customFormat="1" ht="15.75" customHeight="1">
      <c r="A53" s="21">
        <v>52</v>
      </c>
      <c r="B53" s="54" t="s">
        <v>139</v>
      </c>
      <c r="C53" s="89" t="str">
        <f>E53</f>
        <v>{"searchDossierOrKlient":p.DossierName1,"resultType":"Dossiers"}</v>
      </c>
      <c r="D53" s="90" t="s">
        <v>28</v>
      </c>
      <c r="E53" s="91" t="str">
        <f>F53&amp;G53&amp;H53&amp;I53&amp;J53&amp;K53&amp;L53&amp;M53&amp;N53&amp;O53&amp;P53&amp;Q53&amp;R53&amp;S53&amp;T53&amp;U53&amp;V53&amp;W53&amp;X53</f>
        <v>{"searchDossierOrKlient":p.DossierName1,"resultType":"Dossiers"}</v>
      </c>
      <c r="F53" s="92" t="s">
        <v>140</v>
      </c>
      <c r="G53" s="133" t="str">
        <f>'00x'!$G$11</f>
        <v>p.DossierName1</v>
      </c>
      <c r="H53" s="92" t="s">
        <v>141</v>
      </c>
      <c r="I53" s="90" t="s">
        <v>142</v>
      </c>
      <c r="J53" s="92" t="s">
        <v>37</v>
      </c>
      <c r="L53" s="92"/>
      <c r="N53" s="92"/>
      <c r="P53" s="92"/>
      <c r="R53" s="92"/>
      <c r="T53" s="92"/>
      <c r="V53" s="92"/>
    </row>
    <row r="54" spans="1:30" s="446" customFormat="1" ht="15.75" customHeight="1">
      <c r="A54" s="21">
        <v>53</v>
      </c>
      <c r="B54" s="129" t="s">
        <v>22</v>
      </c>
      <c r="C54" s="55" t="s">
        <v>126</v>
      </c>
      <c r="E54" s="124"/>
      <c r="F54" s="125"/>
    </row>
    <row r="55" spans="1:30" s="67" customFormat="1" ht="15.75" customHeight="1">
      <c r="A55" s="21">
        <v>54</v>
      </c>
      <c r="B55" s="135" t="s">
        <v>221</v>
      </c>
      <c r="C55" s="89" t="str">
        <f>E55</f>
        <v>{"bisValutaDatum":"31.12.2024","dossier":p.DossierName1,"zahlungenTotal":"CHF 11’918.00"}</v>
      </c>
      <c r="D55" s="90" t="s">
        <v>28</v>
      </c>
      <c r="E55" s="91" t="str">
        <f>F55&amp;G55&amp;H55&amp;I55&amp;J55&amp;K55&amp;L55&amp;M55&amp;N55&amp;O55&amp;P55&amp;Q55&amp;R55&amp;S55&amp;T55&amp;U55&amp;V55&amp;W55&amp;X55</f>
        <v>{"bisValutaDatum":"31.12.2024","dossier":p.DossierName1,"zahlungenTotal":"CHF 11’918.00"}</v>
      </c>
      <c r="F55" s="92" t="s">
        <v>222</v>
      </c>
      <c r="G55" s="90" t="s">
        <v>223</v>
      </c>
      <c r="H55" s="92" t="s">
        <v>224</v>
      </c>
      <c r="I55" s="133" t="str">
        <f>G50</f>
        <v>p.DossierName1</v>
      </c>
      <c r="J55" s="92" t="s">
        <v>225</v>
      </c>
      <c r="K55" s="178" t="s">
        <v>288</v>
      </c>
      <c r="L55" s="92" t="s">
        <v>37</v>
      </c>
      <c r="N55" s="92"/>
      <c r="P55" s="92"/>
      <c r="R55" s="92"/>
      <c r="T55" s="92"/>
      <c r="V55" s="92"/>
    </row>
    <row r="56" spans="1:30" s="446" customFormat="1" ht="15.75" customHeight="1">
      <c r="A56" s="21">
        <v>55</v>
      </c>
      <c r="B56" s="54" t="s">
        <v>22</v>
      </c>
      <c r="C56" s="55" t="s">
        <v>126</v>
      </c>
      <c r="E56" s="124"/>
      <c r="F56" s="125"/>
    </row>
    <row r="57" spans="1:30" s="10" customFormat="1" ht="15.75" customHeight="1">
      <c r="A57" s="21">
        <v>56</v>
      </c>
      <c r="B57" s="16" t="s">
        <v>229</v>
      </c>
      <c r="C57" s="38" t="str">
        <f>E57</f>
        <v>{"dossier":p.DossierName1,"ausgefuehrteZahlungen":"7"}</v>
      </c>
      <c r="D57" s="38"/>
      <c r="E57" s="91" t="str">
        <f>F57&amp;G57&amp;H57&amp;I57&amp;J57&amp;K57&amp;L57&amp;M57&amp;N57&amp;O57&amp;P57&amp;Q57&amp;R57&amp;S57&amp;T57&amp;U57&amp;V57&amp;W57</f>
        <v>{"dossier":p.DossierName1,"ausgefuehrteZahlungen":"7"}</v>
      </c>
      <c r="F57" s="2" t="s">
        <v>159</v>
      </c>
      <c r="G57" s="447" t="str">
        <f>G63</f>
        <v>p.DossierName1</v>
      </c>
      <c r="H57" s="2" t="s">
        <v>230</v>
      </c>
      <c r="I57" s="2">
        <v>7</v>
      </c>
      <c r="J57" s="2" t="s">
        <v>37</v>
      </c>
      <c r="K57" s="2"/>
      <c r="L57" s="2"/>
      <c r="M57" s="2"/>
      <c r="N57" s="2"/>
      <c r="O57" s="3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s">
        <v>37</v>
      </c>
    </row>
    <row r="58" spans="1:30" ht="15.75" customHeight="1">
      <c r="B58" s="54"/>
    </row>
    <row r="59" spans="1:30" ht="15.75" customHeight="1">
      <c r="B59" s="16"/>
    </row>
    <row r="60" spans="1:30" ht="15.75" customHeight="1">
      <c r="B60" s="448" t="s">
        <v>233</v>
      </c>
    </row>
    <row r="61" spans="1:30" ht="15.75" customHeight="1">
      <c r="B61" s="2" t="s">
        <v>233</v>
      </c>
    </row>
    <row r="62" spans="1:30" ht="15.75" customHeight="1">
      <c r="B62" s="2" t="s">
        <v>234</v>
      </c>
    </row>
    <row r="63" spans="1:30" ht="15.75" customHeight="1">
      <c r="B63" s="303"/>
      <c r="F63" s="41" t="s">
        <v>236</v>
      </c>
      <c r="G63" s="2" t="str">
        <f>"p.DossierName"&amp;G68</f>
        <v>p.DossierName1</v>
      </c>
      <c r="H63" s="13" t="str">
        <f>"p.ManFirstName"&amp;G68</f>
        <v>p.ManFirstName1</v>
      </c>
      <c r="I63" s="13" t="str">
        <f>"p.AHVNumber"&amp;G70</f>
        <v>p.AHVNumber1</v>
      </c>
      <c r="J63" s="65" t="str">
        <f>"p.BirthdayAdult"&amp;G68</f>
        <v>p.BirthdayAdult1</v>
      </c>
    </row>
    <row r="64" spans="1:30" ht="15.75" customHeight="1">
      <c r="B64" s="448" t="s">
        <v>231</v>
      </c>
      <c r="F64" s="41" t="s">
        <v>237</v>
      </c>
      <c r="G64" s="13" t="str">
        <f>"p.FamilyName"&amp;G68</f>
        <v>p.FamilyName1</v>
      </c>
      <c r="H64" s="13" t="str">
        <f>"p.WomanFirstName"&amp;G68</f>
        <v>p.WomanFirstName1</v>
      </c>
      <c r="I64" s="13" t="str">
        <f>"p.AHVNumber"&amp;G70+1</f>
        <v>p.AHVNumber2</v>
      </c>
      <c r="J64" s="65" t="str">
        <f>"p.BirthdayAdult"&amp;G69</f>
        <v>p.BirthdayAdult2</v>
      </c>
    </row>
    <row r="65" spans="6:10" ht="15.75" customHeight="1">
      <c r="F65" s="41" t="s">
        <v>238</v>
      </c>
      <c r="G65" s="2" t="str">
        <f>G64</f>
        <v>p.FamilyName1</v>
      </c>
      <c r="H65" s="13" t="str">
        <f>"p.GirlFirstName"&amp;G68</f>
        <v>p.GirlFirstName1</v>
      </c>
      <c r="I65" s="13" t="str">
        <f>"p.AHVNumber"&amp;G70+2</f>
        <v>p.AHVNumber3</v>
      </c>
      <c r="J65" s="65" t="str">
        <f>"p.BirthdayKid"&amp;G68</f>
        <v>p.BirthdayKid1</v>
      </c>
    </row>
    <row r="66" spans="6:10" ht="15.75" customHeight="1">
      <c r="H66" s="13" t="str">
        <f>"p.ManFirstName"&amp;G69</f>
        <v>p.ManFirstName2</v>
      </c>
      <c r="I66" s="13" t="str">
        <f>"p.AHVNumber"&amp;G70+3</f>
        <v>p.AHVNumber4</v>
      </c>
      <c r="J66" s="65" t="str">
        <f>"p.BirthdayKid"&amp;G69</f>
        <v>p.BirthdayKid2</v>
      </c>
    </row>
    <row r="68" spans="6:10" ht="15.75" customHeight="1">
      <c r="G68" s="62">
        <v>1</v>
      </c>
    </row>
    <row r="69" spans="6:10" ht="15.75" customHeight="1">
      <c r="G69" s="2">
        <f>G68+1</f>
        <v>2</v>
      </c>
    </row>
    <row r="70" spans="6:10" ht="15.75" customHeight="1">
      <c r="G70" s="2">
        <f>G68*4-4+1</f>
        <v>1</v>
      </c>
    </row>
  </sheetData>
  <hyperlinks>
    <hyperlink ref="G2" r:id="rId1" xr:uid="{00000000-0004-0000-4800-000000000000}"/>
    <hyperlink ref="K6" r:id="rId2" xr:uid="{00000000-0004-0000-4800-000001000000}"/>
    <hyperlink ref="G12" r:id="rId3" xr:uid="{00000000-0004-0000-4800-000002000000}"/>
    <hyperlink ref="I12" r:id="rId4" xr:uid="{00000000-0004-0000-4800-000003000000}"/>
    <hyperlink ref="G15" r:id="rId5" xr:uid="{00000000-0004-0000-4800-000004000000}"/>
    <hyperlink ref="I15" r:id="rId6" xr:uid="{00000000-0004-0000-4800-000005000000}"/>
    <hyperlink ref="G31" r:id="rId7" xr:uid="{00000000-0004-0000-4800-000006000000}"/>
    <hyperlink ref="I31" r:id="rId8" xr:uid="{00000000-0004-0000-4800-000007000000}"/>
    <hyperlink ref="G34" r:id="rId9" xr:uid="{00000000-0004-0000-4800-000008000000}"/>
    <hyperlink ref="I34" r:id="rId10" xr:uid="{00000000-0004-0000-4800-000009000000}"/>
    <hyperlink ref="G37" r:id="rId11" xr:uid="{00000000-0004-0000-4800-00000A000000}"/>
    <hyperlink ref="I37" r:id="rId12" xr:uid="{00000000-0004-0000-4800-00000B000000}"/>
  </hyperlinks>
  <pageMargins left="0.7" right="0.7" top="0.75" bottom="0.75" header="0.3" footer="0.3"/>
  <pageSetup paperSize="9" orientation="portrait" useFirstPageNumber="1" horizontalDpi="4294967295" verticalDpi="429496729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0" tint="-0.249977111117893"/>
  </sheetPr>
  <dimension ref="A1:BG70"/>
  <sheetViews>
    <sheetView zoomScale="85" zoomScaleNormal="85" workbookViewId="0">
      <pane xSplit="2" ySplit="1" topLeftCell="C2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5.75" customHeight="1"/>
  <cols>
    <col min="1" max="1" width="9.140625" style="1" customWidth="1"/>
    <col min="2" max="2" width="41.42578125" style="2" customWidth="1"/>
    <col min="3" max="3" width="154.140625" style="38" customWidth="1"/>
    <col min="4" max="4" width="5.42578125" style="2" customWidth="1"/>
    <col min="5" max="5" width="9.7109375" style="2" customWidth="1"/>
    <col min="6" max="6" width="30" style="41" customWidth="1"/>
    <col min="7" max="7" width="32.28515625" style="2" customWidth="1"/>
    <col min="8" max="8" width="22" style="41" customWidth="1"/>
    <col min="9" max="9" width="36.28515625" style="2" customWidth="1"/>
    <col min="10" max="10" width="10.5703125" style="41" customWidth="1"/>
    <col min="11" max="11" width="23.5703125" style="2" customWidth="1"/>
    <col min="12" max="12" width="9.28515625" style="41" customWidth="1"/>
    <col min="13" max="13" width="24.42578125" style="2" customWidth="1"/>
    <col min="14" max="14" width="9.140625" style="41" customWidth="1"/>
    <col min="15" max="15" width="36.85546875" style="2" customWidth="1"/>
    <col min="16" max="16" width="9.140625" style="41" customWidth="1"/>
    <col min="17" max="17" width="16.140625" style="2" customWidth="1"/>
    <col min="18" max="18" width="9.140625" style="41" customWidth="1"/>
    <col min="19" max="19" width="9.140625" style="2" customWidth="1"/>
    <col min="20" max="20" width="9.140625" style="41" customWidth="1"/>
    <col min="21" max="21" width="9.140625" style="2" customWidth="1"/>
    <col min="22" max="22" width="9.140625" style="41" customWidth="1"/>
    <col min="23" max="24" width="9.140625" style="2" customWidth="1"/>
    <col min="25" max="25" width="14.42578125" style="2" customWidth="1"/>
    <col min="26" max="28" width="9.140625" style="2" customWidth="1"/>
    <col min="29" max="29" width="13" style="2" customWidth="1"/>
    <col min="30" max="30" width="9.140625" style="2" customWidth="1"/>
    <col min="31" max="31" width="13" style="2" customWidth="1"/>
    <col min="32" max="32" width="9.140625" style="2" customWidth="1"/>
    <col min="33" max="16384" width="9.140625" style="2"/>
  </cols>
  <sheetData>
    <row r="1" spans="1:59" ht="15.75" customHeight="1">
      <c r="A1" s="5" t="s">
        <v>0</v>
      </c>
      <c r="B1" s="37" t="s">
        <v>60</v>
      </c>
      <c r="C1" s="38" t="s">
        <v>61</v>
      </c>
      <c r="D1" s="39" t="s">
        <v>3</v>
      </c>
      <c r="E1" s="40" t="s">
        <v>735</v>
      </c>
      <c r="G1" s="2558">
        <f>14*60*1000*SpeedFaktor</f>
        <v>840000</v>
      </c>
      <c r="H1" s="41">
        <v>10</v>
      </c>
      <c r="AH1" s="2" t="s">
        <v>5</v>
      </c>
      <c r="BG1" s="7" t="s">
        <v>5</v>
      </c>
    </row>
    <row r="2" spans="1:59" s="185" customFormat="1" ht="15.75" customHeight="1">
      <c r="A2" s="21">
        <v>1</v>
      </c>
      <c r="B2" s="13" t="s">
        <v>21</v>
      </c>
      <c r="C2" s="44" t="str">
        <f>B60</f>
        <v>{"url":"https://dev.aventis.swiss"}</v>
      </c>
      <c r="E2" s="45" t="str">
        <f t="shared" ref="E2:E7" si="0">F2&amp;G2&amp;H2&amp;I2&amp;J2&amp;K2&amp;L2&amp;M2&amp;N2&amp;O2&amp;P2&amp;Q2&amp;R2&amp;S2&amp;T2&amp;U2&amp;V2&amp;W2&amp;X2</f>
        <v>{"url":"https://dev.aventis.swiss"}</v>
      </c>
      <c r="F2" s="46" t="s">
        <v>67</v>
      </c>
      <c r="G2" s="47" t="s">
        <v>68</v>
      </c>
      <c r="H2" s="46" t="s">
        <v>37</v>
      </c>
      <c r="J2" s="46"/>
      <c r="L2" s="46"/>
      <c r="N2" s="46"/>
      <c r="P2" s="46"/>
      <c r="R2" s="46"/>
      <c r="T2" s="46"/>
      <c r="V2" s="46"/>
    </row>
    <row r="3" spans="1:59" s="185" customFormat="1" ht="15.75" customHeight="1">
      <c r="A3" s="21">
        <v>2</v>
      </c>
      <c r="B3" s="24" t="s">
        <v>25</v>
      </c>
      <c r="C3" s="437" t="str">
        <f>E3</f>
        <v>{"username":"bern.sozialarbeiterin1a@diartis.ch","password":"SMze97-jkSJ59!F.","fullname":"Sozialarbeiterin 1A Bern","team":"Sozialarbeit Bern 1"}</v>
      </c>
      <c r="D3" s="13" t="s">
        <v>28</v>
      </c>
      <c r="E3" s="45" t="str">
        <f t="shared" si="0"/>
        <v>{"username":"bern.sozialarbeiterin1a@diartis.ch","password":"SMze97-jkSJ59!F.","fullname":"Sozialarbeiterin 1A Bern","team":"Sozialarbeit Bern 1"}</v>
      </c>
      <c r="F3" s="46" t="s">
        <v>29</v>
      </c>
      <c r="G3" s="13" t="s">
        <v>71</v>
      </c>
      <c r="H3" s="46" t="s">
        <v>31</v>
      </c>
      <c r="I3" s="13" t="s">
        <v>72</v>
      </c>
      <c r="J3" s="46" t="s">
        <v>73</v>
      </c>
      <c r="K3" s="13" t="s">
        <v>74</v>
      </c>
      <c r="L3" s="46" t="s">
        <v>75</v>
      </c>
      <c r="M3" s="13" t="s">
        <v>76</v>
      </c>
      <c r="N3" s="46" t="s">
        <v>37</v>
      </c>
      <c r="P3" s="46"/>
      <c r="R3" s="46"/>
      <c r="T3" s="46"/>
      <c r="V3" s="46"/>
    </row>
    <row r="4" spans="1:59" s="185" customFormat="1" ht="15.75" customHeight="1">
      <c r="A4" s="21">
        <v>3</v>
      </c>
      <c r="B4" s="13" t="s">
        <v>77</v>
      </c>
      <c r="C4" s="19" t="str">
        <f>E4</f>
        <v>{"name":p.FamilyName2,"vorname":p.ManFirstName2,"ahvNumber":"","geburtsdatum":""}</v>
      </c>
      <c r="D4" s="13" t="s">
        <v>28</v>
      </c>
      <c r="E4" s="45" t="str">
        <f t="shared" si="0"/>
        <v>{"name":p.FamilyName2,"vorname":p.ManFirstName2,"ahvNumber":"","geburtsdatum":""}</v>
      </c>
      <c r="F4" s="61" t="s">
        <v>78</v>
      </c>
      <c r="G4" s="13" t="str">
        <f>G64</f>
        <v>p.FamilyName2</v>
      </c>
      <c r="H4" s="46" t="s">
        <v>79</v>
      </c>
      <c r="I4" s="13" t="str">
        <f>H63</f>
        <v>p.ManFirstName2</v>
      </c>
      <c r="J4" s="46" t="s">
        <v>80</v>
      </c>
      <c r="L4" s="46" t="s">
        <v>81</v>
      </c>
      <c r="M4" s="63"/>
      <c r="N4" s="46" t="s">
        <v>37</v>
      </c>
      <c r="P4" s="46"/>
      <c r="R4" s="46"/>
      <c r="T4" s="46"/>
      <c r="V4" s="46"/>
      <c r="Y4" s="13" t="s">
        <v>1144</v>
      </c>
      <c r="Z4" s="13" t="s">
        <v>1145</v>
      </c>
      <c r="AA4" s="13" t="s">
        <v>1146</v>
      </c>
      <c r="AB4" s="13" t="s">
        <v>1147</v>
      </c>
      <c r="AC4" s="13" t="s">
        <v>1148</v>
      </c>
    </row>
    <row r="5" spans="1:59" s="185" customFormat="1" ht="15.75" customHeight="1">
      <c r="A5" s="21">
        <v>4</v>
      </c>
      <c r="B5" s="11" t="s">
        <v>82</v>
      </c>
      <c r="C5" s="38" t="str">
        <f>E5</f>
        <v>{"name":p.FamilyName2,"vorname":p.ManFirstName2,"ahvNumber":p.AHVNumber5,"language":"Deutsch","zivilstand":"ledig","geburtsdatum":p.BirthdayAdult2,"national":"Schweiz","gender":"männlich","aufenthalt":""}</v>
      </c>
      <c r="D5" s="13" t="s">
        <v>28</v>
      </c>
      <c r="E5" s="45" t="str">
        <f t="shared" si="0"/>
        <v>{"name":p.FamilyName2,"vorname":p.ManFirstName2,"ahvNumber":p.AHVNumber5,"language":"Deutsch","zivilstand":"ledig","geburtsdatum":p.BirthdayAdult2,"national":"Schweiz","gender":"männlich","aufenthalt":""}</v>
      </c>
      <c r="F5" s="61" t="s">
        <v>78</v>
      </c>
      <c r="G5" s="13" t="str">
        <f>G4</f>
        <v>p.FamilyName2</v>
      </c>
      <c r="H5" s="46" t="s">
        <v>79</v>
      </c>
      <c r="I5" s="13" t="str">
        <f>I4</f>
        <v>p.ManFirstName2</v>
      </c>
      <c r="J5" s="46" t="s">
        <v>83</v>
      </c>
      <c r="K5" s="13" t="str">
        <f>I63</f>
        <v>p.AHVNumber5</v>
      </c>
      <c r="L5" s="46" t="s">
        <v>84</v>
      </c>
      <c r="M5" s="63" t="s">
        <v>85</v>
      </c>
      <c r="N5" s="46" t="s">
        <v>86</v>
      </c>
      <c r="O5" s="13" t="s">
        <v>87</v>
      </c>
      <c r="P5" s="46" t="s">
        <v>88</v>
      </c>
      <c r="Q5" s="65" t="str">
        <f>J63</f>
        <v>p.BirthdayAdult2</v>
      </c>
      <c r="R5" s="46" t="s">
        <v>89</v>
      </c>
      <c r="S5" s="13" t="s">
        <v>90</v>
      </c>
      <c r="T5" s="46" t="s">
        <v>91</v>
      </c>
      <c r="U5" s="13" t="s">
        <v>92</v>
      </c>
      <c r="V5" s="46" t="s">
        <v>93</v>
      </c>
      <c r="X5" s="13" t="s">
        <v>37</v>
      </c>
      <c r="Y5" s="13" t="str">
        <f ca="1">"756"&amp;RIGHT(AC5,9)&amp;Z5</f>
        <v>7564433739317</v>
      </c>
      <c r="Z5" s="182">
        <f ca="1">ROUNDUP(SUM(LEFT($AC5,1)*1+RIGHT(LEFT($AC5,12),1)*3+RIGHT(LEFT($AC5,11),1)*1+RIGHT(LEFT($AC5,10),1)*3+RIGHT(LEFT($AC5,9),1)*1+RIGHT(LEFT($AC5,8),1)*3+RIGHT(LEFT($AC5,7),1)*1+RIGHT(LEFT($AC5,6),1)*3+RIGHT(LEFT($AC5,5),1)*1+RIGHT(LEFT($AC5,4),1)*3+RIGHT(LEFT($AC5,3),1)*1+RIGHT(LEFT($AC5,2),1)*3)/10,0)*10 - SUM(LEFT($AC5,1)*1+RIGHT(LEFT($AC5,12),1)*3+RIGHT(LEFT($AC5,11),1)*1+RIGHT(LEFT($AC5,10),1)*3+RIGHT(LEFT($AC5,9),1)*1+RIGHT(LEFT($AC5,8),1)*3+RIGHT(LEFT($AC5,7),1)*1+RIGHT(LEFT($AC5,6),1)*3+RIGHT(LEFT($AC5,5),1)*1+RIGHT(LEFT($AC5,4),1)*3+RIGHT(LEFT($AC5,3),1)*1+RIGHT(LEFT($AC5,2),1)*3)</f>
        <v>7</v>
      </c>
      <c r="AA5" s="13" t="s">
        <v>90</v>
      </c>
      <c r="AB5" s="13" t="s">
        <v>1149</v>
      </c>
      <c r="AC5" s="66">
        <f ca="1">AE5+AF5</f>
        <v>756443373931</v>
      </c>
      <c r="AE5" s="66">
        <v>756443000000</v>
      </c>
      <c r="AF5" s="66">
        <f ca="1">RANDBETWEEN(0,999999)</f>
        <v>373931</v>
      </c>
    </row>
    <row r="6" spans="1:59" s="185" customFormat="1" ht="15.75" customHeight="1">
      <c r="A6" s="21">
        <v>5</v>
      </c>
      <c r="B6" s="13" t="s">
        <v>94</v>
      </c>
      <c r="C6" s="38" t="str">
        <f ca="1">E6</f>
        <v>{"mobile":"079 5688463","privateNumber":"079 5687014","email":"8631abc@gmail.com"}</v>
      </c>
      <c r="D6" s="13" t="s">
        <v>28</v>
      </c>
      <c r="E6" s="45" t="str">
        <f t="shared" ca="1" si="0"/>
        <v>{"mobile":"079 5688463","privateNumber":"079 5687014","email":"8631abc@gmail.com"}</v>
      </c>
      <c r="F6" s="61" t="s">
        <v>95</v>
      </c>
      <c r="G6" s="13" t="str">
        <f ca="1">"079 "&amp;RANDBETWEEN(5234500,5699999)</f>
        <v>079 5688463</v>
      </c>
      <c r="H6" s="46" t="s">
        <v>96</v>
      </c>
      <c r="I6" s="13" t="str">
        <f ca="1">"079 "&amp;RANDBETWEEN(5234500,5699999)</f>
        <v>079 5687014</v>
      </c>
      <c r="J6" s="46" t="s">
        <v>97</v>
      </c>
      <c r="K6" s="47" t="s">
        <v>1156</v>
      </c>
      <c r="L6" s="46" t="s">
        <v>37</v>
      </c>
      <c r="N6" s="46"/>
      <c r="P6" s="46"/>
      <c r="R6" s="46"/>
      <c r="T6" s="46"/>
      <c r="V6" s="46"/>
      <c r="AB6" s="13">
        <v>756</v>
      </c>
      <c r="AC6" s="66" t="s">
        <v>1151</v>
      </c>
    </row>
    <row r="7" spans="1:59" s="185" customFormat="1" ht="15.75" customHeight="1">
      <c r="A7" s="21">
        <v>6</v>
      </c>
      <c r="B7" s="13" t="s">
        <v>99</v>
      </c>
      <c r="C7" s="38" t="str">
        <f ca="1">E7</f>
        <v>{"zusatz":"","strasse":"Strasse_452","houseNumber":"81","ort":"3053 Münchenbuchsee","validDate":"21.5.2021"}</v>
      </c>
      <c r="D7" s="13" t="s">
        <v>28</v>
      </c>
      <c r="E7" s="45" t="str">
        <f t="shared" ca="1" si="0"/>
        <v>{"zusatz":"","strasse":"Strasse_452","houseNumber":"81","ort":"3053 Münchenbuchsee","validDate":"21.5.2021"}</v>
      </c>
      <c r="F7" s="46" t="s">
        <v>100</v>
      </c>
      <c r="H7" s="46" t="s">
        <v>101</v>
      </c>
      <c r="I7" s="13" t="str">
        <f ca="1">"Strasse_"&amp;RANDBETWEEN(1,1000)</f>
        <v>Strasse_452</v>
      </c>
      <c r="J7" s="46" t="s">
        <v>102</v>
      </c>
      <c r="K7" s="13">
        <f ca="1">RANDBETWEEN(1,100)</f>
        <v>81</v>
      </c>
      <c r="L7" s="46" t="s">
        <v>103</v>
      </c>
      <c r="M7" s="13" t="s">
        <v>104</v>
      </c>
      <c r="N7" s="46" t="s">
        <v>105</v>
      </c>
      <c r="O7" s="65" t="str">
        <f ca="1">TEXT(RANDBETWEEN(1,28)&amp;"."&amp;RANDBETWEEN(1,12)&amp;"."&amp;TEXT(TODAY()-4*365,"YYYY"),"DD.MM.YYYY")</f>
        <v>21.5.2021</v>
      </c>
      <c r="P7" s="46" t="s">
        <v>37</v>
      </c>
      <c r="R7" s="46"/>
      <c r="T7" s="46"/>
      <c r="V7" s="46"/>
    </row>
    <row r="8" spans="1:59" s="185" customFormat="1" ht="15.75" customHeight="1">
      <c r="A8" s="21">
        <v>7</v>
      </c>
      <c r="B8" s="13" t="s">
        <v>106</v>
      </c>
      <c r="C8" s="38" t="s">
        <v>326</v>
      </c>
      <c r="D8" s="13" t="s">
        <v>28</v>
      </c>
      <c r="E8" s="45"/>
      <c r="F8" s="46"/>
      <c r="H8" s="46"/>
      <c r="J8" s="46"/>
      <c r="L8" s="46"/>
      <c r="N8" s="46"/>
      <c r="P8" s="46"/>
      <c r="R8" s="46"/>
      <c r="T8" s="46"/>
      <c r="V8" s="46"/>
    </row>
    <row r="9" spans="1:59" s="185" customFormat="1" ht="15.75" customHeight="1">
      <c r="A9" s="21">
        <v>8</v>
      </c>
      <c r="B9" s="13" t="s">
        <v>110</v>
      </c>
      <c r="C9" s="38"/>
      <c r="D9" s="13" t="s">
        <v>28</v>
      </c>
      <c r="E9" s="45"/>
      <c r="F9" s="46"/>
      <c r="H9" s="46"/>
      <c r="J9" s="46"/>
      <c r="L9" s="46"/>
      <c r="N9" s="46"/>
      <c r="P9" s="46"/>
      <c r="R9" s="46"/>
      <c r="T9" s="46"/>
      <c r="V9" s="46"/>
    </row>
    <row r="10" spans="1:59" s="185" customFormat="1" ht="15.75" customHeight="1">
      <c r="A10" s="21">
        <v>9</v>
      </c>
      <c r="B10" s="13" t="s">
        <v>111</v>
      </c>
      <c r="C10" s="38" t="str">
        <f>E10</f>
        <v>{"zust_Gemeinde":"Münchenbuchsee","zust_SozTeam":"Sozialarbeit Bern 1","zust_SozMitarbeiter":"Bern Sozialarbeiterin 1A","zust_SachbTeam":"Sachbearbeitung Bern","zust_SachbMitarbeiter":"Bern Sachbearbeiterin"}</v>
      </c>
      <c r="D10" s="13" t="s">
        <v>28</v>
      </c>
      <c r="E10" s="13" t="str">
        <f t="shared" ref="E10:E25" si="1">F10&amp;G10&amp;H10&amp;I10&amp;J10&amp;K10&amp;L10&amp;M10&amp;N10&amp;O10&amp;P10&amp;Q10&amp;R10&amp;S10&amp;T10&amp;U10&amp;V10&amp;W10&amp;X10</f>
        <v>{"zust_Gemeinde":"Münchenbuchsee","zust_SozTeam":"Sozialarbeit Bern 1","zust_SozMitarbeiter":"Bern Sozialarbeiterin 1A","zust_SachbTeam":"Sachbearbeitung Bern","zust_SachbMitarbeiter":"Bern Sachbearbeiterin"}</v>
      </c>
      <c r="F10" s="46" t="s">
        <v>112</v>
      </c>
      <c r="G10" s="13" t="s">
        <v>113</v>
      </c>
      <c r="H10" s="46" t="s">
        <v>114</v>
      </c>
      <c r="I10" s="13" t="s">
        <v>76</v>
      </c>
      <c r="J10" s="46" t="s">
        <v>115</v>
      </c>
      <c r="K10" s="13" t="s">
        <v>116</v>
      </c>
      <c r="L10" s="46" t="s">
        <v>117</v>
      </c>
      <c r="M10" s="13" t="s">
        <v>118</v>
      </c>
      <c r="N10" s="46" t="s">
        <v>119</v>
      </c>
      <c r="O10" s="13" t="s">
        <v>120</v>
      </c>
      <c r="P10" s="46" t="s">
        <v>37</v>
      </c>
      <c r="R10" s="46"/>
      <c r="T10" s="46"/>
      <c r="V10" s="46"/>
    </row>
    <row r="11" spans="1:59" s="185" customFormat="1" ht="15.75" customHeight="1">
      <c r="A11" s="21">
        <v>10</v>
      </c>
      <c r="B11" s="11" t="s">
        <v>122</v>
      </c>
      <c r="C11" s="38" t="str">
        <f ca="1">E11</f>
        <v>{"dossierBezeichnung":p.DossierName2,"eroeffnetAm":"04.11.2025","dossierSprache":"Deutsch"}</v>
      </c>
      <c r="D11" s="13" t="s">
        <v>28</v>
      </c>
      <c r="E11" s="45" t="str">
        <f t="shared" ca="1" si="1"/>
        <v>{"dossierBezeichnung":p.DossierName2,"eroeffnetAm":"04.11.2025","dossierSprache":"Deutsch"}</v>
      </c>
      <c r="F11" s="46" t="s">
        <v>123</v>
      </c>
      <c r="G11" s="13" t="str">
        <f>G63</f>
        <v>p.DossierName2</v>
      </c>
      <c r="H11" s="46" t="s">
        <v>124</v>
      </c>
      <c r="I11" s="65" t="str">
        <f ca="1">TEXT(TEXT(TODAY(),"DD")&amp;"."&amp;TEXT(TODAY(),"MM")&amp;"."&amp;TEXT(TODAY(),"YYYY"),"DD.MM.YYYY")</f>
        <v>04.11.2025</v>
      </c>
      <c r="J11" s="46" t="s">
        <v>125</v>
      </c>
      <c r="K11" s="13" t="s">
        <v>85</v>
      </c>
      <c r="L11" s="46" t="s">
        <v>37</v>
      </c>
      <c r="N11" s="46"/>
      <c r="P11" s="46"/>
      <c r="R11" s="46"/>
      <c r="T11" s="46"/>
      <c r="V11" s="46"/>
    </row>
    <row r="12" spans="1:59" s="438" customFormat="1" ht="15.75" customHeight="1">
      <c r="A12" s="21">
        <v>11</v>
      </c>
      <c r="B12" s="24" t="s">
        <v>134</v>
      </c>
      <c r="C12" s="437" t="str">
        <f>E12</f>
        <v>{"username":"Bern.Sachbearbeiterin@diartis.ch","password":"XXxa22?pdTA66-S@"}</v>
      </c>
      <c r="D12" s="82" t="s">
        <v>28</v>
      </c>
      <c r="E12" s="83" t="str">
        <f t="shared" si="1"/>
        <v>{"username":"Bern.Sachbearbeiterin@diartis.ch","password":"XXxa22?pdTA66-S@"}</v>
      </c>
      <c r="F12" s="84" t="s">
        <v>29</v>
      </c>
      <c r="G12" s="85" t="s">
        <v>30</v>
      </c>
      <c r="H12" s="84" t="s">
        <v>31</v>
      </c>
      <c r="I12" s="86" t="s">
        <v>32</v>
      </c>
      <c r="J12" s="84" t="s">
        <v>37</v>
      </c>
      <c r="K12" s="87"/>
      <c r="L12" s="84"/>
      <c r="N12" s="84"/>
      <c r="P12" s="84"/>
      <c r="R12" s="84"/>
      <c r="T12" s="84"/>
      <c r="V12" s="84"/>
    </row>
    <row r="13" spans="1:59" s="67" customFormat="1" ht="15.75" customHeight="1">
      <c r="A13" s="21">
        <v>12</v>
      </c>
      <c r="B13" s="54" t="s">
        <v>139</v>
      </c>
      <c r="C13" s="89" t="str">
        <f>E13</f>
        <v>{"searchDossierOrKlient":p.DossierName2,"resultType":"Dossiers"}</v>
      </c>
      <c r="D13" s="90" t="s">
        <v>28</v>
      </c>
      <c r="E13" s="91" t="str">
        <f t="shared" si="1"/>
        <v>{"searchDossierOrKlient":p.DossierName2,"resultType":"Dossiers"}</v>
      </c>
      <c r="F13" s="92" t="s">
        <v>140</v>
      </c>
      <c r="G13" s="133" t="str">
        <f>'00y'!$G$11</f>
        <v>p.DossierName2</v>
      </c>
      <c r="H13" s="92" t="s">
        <v>141</v>
      </c>
      <c r="I13" s="90" t="s">
        <v>142</v>
      </c>
      <c r="J13" s="92" t="s">
        <v>37</v>
      </c>
      <c r="L13" s="92"/>
      <c r="N13" s="92"/>
      <c r="P13" s="92"/>
      <c r="R13" s="92"/>
      <c r="T13" s="92"/>
      <c r="V13" s="92"/>
    </row>
    <row r="14" spans="1:59" s="439" customFormat="1" ht="15.75" customHeight="1">
      <c r="A14" s="21">
        <v>13</v>
      </c>
      <c r="B14" s="75" t="s">
        <v>127</v>
      </c>
      <c r="C14" s="38" t="str">
        <f>E14</f>
        <v>{"dossierInstitution":p.DossierName2,"klientschaft":`${p.FamilyName2}, ${p.ManFirstName2}`,"buttonBewilligung":"Anfragen","checkStatus":"In Bearbeitung"}</v>
      </c>
      <c r="D14" s="76" t="s">
        <v>28</v>
      </c>
      <c r="E14" s="77" t="str">
        <f t="shared" si="1"/>
        <v>{"dossierInstitution":p.DossierName2,"klientschaft":`${p.FamilyName2}, ${p.ManFirstName2}`,"buttonBewilligung":"Anfragen","checkStatus":"In Bearbeitung"}</v>
      </c>
      <c r="F14" s="78" t="s">
        <v>128</v>
      </c>
      <c r="G14" s="80" t="str">
        <f>'00y'!$G$11</f>
        <v>p.DossierName2</v>
      </c>
      <c r="H14" s="78" t="s">
        <v>129</v>
      </c>
      <c r="I14" s="76" t="str">
        <f>I22</f>
        <v>${p.FamilyName2}, ${p.ManFirstName2}</v>
      </c>
      <c r="J14" s="78" t="s">
        <v>130</v>
      </c>
      <c r="K14" s="80" t="s">
        <v>131</v>
      </c>
      <c r="L14" s="78" t="s">
        <v>132</v>
      </c>
      <c r="M14" s="78" t="s">
        <v>133</v>
      </c>
      <c r="N14" s="78" t="s">
        <v>37</v>
      </c>
      <c r="P14" s="78"/>
      <c r="R14" s="78"/>
      <c r="T14" s="78"/>
      <c r="V14" s="78"/>
    </row>
    <row r="15" spans="1:59" s="10" customFormat="1" ht="15.75" customHeight="1">
      <c r="A15" s="449">
        <v>43</v>
      </c>
      <c r="B15" s="440" t="s">
        <v>134</v>
      </c>
      <c r="C15" s="441" t="s">
        <v>138</v>
      </c>
      <c r="D15" s="10" t="s">
        <v>28</v>
      </c>
      <c r="E15" s="12" t="s">
        <v>1152</v>
      </c>
      <c r="F15" s="442" t="s">
        <v>29</v>
      </c>
      <c r="G15" s="10" t="s">
        <v>30</v>
      </c>
      <c r="H15" s="442" t="s">
        <v>31</v>
      </c>
      <c r="I15" s="10" t="s">
        <v>32</v>
      </c>
      <c r="J15" s="442" t="s">
        <v>37</v>
      </c>
      <c r="L15" s="442"/>
      <c r="N15" s="442"/>
      <c r="P15" s="442"/>
      <c r="R15" s="442"/>
      <c r="T15" s="442"/>
      <c r="V15" s="442"/>
    </row>
    <row r="16" spans="1:59" s="439" customFormat="1" ht="15.75" customHeight="1">
      <c r="A16" s="21">
        <v>15</v>
      </c>
      <c r="B16" s="75" t="s">
        <v>127</v>
      </c>
      <c r="C16" s="38" t="str">
        <f t="shared" ref="C16:C25" si="2">E16</f>
        <v>{"dossierInstitution":p.DossierName2,"klientschaft":`${p.FamilyName2}, ${p.ManFirstName2}`,"buttonBewilligung":"Bewilligen","checkStatus":"Bewilligt"}</v>
      </c>
      <c r="D16" s="76" t="s">
        <v>28</v>
      </c>
      <c r="E16" s="77" t="str">
        <f t="shared" si="1"/>
        <v>{"dossierInstitution":p.DossierName2,"klientschaft":`${p.FamilyName2}, ${p.ManFirstName2}`,"buttonBewilligung":"Bewilligen","checkStatus":"Bewilligt"}</v>
      </c>
      <c r="F16" s="78" t="s">
        <v>128</v>
      </c>
      <c r="G16" s="80" t="str">
        <f>'00y'!$G$11</f>
        <v>p.DossierName2</v>
      </c>
      <c r="H16" s="78" t="s">
        <v>129</v>
      </c>
      <c r="I16" s="76" t="str">
        <f>I22</f>
        <v>${p.FamilyName2}, ${p.ManFirstName2}</v>
      </c>
      <c r="J16" s="78" t="s">
        <v>130</v>
      </c>
      <c r="K16" s="80" t="s">
        <v>136</v>
      </c>
      <c r="L16" s="78" t="s">
        <v>132</v>
      </c>
      <c r="M16" s="78" t="s">
        <v>137</v>
      </c>
      <c r="N16" s="78" t="s">
        <v>37</v>
      </c>
      <c r="P16" s="78"/>
      <c r="R16" s="78"/>
      <c r="T16" s="78"/>
      <c r="V16" s="78"/>
    </row>
    <row r="17" spans="1:32" s="185" customFormat="1" ht="15.75" customHeight="1">
      <c r="A17" s="21">
        <v>16</v>
      </c>
      <c r="B17" s="443" t="s">
        <v>143</v>
      </c>
      <c r="C17" s="38" t="str">
        <f t="shared" si="2"/>
        <v>{"vermieter":"Graber Immobilien, 3000 Bern","wohnungsgrosse":"4 Zimmer","mietkosten":1200,"nebenkosten":100}</v>
      </c>
      <c r="D17" s="13" t="s">
        <v>28</v>
      </c>
      <c r="E17" s="45" t="str">
        <f t="shared" si="1"/>
        <v>{"vermieter":"Graber Immobilien, 3000 Bern","wohnungsgrosse":"4 Zimmer","mietkosten":1200,"nebenkosten":100}</v>
      </c>
      <c r="F17" s="46" t="s">
        <v>144</v>
      </c>
      <c r="G17" s="93" t="s">
        <v>267</v>
      </c>
      <c r="H17" s="46" t="s">
        <v>146</v>
      </c>
      <c r="I17" s="13" t="s">
        <v>147</v>
      </c>
      <c r="J17" s="46" t="s">
        <v>148</v>
      </c>
      <c r="K17" s="13">
        <v>1200</v>
      </c>
      <c r="L17" s="46" t="s">
        <v>149</v>
      </c>
      <c r="M17" s="13">
        <v>100</v>
      </c>
      <c r="N17" s="46" t="s">
        <v>109</v>
      </c>
      <c r="P17" s="46"/>
      <c r="R17" s="46"/>
      <c r="T17" s="46"/>
      <c r="V17" s="46"/>
    </row>
    <row r="18" spans="1:32" s="185" customFormat="1" ht="15.75" customHeight="1">
      <c r="A18" s="21">
        <v>17</v>
      </c>
      <c r="B18" s="94" t="s">
        <v>150</v>
      </c>
      <c r="C18" s="38" t="str">
        <f t="shared" ca="1" si="2"/>
        <v>{"name":p.FamilyName2,"vorname":p.WomanFirstName2,"geburtsdatum":p.BirthdayAdult3,"ahvNumber":p.AHVNumber6,"personInhausltVon":"01.11.2024","inHauslt":"Übernehmen","ereignis":"Eheschliessung"}</v>
      </c>
      <c r="D18" s="13" t="s">
        <v>28</v>
      </c>
      <c r="E18" s="45" t="str">
        <f t="shared" ca="1" si="1"/>
        <v>{"name":p.FamilyName2,"vorname":p.WomanFirstName2,"geburtsdatum":p.BirthdayAdult3,"ahvNumber":p.AHVNumber6,"personInhausltVon":"01.11.2024","inHauslt":"Übernehmen","ereignis":"Eheschliessung"}</v>
      </c>
      <c r="F18" s="46" t="s">
        <v>78</v>
      </c>
      <c r="G18" s="13" t="str">
        <f>G5</f>
        <v>p.FamilyName2</v>
      </c>
      <c r="H18" s="46" t="s">
        <v>79</v>
      </c>
      <c r="I18" s="13" t="str">
        <f>H64</f>
        <v>p.WomanFirstName2</v>
      </c>
      <c r="J18" s="46" t="s">
        <v>151</v>
      </c>
      <c r="K18" s="65" t="str">
        <f>J64</f>
        <v>p.BirthdayAdult3</v>
      </c>
      <c r="L18" s="46" t="s">
        <v>83</v>
      </c>
      <c r="M18" s="13" t="str">
        <f>I64</f>
        <v>p.AHVNumber6</v>
      </c>
      <c r="N18" s="46" t="s">
        <v>152</v>
      </c>
      <c r="O18" s="65" t="str">
        <f ca="1">"01."&amp;MONTH(TODAY())&amp;".2024"</f>
        <v>01.11.2024</v>
      </c>
      <c r="P18" s="46" t="s">
        <v>153</v>
      </c>
      <c r="Q18" s="13" t="s">
        <v>154</v>
      </c>
      <c r="R18" s="46" t="s">
        <v>155</v>
      </c>
      <c r="S18" s="13" t="s">
        <v>156</v>
      </c>
      <c r="T18" s="46" t="s">
        <v>37</v>
      </c>
      <c r="V18" s="46"/>
      <c r="Y18" s="13" t="str">
        <f ca="1">"756"&amp;RIGHT(AC18,9)&amp;Z18</f>
        <v>7564335256387</v>
      </c>
      <c r="Z18" s="182">
        <f ca="1">ROUNDUP(SUM(LEFT($AC18,1)*1+RIGHT(LEFT($AC18,12),1)*3+RIGHT(LEFT($AC18,11),1)*1+RIGHT(LEFT($AC18,10),1)*3+RIGHT(LEFT($AC18,9),1)*1+RIGHT(LEFT($AC18,8),1)*3+RIGHT(LEFT($AC18,7),1)*1+RIGHT(LEFT($AC18,6),1)*3+RIGHT(LEFT($AC18,5),1)*1+RIGHT(LEFT($AC18,4),1)*3+RIGHT(LEFT($AC18,3),1)*1+RIGHT(LEFT($AC18,2),1)*3)/10,0)*10 - SUM(LEFT($AC18,1)*1+RIGHT(LEFT($AC18,12),1)*3+RIGHT(LEFT($AC18,11),1)*1+RIGHT(LEFT($AC18,10),1)*3+RIGHT(LEFT($AC18,9),1)*1+RIGHT(LEFT($AC18,8),1)*3+RIGHT(LEFT($AC18,7),1)*1+RIGHT(LEFT($AC18,6),1)*3+RIGHT(LEFT($AC18,5),1)*1+RIGHT(LEFT($AC18,4),1)*3+RIGHT(LEFT($AC18,3),1)*1+RIGHT(LEFT($AC18,2),1)*3)</f>
        <v>7</v>
      </c>
      <c r="AA18" s="13" t="s">
        <v>90</v>
      </c>
      <c r="AB18" s="13" t="s">
        <v>1149</v>
      </c>
      <c r="AC18" s="66">
        <f ca="1">AE18+AF18</f>
        <v>756433525638</v>
      </c>
      <c r="AE18" s="66">
        <v>756433000000</v>
      </c>
      <c r="AF18" s="66">
        <f ca="1">RANDBETWEEN(0,999999)</f>
        <v>525638</v>
      </c>
    </row>
    <row r="19" spans="1:32" s="185" customFormat="1" ht="15.75" customHeight="1">
      <c r="A19" s="21">
        <v>18</v>
      </c>
      <c r="B19" s="94" t="s">
        <v>150</v>
      </c>
      <c r="C19" s="38" t="str">
        <f t="shared" ca="1" si="2"/>
        <v>{"name":p.FamilyName2,"vorname":p.GirlFirstName2,"geburtsdatum":p.BirthdayKid2,"ahvNumber":p.AHVNumber7,"personInhausltVon":"01.11.2024","inHauslt":"Übernehmen","ereignis":"Geburt"}</v>
      </c>
      <c r="D19" s="13" t="s">
        <v>28</v>
      </c>
      <c r="E19" s="45" t="str">
        <f t="shared" ca="1" si="1"/>
        <v>{"name":p.FamilyName2,"vorname":p.GirlFirstName2,"geburtsdatum":p.BirthdayKid2,"ahvNumber":p.AHVNumber7,"personInhausltVon":"01.11.2024","inHauslt":"Übernehmen","ereignis":"Geburt"}</v>
      </c>
      <c r="F19" s="46" t="s">
        <v>78</v>
      </c>
      <c r="G19" s="13" t="str">
        <f>G18</f>
        <v>p.FamilyName2</v>
      </c>
      <c r="H19" s="46" t="s">
        <v>79</v>
      </c>
      <c r="I19" s="13" t="str">
        <f>H65</f>
        <v>p.GirlFirstName2</v>
      </c>
      <c r="J19" s="46" t="s">
        <v>151</v>
      </c>
      <c r="K19" s="65" t="str">
        <f>J65</f>
        <v>p.BirthdayKid2</v>
      </c>
      <c r="L19" s="46" t="s">
        <v>83</v>
      </c>
      <c r="M19" s="13" t="str">
        <f>I65</f>
        <v>p.AHVNumber7</v>
      </c>
      <c r="N19" s="46" t="s">
        <v>152</v>
      </c>
      <c r="O19" s="65" t="str">
        <f ca="1">"01."&amp;MONTH(TODAY())&amp;".2024"</f>
        <v>01.11.2024</v>
      </c>
      <c r="P19" s="46" t="s">
        <v>153</v>
      </c>
      <c r="Q19" s="13" t="s">
        <v>154</v>
      </c>
      <c r="R19" s="46" t="s">
        <v>155</v>
      </c>
      <c r="S19" s="13" t="s">
        <v>157</v>
      </c>
      <c r="T19" s="46" t="s">
        <v>37</v>
      </c>
      <c r="V19" s="46"/>
      <c r="Y19" s="13" t="str">
        <f ca="1">"756"&amp;RIGHT(AC19,9)&amp;Z19</f>
        <v>7564334420550</v>
      </c>
      <c r="Z19" s="182">
        <f ca="1">ROUNDUP(SUM(LEFT($AC19,1)*1+RIGHT(LEFT($AC19,12),1)*3+RIGHT(LEFT($AC19,11),1)*1+RIGHT(LEFT($AC19,10),1)*3+RIGHT(LEFT($AC19,9),1)*1+RIGHT(LEFT($AC19,8),1)*3+RIGHT(LEFT($AC19,7),1)*1+RIGHT(LEFT($AC19,6),1)*3+RIGHT(LEFT($AC19,5),1)*1+RIGHT(LEFT($AC19,4),1)*3+RIGHT(LEFT($AC19,3),1)*1+RIGHT(LEFT($AC19,2),1)*3)/10,0)*10 - SUM(LEFT($AC19,1)*1+RIGHT(LEFT($AC19,12),1)*3+RIGHT(LEFT($AC19,11),1)*1+RIGHT(LEFT($AC19,10),1)*3+RIGHT(LEFT($AC19,9),1)*1+RIGHT(LEFT($AC19,8),1)*3+RIGHT(LEFT($AC19,7),1)*1+RIGHT(LEFT($AC19,6),1)*3+RIGHT(LEFT($AC19,5),1)*1+RIGHT(LEFT($AC19,4),1)*3+RIGHT(LEFT($AC19,3),1)*1+RIGHT(LEFT($AC19,2),1)*3)</f>
        <v>0</v>
      </c>
      <c r="AA19" s="13" t="s">
        <v>90</v>
      </c>
      <c r="AB19" s="13" t="s">
        <v>1149</v>
      </c>
      <c r="AC19" s="66">
        <f ca="1">AE19+AF19</f>
        <v>756433442055</v>
      </c>
      <c r="AE19" s="66">
        <v>756433000000</v>
      </c>
      <c r="AF19" s="66">
        <f ca="1">RANDBETWEEN(0,999999)</f>
        <v>442055</v>
      </c>
    </row>
    <row r="20" spans="1:32" s="185" customFormat="1" ht="15.75" customHeight="1">
      <c r="A20" s="21">
        <v>19</v>
      </c>
      <c r="B20" s="94" t="s">
        <v>150</v>
      </c>
      <c r="C20" s="38" t="str">
        <f t="shared" ca="1" si="2"/>
        <v>{"name":p.FamilyName2,"vorname":p.ManFirstName3,"geburtsdatum":p.BirthdayKid3,"ahvNumber":p.AHVNumber8,"personInhausltVon":"01.11.2024","inHauslt":"Übernehmen","ereignis":"Geburt"}</v>
      </c>
      <c r="D20" s="13" t="s">
        <v>28</v>
      </c>
      <c r="E20" s="45" t="str">
        <f t="shared" ca="1" si="1"/>
        <v>{"name":p.FamilyName2,"vorname":p.ManFirstName3,"geburtsdatum":p.BirthdayKid3,"ahvNumber":p.AHVNumber8,"personInhausltVon":"01.11.2024","inHauslt":"Übernehmen","ereignis":"Geburt"}</v>
      </c>
      <c r="F20" s="46" t="s">
        <v>78</v>
      </c>
      <c r="G20" s="13" t="str">
        <f>G19</f>
        <v>p.FamilyName2</v>
      </c>
      <c r="H20" s="46" t="s">
        <v>79</v>
      </c>
      <c r="I20" s="13" t="str">
        <f>H66</f>
        <v>p.ManFirstName3</v>
      </c>
      <c r="J20" s="46" t="s">
        <v>151</v>
      </c>
      <c r="K20" s="65" t="str">
        <f>J66</f>
        <v>p.BirthdayKid3</v>
      </c>
      <c r="L20" s="46" t="s">
        <v>83</v>
      </c>
      <c r="M20" s="13" t="str">
        <f>I66</f>
        <v>p.AHVNumber8</v>
      </c>
      <c r="N20" s="46" t="s">
        <v>152</v>
      </c>
      <c r="O20" s="65" t="str">
        <f ca="1">"01."&amp;MONTH(TODAY())&amp;".2024"</f>
        <v>01.11.2024</v>
      </c>
      <c r="P20" s="46" t="s">
        <v>153</v>
      </c>
      <c r="Q20" s="13" t="s">
        <v>154</v>
      </c>
      <c r="R20" s="46" t="s">
        <v>155</v>
      </c>
      <c r="S20" s="13" t="s">
        <v>157</v>
      </c>
      <c r="T20" s="46" t="s">
        <v>37</v>
      </c>
      <c r="V20" s="46"/>
      <c r="Y20" s="13" t="str">
        <f ca="1">"756"&amp;RIGHT(AC20,9)&amp;Z20</f>
        <v>7564333933808</v>
      </c>
      <c r="Z20" s="182">
        <f ca="1">ROUNDUP(SUM(LEFT($AC20,1)*1+RIGHT(LEFT($AC20,12),1)*3+RIGHT(LEFT($AC20,11),1)*1+RIGHT(LEFT($AC20,10),1)*3+RIGHT(LEFT($AC20,9),1)*1+RIGHT(LEFT($AC20,8),1)*3+RIGHT(LEFT($AC20,7),1)*1+RIGHT(LEFT($AC20,6),1)*3+RIGHT(LEFT($AC20,5),1)*1+RIGHT(LEFT($AC20,4),1)*3+RIGHT(LEFT($AC20,3),1)*1+RIGHT(LEFT($AC20,2),1)*3)/10,0)*10 - SUM(LEFT($AC20,1)*1+RIGHT(LEFT($AC20,12),1)*3+RIGHT(LEFT($AC20,11),1)*1+RIGHT(LEFT($AC20,10),1)*3+RIGHT(LEFT($AC20,9),1)*1+RIGHT(LEFT($AC20,8),1)*3+RIGHT(LEFT($AC20,7),1)*1+RIGHT(LEFT($AC20,6),1)*3+RIGHT(LEFT($AC20,5),1)*1+RIGHT(LEFT($AC20,4),1)*3+RIGHT(LEFT($AC20,3),1)*1+RIGHT(LEFT($AC20,2),1)*3)</f>
        <v>8</v>
      </c>
      <c r="AA20" s="13" t="s">
        <v>90</v>
      </c>
      <c r="AB20" s="13" t="s">
        <v>1149</v>
      </c>
      <c r="AC20" s="66">
        <f ca="1">AE20+AF20</f>
        <v>756433393380</v>
      </c>
      <c r="AE20" s="66">
        <v>756433000000</v>
      </c>
      <c r="AF20" s="66">
        <f ca="1">RANDBETWEEN(0,999999)</f>
        <v>393380</v>
      </c>
    </row>
    <row r="21" spans="1:32" s="185" customFormat="1" ht="15.75" customHeight="1">
      <c r="A21" s="21">
        <v>20</v>
      </c>
      <c r="B21" s="443" t="s">
        <v>143</v>
      </c>
      <c r="C21" s="38" t="str">
        <f t="shared" si="2"/>
        <v>{"vermieter":"Graber Immobilien, 3000 Bern","wohnungsgrosse":"4 Zimmer","mietkosten":3000,"nebenkosten":300}</v>
      </c>
      <c r="D21" s="13" t="s">
        <v>28</v>
      </c>
      <c r="E21" s="45" t="str">
        <f t="shared" si="1"/>
        <v>{"vermieter":"Graber Immobilien, 3000 Bern","wohnungsgrosse":"4 Zimmer","mietkosten":3000,"nebenkosten":300}</v>
      </c>
      <c r="F21" s="46" t="s">
        <v>144</v>
      </c>
      <c r="G21" s="93" t="s">
        <v>267</v>
      </c>
      <c r="H21" s="46" t="s">
        <v>146</v>
      </c>
      <c r="I21" s="13" t="s">
        <v>147</v>
      </c>
      <c r="J21" s="46" t="s">
        <v>148</v>
      </c>
      <c r="K21" s="13">
        <v>3000</v>
      </c>
      <c r="L21" s="46" t="s">
        <v>149</v>
      </c>
      <c r="M21" s="13">
        <v>300</v>
      </c>
      <c r="N21" s="46" t="s">
        <v>109</v>
      </c>
      <c r="P21" s="46"/>
      <c r="R21" s="46"/>
      <c r="T21" s="46"/>
      <c r="V21" s="46"/>
    </row>
    <row r="22" spans="1:32" s="185" customFormat="1" ht="15.75" customHeight="1">
      <c r="A22" s="21">
        <v>21</v>
      </c>
      <c r="B22" s="97" t="s">
        <v>158</v>
      </c>
      <c r="C22" s="38" t="str">
        <f t="shared" si="2"/>
        <v>{"dossier":p.DossierName2,"klientschaft":`${p.FamilyName2}, ${p.ManFirstName2}`}</v>
      </c>
      <c r="D22" s="13" t="s">
        <v>28</v>
      </c>
      <c r="E22" s="45" t="str">
        <f t="shared" si="1"/>
        <v>{"dossier":p.DossierName2,"klientschaft":`${p.FamilyName2}, ${p.ManFirstName2}`}</v>
      </c>
      <c r="F22" s="98" t="s">
        <v>159</v>
      </c>
      <c r="G22" s="13" t="str">
        <f>G11</f>
        <v>p.DossierName2</v>
      </c>
      <c r="H22" s="46" t="s">
        <v>129</v>
      </c>
      <c r="I22" s="13" t="str">
        <f>"${"&amp;$G$4&amp;"}, ${"&amp;$I$4&amp;"}"</f>
        <v>${p.FamilyName2}, ${p.ManFirstName2}</v>
      </c>
      <c r="J22" s="46" t="s">
        <v>160</v>
      </c>
      <c r="L22" s="46"/>
      <c r="N22" s="46"/>
      <c r="P22" s="46"/>
      <c r="R22" s="46"/>
      <c r="T22" s="46"/>
      <c r="V22" s="46"/>
    </row>
    <row r="23" spans="1:32" s="185" customFormat="1" ht="15.75" customHeight="1">
      <c r="A23" s="21">
        <v>22</v>
      </c>
      <c r="B23" s="100" t="s">
        <v>161</v>
      </c>
      <c r="C23" s="38" t="str">
        <f t="shared" si="2"/>
        <v>{"panelTitle":"Erwerbssituation / Einnahmen","zahlbarDurch":"BKW Energie AG, 3013 Bern","pensumm":"100","betrag":"1000","gueltigVon":"01.01.2024","gueltigBis":"31.12.2024","checkbox":"x"}</v>
      </c>
      <c r="D23" s="13" t="s">
        <v>28</v>
      </c>
      <c r="E23" s="45" t="str">
        <f t="shared" si="1"/>
        <v>{"panelTitle":"Erwerbssituation / Einnahmen","zahlbarDurch":"BKW Energie AG, 3013 Bern","pensumm":"100","betrag":"1000","gueltigVon":"01.01.2024","gueltigBis":"31.12.2024","checkbox":"x"}</v>
      </c>
      <c r="F23" s="101" t="s">
        <v>268</v>
      </c>
      <c r="G23" s="13" t="s">
        <v>269</v>
      </c>
      <c r="H23" s="46" t="s">
        <v>176</v>
      </c>
      <c r="I23" s="13" t="s">
        <v>270</v>
      </c>
      <c r="J23" s="46" t="s">
        <v>165</v>
      </c>
      <c r="K23" s="13">
        <v>100</v>
      </c>
      <c r="L23" s="46" t="s">
        <v>166</v>
      </c>
      <c r="M23" s="13">
        <v>1000</v>
      </c>
      <c r="N23" s="46" t="s">
        <v>167</v>
      </c>
      <c r="O23" s="63" t="s">
        <v>271</v>
      </c>
      <c r="P23" s="13" t="s">
        <v>168</v>
      </c>
      <c r="Q23" s="63" t="s">
        <v>223</v>
      </c>
      <c r="R23" s="46" t="s">
        <v>169</v>
      </c>
      <c r="S23" s="13" t="s">
        <v>170</v>
      </c>
      <c r="T23" s="46" t="s">
        <v>37</v>
      </c>
      <c r="V23" s="46"/>
    </row>
    <row r="24" spans="1:32" s="444" customFormat="1" ht="15.75" customHeight="1">
      <c r="A24" s="21">
        <v>23</v>
      </c>
      <c r="B24" s="108" t="s">
        <v>139</v>
      </c>
      <c r="C24" s="38" t="str">
        <f t="shared" si="2"/>
        <v>{"searchDossierOrKlient":p.DossierName2,"resultType":"Dossiers"}</v>
      </c>
      <c r="D24" s="56" t="s">
        <v>28</v>
      </c>
      <c r="E24" s="109" t="str">
        <f t="shared" si="1"/>
        <v>{"searchDossierOrKlient":p.DossierName2,"resultType":"Dossiers"}</v>
      </c>
      <c r="F24" s="110" t="s">
        <v>140</v>
      </c>
      <c r="G24" s="160" t="str">
        <f>'00y'!$G$11</f>
        <v>p.DossierName2</v>
      </c>
      <c r="H24" s="110" t="s">
        <v>141</v>
      </c>
      <c r="I24" s="56" t="s">
        <v>142</v>
      </c>
      <c r="J24" s="110" t="s">
        <v>37</v>
      </c>
      <c r="L24" s="110"/>
      <c r="N24" s="110"/>
      <c r="P24" s="110"/>
      <c r="R24" s="110"/>
      <c r="T24" s="110"/>
      <c r="V24" s="110"/>
    </row>
    <row r="25" spans="1:32" s="444" customFormat="1" ht="15.75" customHeight="1">
      <c r="A25" s="21">
        <v>24</v>
      </c>
      <c r="B25" s="112" t="s">
        <v>180</v>
      </c>
      <c r="C25" s="38" t="str">
        <f t="shared" ca="1" si="2"/>
        <v>{"entscheidVom":"04.11.2025","begrundung":"Gar keine Begründung","unterstutzungab":"01.11.2025"}</v>
      </c>
      <c r="D25" s="56" t="s">
        <v>28</v>
      </c>
      <c r="E25" s="109" t="str">
        <f t="shared" ca="1" si="1"/>
        <v>{"entscheidVom":"04.11.2025","begrundung":"Gar keine Begründung","unterstutzungab":"01.11.2025"}</v>
      </c>
      <c r="F25" s="110" t="s">
        <v>181</v>
      </c>
      <c r="G25" s="160" t="str">
        <f ca="1">TEXT(TEXT(TODAY(),"DD")&amp;"."&amp;TEXT(TODAY(),"MM")&amp;"."&amp;TEXT(TODAY(),"YYYY"),"DD.MM.YYYY")</f>
        <v>04.11.2025</v>
      </c>
      <c r="H25" s="110" t="s">
        <v>182</v>
      </c>
      <c r="I25" s="56" t="s">
        <v>183</v>
      </c>
      <c r="J25" s="110" t="s">
        <v>184</v>
      </c>
      <c r="K25" s="160" t="str">
        <f ca="1">TEXT(TEXT(1,"DD")&amp;"."&amp;TEXT(TODAY(),"MM")&amp;"."&amp;TEXT(TODAY(),"YYYY"),"DD.MM.YYYY")</f>
        <v>01.11.2025</v>
      </c>
      <c r="L25" s="110" t="s">
        <v>37</v>
      </c>
      <c r="N25" s="110"/>
      <c r="P25" s="110"/>
      <c r="R25" s="110"/>
      <c r="T25" s="110"/>
      <c r="V25" s="110"/>
    </row>
    <row r="26" spans="1:32" s="445" customFormat="1" ht="15.75" customHeight="1">
      <c r="A26" s="21">
        <v>25</v>
      </c>
      <c r="B26" s="72" t="s">
        <v>22</v>
      </c>
      <c r="C26" s="55" t="s">
        <v>287</v>
      </c>
      <c r="E26" s="57"/>
      <c r="F26" s="58"/>
      <c r="G26" s="73"/>
    </row>
    <row r="27" spans="1:32" s="444" customFormat="1" ht="15.75" customHeight="1">
      <c r="A27" s="21">
        <v>26</v>
      </c>
      <c r="B27" s="113" t="s">
        <v>1153</v>
      </c>
      <c r="C27" s="38" t="str">
        <f ca="1">E27</f>
        <v>{"ubernahmeWohnkostenCFH":"100","uebernahmeWohnkostenVon":"01.11.2025","uebernahmeWohnkostenBis":"27.5.2025","uebernahemBegruendung":"Die Wohnungen sind teuer hier"}</v>
      </c>
      <c r="D27" s="56" t="s">
        <v>28</v>
      </c>
      <c r="E27" s="109" t="str">
        <f ca="1">F27&amp;G27&amp;H27&amp;I27&amp;J27&amp;K27&amp;L27&amp;M27&amp;N27&amp;O27&amp;P27&amp;Q27&amp;R27&amp;S27&amp;T27&amp;U27&amp;V27&amp;W27&amp;X27</f>
        <v>{"ubernahmeWohnkostenCFH":"100","uebernahmeWohnkostenVon":"01.11.2025","uebernahmeWohnkostenBis":"27.5.2025","uebernahemBegruendung":"Die Wohnungen sind teuer hier"}</v>
      </c>
      <c r="F27" s="114" t="s">
        <v>186</v>
      </c>
      <c r="G27" s="56">
        <v>100</v>
      </c>
      <c r="H27" s="56" t="s">
        <v>187</v>
      </c>
      <c r="I27" s="160" t="str">
        <f ca="1">"01."&amp;MONTH(TODAY())&amp;"."&amp;YEAR(TODAY())</f>
        <v>01.11.2025</v>
      </c>
      <c r="J27" s="56" t="s">
        <v>188</v>
      </c>
      <c r="K27" s="160" t="str">
        <f ca="1">"27."&amp;MONTH(TODAY()+180)&amp;"."&amp;YEAR(TODAY())</f>
        <v>27.5.2025</v>
      </c>
      <c r="L27" s="110" t="s">
        <v>189</v>
      </c>
      <c r="M27" s="56" t="s">
        <v>190</v>
      </c>
      <c r="N27" s="110" t="s">
        <v>37</v>
      </c>
    </row>
    <row r="28" spans="1:32" s="445" customFormat="1" ht="15.75" customHeight="1">
      <c r="A28" s="21">
        <v>27</v>
      </c>
      <c r="B28" s="72" t="s">
        <v>22</v>
      </c>
      <c r="C28" s="55" t="s">
        <v>287</v>
      </c>
      <c r="E28" s="57"/>
      <c r="F28" s="58"/>
      <c r="G28" s="73"/>
    </row>
    <row r="29" spans="1:32" s="438" customFormat="1" ht="15.75" customHeight="1">
      <c r="A29" s="21">
        <v>28</v>
      </c>
      <c r="B29" s="115" t="s">
        <v>191</v>
      </c>
      <c r="C29" s="38" t="str">
        <f ca="1">E29</f>
        <v>{"lEvonDate":"04.11.2025","lEbisDate":"04.11.2026","checkStatus":"In Bearbeitung"}</v>
      </c>
      <c r="D29" s="82" t="s">
        <v>28</v>
      </c>
      <c r="E29" s="83" t="str">
        <f ca="1">F29&amp;G29&amp;H29&amp;I29&amp;J29&amp;K29&amp;L29&amp;M29&amp;N29&amp;O29&amp;P29&amp;Q29&amp;R29&amp;S29&amp;T29&amp;U29&amp;V29&amp;W29&amp;X29</f>
        <v>{"lEvonDate":"04.11.2025","lEbisDate":"04.11.2026","checkStatus":"In Bearbeitung"}</v>
      </c>
      <c r="F29" s="84" t="s">
        <v>192</v>
      </c>
      <c r="G29" s="87" t="str">
        <f ca="1">TEXT(TEXT(TODAY(),"DD")&amp;"."&amp;TEXT(TODAY(),"MM")&amp;"."&amp;TEXT(TODAY(),"YYYY"),"DD.MM.YYYY")</f>
        <v>04.11.2025</v>
      </c>
      <c r="H29" s="84" t="s">
        <v>193</v>
      </c>
      <c r="I29" s="87" t="str">
        <f ca="1">TEXT(TEXT(TODAY(),"DD")&amp;"."&amp;TEXT(TODAY(),"MM")&amp;"."&amp;TEXT(TODAY()+360,"YYYY"),"DD.MM.YYYY")</f>
        <v>04.11.2026</v>
      </c>
      <c r="J29" s="84" t="s">
        <v>132</v>
      </c>
      <c r="K29" s="82" t="s">
        <v>133</v>
      </c>
      <c r="L29" s="84" t="s">
        <v>37</v>
      </c>
      <c r="N29" s="84"/>
      <c r="P29" s="84"/>
      <c r="R29" s="84"/>
      <c r="T29" s="84"/>
      <c r="V29" s="84"/>
    </row>
    <row r="30" spans="1:32" s="445" customFormat="1" ht="15.75" customHeight="1">
      <c r="A30" s="21">
        <v>29</v>
      </c>
      <c r="B30" s="72" t="s">
        <v>22</v>
      </c>
      <c r="C30" s="55" t="s">
        <v>287</v>
      </c>
      <c r="E30" s="57"/>
      <c r="F30" s="58"/>
      <c r="G30" s="59"/>
    </row>
    <row r="31" spans="1:32" s="438" customFormat="1" ht="15.75" customHeight="1">
      <c r="A31" s="21">
        <v>30</v>
      </c>
      <c r="B31" s="24" t="s">
        <v>134</v>
      </c>
      <c r="C31" s="437" t="str">
        <f>E31</f>
        <v>{"username":"Bern.Sachbearbeiterin@diartis.ch","password":"XXxa22?pdTA66-S@"}</v>
      </c>
      <c r="D31" s="82" t="s">
        <v>28</v>
      </c>
      <c r="E31" s="83" t="str">
        <f>F31&amp;G31&amp;H31&amp;I31&amp;J31&amp;K31&amp;L31&amp;M31&amp;N31&amp;O31&amp;P31&amp;Q31&amp;R31&amp;S31&amp;T31&amp;U31&amp;V31&amp;W31&amp;X31</f>
        <v>{"username":"Bern.Sachbearbeiterin@diartis.ch","password":"XXxa22?pdTA66-S@"}</v>
      </c>
      <c r="F31" s="84" t="s">
        <v>29</v>
      </c>
      <c r="G31" s="85" t="s">
        <v>30</v>
      </c>
      <c r="H31" s="84" t="s">
        <v>31</v>
      </c>
      <c r="I31" s="86" t="s">
        <v>32</v>
      </c>
      <c r="J31" s="84" t="s">
        <v>37</v>
      </c>
      <c r="K31" s="87"/>
      <c r="L31" s="84"/>
      <c r="N31" s="84"/>
      <c r="P31" s="84"/>
      <c r="R31" s="84"/>
      <c r="T31" s="84"/>
      <c r="V31" s="84"/>
    </row>
    <row r="32" spans="1:32" s="445" customFormat="1" ht="15.75" customHeight="1">
      <c r="A32" s="21">
        <v>31</v>
      </c>
      <c r="B32" s="72" t="s">
        <v>22</v>
      </c>
      <c r="C32" s="55" t="s">
        <v>287</v>
      </c>
      <c r="E32" s="57"/>
      <c r="F32" s="58"/>
      <c r="G32" s="59"/>
    </row>
    <row r="33" spans="1:22" s="438" customFormat="1" ht="15.75" customHeight="1">
      <c r="A33" s="21">
        <v>32</v>
      </c>
      <c r="B33" s="115" t="s">
        <v>273</v>
      </c>
      <c r="C33" s="38" t="str">
        <f>E33</f>
        <v>{"dossier":p.DossierName2,"buttonName":"Prüfung OK","checkStatus":"In Bearbeitung"}</v>
      </c>
      <c r="D33" s="82" t="s">
        <v>28</v>
      </c>
      <c r="E33" s="83" t="str">
        <f>F33&amp;G33&amp;H33&amp;I33&amp;J33&amp;K33&amp;L33&amp;M33&amp;N33&amp;O33&amp;P33&amp;Q33&amp;R33&amp;S33&amp;T33&amp;U33&amp;V33&amp;W33&amp;X33</f>
        <v>{"dossier":p.DossierName2,"buttonName":"Prüfung OK","checkStatus":"In Bearbeitung"}</v>
      </c>
      <c r="F33" s="84" t="s">
        <v>159</v>
      </c>
      <c r="G33" s="87" t="str">
        <f>'00y'!$G$11</f>
        <v>p.DossierName2</v>
      </c>
      <c r="H33" s="84" t="s">
        <v>198</v>
      </c>
      <c r="I33" s="82" t="s">
        <v>199</v>
      </c>
      <c r="J33" s="84" t="s">
        <v>132</v>
      </c>
      <c r="K33" s="82" t="s">
        <v>133</v>
      </c>
      <c r="L33" s="84" t="s">
        <v>37</v>
      </c>
      <c r="N33" s="84"/>
      <c r="P33" s="84"/>
      <c r="R33" s="84"/>
      <c r="T33" s="84"/>
      <c r="V33" s="84"/>
    </row>
    <row r="34" spans="1:22" s="438" customFormat="1" ht="15.75" customHeight="1">
      <c r="A34" s="21">
        <v>33</v>
      </c>
      <c r="B34" s="24" t="s">
        <v>134</v>
      </c>
      <c r="C34" s="437" t="str">
        <f>E34</f>
        <v>{"username":"aventis-gemeinde-ma@diartis.ch","password":"#xFymiADPk7wJG/FWMz"}</v>
      </c>
      <c r="D34" s="82" t="s">
        <v>28</v>
      </c>
      <c r="E34" s="83" t="str">
        <f>F34&amp;G34&amp;H34&amp;I34&amp;J34&amp;K34&amp;L34&amp;M34&amp;N34&amp;O34&amp;P34&amp;Q34&amp;R34&amp;S34&amp;T34&amp;U34&amp;V34&amp;W34&amp;X34</f>
        <v>{"username":"aventis-gemeinde-ma@diartis.ch","password":"#xFymiADPk7wJG/FWMz"}</v>
      </c>
      <c r="F34" s="84" t="s">
        <v>29</v>
      </c>
      <c r="G34" s="85" t="s">
        <v>195</v>
      </c>
      <c r="H34" s="84" t="s">
        <v>31</v>
      </c>
      <c r="I34" s="86" t="s">
        <v>196</v>
      </c>
      <c r="J34" s="84" t="s">
        <v>37</v>
      </c>
      <c r="K34" s="87"/>
      <c r="L34" s="84"/>
      <c r="N34" s="84"/>
      <c r="P34" s="84"/>
      <c r="R34" s="84"/>
      <c r="T34" s="84"/>
      <c r="V34" s="84"/>
    </row>
    <row r="35" spans="1:22" s="445" customFormat="1" ht="15.75" customHeight="1">
      <c r="A35" s="21">
        <v>34</v>
      </c>
      <c r="B35" s="72" t="s">
        <v>22</v>
      </c>
      <c r="C35" s="55" t="s">
        <v>1154</v>
      </c>
      <c r="E35" s="57"/>
      <c r="F35" s="58"/>
      <c r="G35" s="59"/>
    </row>
    <row r="36" spans="1:22" s="438" customFormat="1" ht="15.75" customHeight="1">
      <c r="A36" s="21">
        <v>35</v>
      </c>
      <c r="B36" s="115" t="s">
        <v>273</v>
      </c>
      <c r="C36" s="38" t="str">
        <f t="shared" ref="C36:C46" si="3">E36</f>
        <v>{"dossier":p.DossierName2,"buttonName":"Bewilligen","checkStatus":"Bewilligt"}</v>
      </c>
      <c r="D36" s="82" t="s">
        <v>28</v>
      </c>
      <c r="E36" s="83" t="str">
        <f t="shared" ref="E36:E46" si="4">F36&amp;G36&amp;H36&amp;I36&amp;J36&amp;K36&amp;L36&amp;M36&amp;N36&amp;O36&amp;P36&amp;Q36&amp;R36&amp;S36&amp;T36&amp;U36&amp;V36&amp;W36&amp;X36</f>
        <v>{"dossier":p.DossierName2,"buttonName":"Bewilligen","checkStatus":"Bewilligt"}</v>
      </c>
      <c r="F36" s="84" t="s">
        <v>159</v>
      </c>
      <c r="G36" s="87" t="str">
        <f>'00y'!$G$11</f>
        <v>p.DossierName2</v>
      </c>
      <c r="H36" s="84" t="s">
        <v>198</v>
      </c>
      <c r="I36" s="82" t="s">
        <v>136</v>
      </c>
      <c r="J36" s="84" t="s">
        <v>132</v>
      </c>
      <c r="K36" s="84" t="s">
        <v>137</v>
      </c>
      <c r="L36" s="84" t="s">
        <v>37</v>
      </c>
      <c r="N36" s="84"/>
      <c r="P36" s="84"/>
      <c r="R36" s="84"/>
      <c r="T36" s="84"/>
      <c r="V36" s="84"/>
    </row>
    <row r="37" spans="1:22" s="438" customFormat="1" ht="15.75" customHeight="1">
      <c r="A37" s="21">
        <v>36</v>
      </c>
      <c r="B37" s="19" t="s">
        <v>134</v>
      </c>
      <c r="C37" s="38" t="str">
        <f t="shared" si="3"/>
        <v>{"username":"Bern.Sachbearbeiterin@diartis.ch","password":"XXxa22?pdTA66-S@"}</v>
      </c>
      <c r="D37" s="82" t="s">
        <v>28</v>
      </c>
      <c r="E37" s="83" t="str">
        <f t="shared" si="4"/>
        <v>{"username":"Bern.Sachbearbeiterin@diartis.ch","password":"XXxa22?pdTA66-S@"}</v>
      </c>
      <c r="F37" s="84" t="s">
        <v>29</v>
      </c>
      <c r="G37" s="85" t="s">
        <v>30</v>
      </c>
      <c r="H37" s="84" t="s">
        <v>31</v>
      </c>
      <c r="I37" s="86" t="s">
        <v>32</v>
      </c>
      <c r="J37" s="84" t="s">
        <v>37</v>
      </c>
      <c r="K37" s="87"/>
      <c r="L37" s="84"/>
      <c r="N37" s="84"/>
      <c r="P37" s="84"/>
      <c r="R37" s="84"/>
      <c r="T37" s="84"/>
      <c r="V37" s="84"/>
    </row>
    <row r="38" spans="1:22" s="438" customFormat="1" ht="15.75" customHeight="1">
      <c r="A38" s="21">
        <v>37</v>
      </c>
      <c r="B38" s="56" t="s">
        <v>274</v>
      </c>
      <c r="C38" s="38" t="str">
        <f t="shared" si="3"/>
        <v>{"dossierInstitution":p.DossierName2,"verwendungPeriode":"Dezember 2024","status":"Zu bezahlen"}</v>
      </c>
      <c r="D38" s="82" t="s">
        <v>28</v>
      </c>
      <c r="E38" s="83" t="str">
        <f t="shared" si="4"/>
        <v>{"dossierInstitution":p.DossierName2,"verwendungPeriode":"Dezember 2024","status":"Zu bezahlen"}</v>
      </c>
      <c r="F38" s="84" t="s">
        <v>128</v>
      </c>
      <c r="G38" s="87" t="str">
        <f>'00y'!$G$11</f>
        <v>p.DossierName2</v>
      </c>
      <c r="H38" s="84" t="s">
        <v>275</v>
      </c>
      <c r="I38" s="117" t="s">
        <v>243</v>
      </c>
      <c r="J38" s="84" t="s">
        <v>202</v>
      </c>
      <c r="K38" s="87" t="s">
        <v>203</v>
      </c>
      <c r="L38" s="84" t="s">
        <v>37</v>
      </c>
      <c r="N38" s="84"/>
      <c r="O38" s="84"/>
    </row>
    <row r="39" spans="1:22" s="438" customFormat="1" ht="15.75" customHeight="1">
      <c r="A39" s="21">
        <v>38</v>
      </c>
      <c r="B39" s="56" t="s">
        <v>274</v>
      </c>
      <c r="C39" s="38" t="str">
        <f t="shared" si="3"/>
        <v>{"dossierInstitution":p.DossierName2,"verwendungPeriode":"Juni 2024","status":"Zu bezahlen"}</v>
      </c>
      <c r="D39" s="82" t="s">
        <v>28</v>
      </c>
      <c r="E39" s="83" t="str">
        <f t="shared" si="4"/>
        <v>{"dossierInstitution":p.DossierName2,"verwendungPeriode":"Juni 2024","status":"Zu bezahlen"}</v>
      </c>
      <c r="F39" s="84" t="s">
        <v>128</v>
      </c>
      <c r="G39" s="87" t="str">
        <f>'00y'!$G$11</f>
        <v>p.DossierName2</v>
      </c>
      <c r="H39" s="84" t="s">
        <v>275</v>
      </c>
      <c r="I39" s="117" t="s">
        <v>1155</v>
      </c>
      <c r="J39" s="84" t="s">
        <v>202</v>
      </c>
      <c r="K39" s="87" t="s">
        <v>203</v>
      </c>
      <c r="L39" s="84" t="s">
        <v>37</v>
      </c>
      <c r="N39" s="84"/>
      <c r="O39" s="84"/>
    </row>
    <row r="40" spans="1:22" s="438" customFormat="1" ht="15.75" customHeight="1">
      <c r="A40" s="21">
        <v>39</v>
      </c>
      <c r="B40" s="56" t="s">
        <v>274</v>
      </c>
      <c r="C40" s="38" t="str">
        <f t="shared" si="3"/>
        <v>{"dossierInstitution":p.DossierName2,"verwendungPeriode":"Juli 2024","status":"Zu bezahlen"}</v>
      </c>
      <c r="D40" s="82" t="s">
        <v>28</v>
      </c>
      <c r="E40" s="83" t="str">
        <f t="shared" si="4"/>
        <v>{"dossierInstitution":p.DossierName2,"verwendungPeriode":"Juli 2024","status":"Zu bezahlen"}</v>
      </c>
      <c r="F40" s="84" t="s">
        <v>128</v>
      </c>
      <c r="G40" s="87" t="str">
        <f>'00y'!$G$11</f>
        <v>p.DossierName2</v>
      </c>
      <c r="H40" s="84" t="s">
        <v>275</v>
      </c>
      <c r="I40" s="117" t="s">
        <v>278</v>
      </c>
      <c r="J40" s="84" t="s">
        <v>202</v>
      </c>
      <c r="K40" s="87" t="s">
        <v>203</v>
      </c>
      <c r="L40" s="84" t="s">
        <v>37</v>
      </c>
      <c r="N40" s="84"/>
      <c r="O40" s="84"/>
    </row>
    <row r="41" spans="1:22" s="438" customFormat="1" ht="15.75" customHeight="1">
      <c r="A41" s="21">
        <v>40</v>
      </c>
      <c r="B41" s="56" t="s">
        <v>274</v>
      </c>
      <c r="C41" s="38" t="str">
        <f t="shared" si="3"/>
        <v>{"dossierInstitution":p.DossierName2,"verwendungPeriode":"August 2024","status":"Zu bezahlen"}</v>
      </c>
      <c r="D41" s="82" t="s">
        <v>28</v>
      </c>
      <c r="E41" s="83" t="str">
        <f t="shared" si="4"/>
        <v>{"dossierInstitution":p.DossierName2,"verwendungPeriode":"August 2024","status":"Zu bezahlen"}</v>
      </c>
      <c r="F41" s="84" t="s">
        <v>128</v>
      </c>
      <c r="G41" s="87" t="str">
        <f>'00y'!$G$11</f>
        <v>p.DossierName2</v>
      </c>
      <c r="H41" s="84" t="s">
        <v>275</v>
      </c>
      <c r="I41" s="117" t="s">
        <v>277</v>
      </c>
      <c r="J41" s="84" t="s">
        <v>202</v>
      </c>
      <c r="K41" s="87" t="s">
        <v>203</v>
      </c>
      <c r="L41" s="84" t="s">
        <v>37</v>
      </c>
      <c r="N41" s="84"/>
      <c r="O41" s="84"/>
    </row>
    <row r="42" spans="1:22" s="438" customFormat="1" ht="15.75" customHeight="1">
      <c r="A42" s="21">
        <v>41</v>
      </c>
      <c r="B42" s="56" t="s">
        <v>274</v>
      </c>
      <c r="C42" s="38" t="str">
        <f t="shared" si="3"/>
        <v>{"dossierInstitution":p.DossierName2,"verwendungPeriode":"September 2024","status":"Zu bezahlen"}</v>
      </c>
      <c r="D42" s="82" t="s">
        <v>28</v>
      </c>
      <c r="E42" s="83" t="str">
        <f t="shared" si="4"/>
        <v>{"dossierInstitution":p.DossierName2,"verwendungPeriode":"September 2024","status":"Zu bezahlen"}</v>
      </c>
      <c r="F42" s="84" t="s">
        <v>128</v>
      </c>
      <c r="G42" s="87" t="str">
        <f>'00y'!$G$11</f>
        <v>p.DossierName2</v>
      </c>
      <c r="H42" s="84" t="s">
        <v>275</v>
      </c>
      <c r="I42" s="117" t="s">
        <v>276</v>
      </c>
      <c r="J42" s="84" t="s">
        <v>202</v>
      </c>
      <c r="K42" s="87" t="s">
        <v>203</v>
      </c>
      <c r="L42" s="84" t="s">
        <v>37</v>
      </c>
      <c r="N42" s="84"/>
      <c r="O42" s="84"/>
    </row>
    <row r="43" spans="1:22" s="438" customFormat="1" ht="15.75" customHeight="1">
      <c r="A43" s="21">
        <v>42</v>
      </c>
      <c r="B43" s="56" t="s">
        <v>274</v>
      </c>
      <c r="C43" s="38" t="str">
        <f t="shared" si="3"/>
        <v>{"dossierInstitution":p.DossierName2,"verwendungPeriode":"Oktober 2024","status":"Zu bezahlen"}</v>
      </c>
      <c r="D43" s="82" t="s">
        <v>28</v>
      </c>
      <c r="E43" s="83" t="str">
        <f t="shared" si="4"/>
        <v>{"dossierInstitution":p.DossierName2,"verwendungPeriode":"Oktober 2024","status":"Zu bezahlen"}</v>
      </c>
      <c r="F43" s="84" t="s">
        <v>128</v>
      </c>
      <c r="G43" s="87" t="str">
        <f>'00y'!$G$11</f>
        <v>p.DossierName2</v>
      </c>
      <c r="H43" s="84" t="s">
        <v>275</v>
      </c>
      <c r="I43" s="117" t="s">
        <v>241</v>
      </c>
      <c r="J43" s="84" t="s">
        <v>202</v>
      </c>
      <c r="K43" s="87" t="s">
        <v>203</v>
      </c>
      <c r="L43" s="84" t="s">
        <v>37</v>
      </c>
      <c r="N43" s="84"/>
      <c r="O43" s="84"/>
    </row>
    <row r="44" spans="1:22" s="438" customFormat="1" ht="15.75" customHeight="1">
      <c r="A44" s="21">
        <v>43</v>
      </c>
      <c r="B44" s="56" t="s">
        <v>274</v>
      </c>
      <c r="C44" s="38" t="str">
        <f t="shared" si="3"/>
        <v>{"dossierInstitution":p.DossierName2,"verwendungPeriode":"November 2024","status":"Zu bezahlen"}</v>
      </c>
      <c r="D44" s="82" t="s">
        <v>28</v>
      </c>
      <c r="E44" s="83" t="str">
        <f t="shared" si="4"/>
        <v>{"dossierInstitution":p.DossierName2,"verwendungPeriode":"November 2024","status":"Zu bezahlen"}</v>
      </c>
      <c r="F44" s="84" t="s">
        <v>128</v>
      </c>
      <c r="G44" s="87" t="str">
        <f>'00y'!$G$11</f>
        <v>p.DossierName2</v>
      </c>
      <c r="H44" s="84" t="s">
        <v>275</v>
      </c>
      <c r="I44" s="117" t="s">
        <v>242</v>
      </c>
      <c r="J44" s="84" t="s">
        <v>202</v>
      </c>
      <c r="K44" s="87" t="s">
        <v>203</v>
      </c>
      <c r="L44" s="84" t="s">
        <v>37</v>
      </c>
      <c r="N44" s="84"/>
      <c r="O44" s="84"/>
    </row>
    <row r="45" spans="1:22" s="439" customFormat="1" ht="15.75" customHeight="1">
      <c r="A45" s="21"/>
      <c r="B45" s="24" t="s">
        <v>205</v>
      </c>
      <c r="C45" s="38" t="str">
        <f t="shared" si="3"/>
        <v>{"haftungsType":"Einseitige Solidarhaftung erfassen","haftungDurch":`${p.FamilyName2}, ${p.ManFirstName2}`,"haftungVon":"01.01.2024","haftungBis":"31.12.2024","haftungFuer":`${p.FamilyName2}, ${p.WomanFirstName2}`,"person1":"","person2":""}</v>
      </c>
      <c r="D45" s="76" t="s">
        <v>28</v>
      </c>
      <c r="E45" s="77" t="str">
        <f t="shared" si="4"/>
        <v>{"haftungsType":"Einseitige Solidarhaftung erfassen","haftungDurch":`${p.FamilyName2}, ${p.ManFirstName2}`,"haftungVon":"01.01.2024","haftungBis":"31.12.2024","haftungFuer":`${p.FamilyName2}, ${p.WomanFirstName2}`,"person1":"","person2":""}</v>
      </c>
      <c r="F45" s="78" t="s">
        <v>206</v>
      </c>
      <c r="G45" s="76" t="s">
        <v>207</v>
      </c>
      <c r="H45" s="78" t="s">
        <v>208</v>
      </c>
      <c r="I45" s="76" t="str">
        <f>I16</f>
        <v>${p.FamilyName2}, ${p.ManFirstName2}</v>
      </c>
      <c r="J45" s="78" t="s">
        <v>209</v>
      </c>
      <c r="K45" s="76" t="s">
        <v>271</v>
      </c>
      <c r="L45" s="78" t="s">
        <v>210</v>
      </c>
      <c r="M45" s="127" t="s">
        <v>223</v>
      </c>
      <c r="N45" s="78" t="s">
        <v>211</v>
      </c>
      <c r="O45" s="76" t="str">
        <f>"${"&amp;$G$4&amp;"}, ${"&amp;$H$64&amp;"}"</f>
        <v>${p.FamilyName2}, ${p.WomanFirstName2}</v>
      </c>
      <c r="P45" s="78" t="s">
        <v>212</v>
      </c>
      <c r="Q45" s="80"/>
      <c r="R45" s="78" t="s">
        <v>213</v>
      </c>
      <c r="T45" s="76" t="s">
        <v>37</v>
      </c>
      <c r="V45" s="78"/>
    </row>
    <row r="46" spans="1:22" s="439" customFormat="1" ht="15.75" customHeight="1">
      <c r="A46" s="21"/>
      <c r="B46" s="24" t="s">
        <v>205</v>
      </c>
      <c r="C46" s="38" t="str">
        <f t="shared" si="3"/>
        <v>{"haftungsType":"Einzelhaftung erfassen","haftungDurch":`${p.FamilyName2}, ${p.ManFirstName2}`,"haftungVon":"01.01.2024","haftungBis":"31.12.2024","haftungFuer":`${p.FamilyName2}, ${p.GirlFirstName2}`,"person1":"","person2":""}</v>
      </c>
      <c r="D46" s="76" t="s">
        <v>28</v>
      </c>
      <c r="E46" s="77" t="str">
        <f t="shared" si="4"/>
        <v>{"haftungsType":"Einzelhaftung erfassen","haftungDurch":`${p.FamilyName2}, ${p.ManFirstName2}`,"haftungVon":"01.01.2024","haftungBis":"31.12.2024","haftungFuer":`${p.FamilyName2}, ${p.GirlFirstName2}`,"person1":"","person2":""}</v>
      </c>
      <c r="F46" s="78" t="s">
        <v>206</v>
      </c>
      <c r="G46" s="76" t="s">
        <v>214</v>
      </c>
      <c r="H46" s="78" t="s">
        <v>208</v>
      </c>
      <c r="I46" s="76" t="str">
        <f>I45</f>
        <v>${p.FamilyName2}, ${p.ManFirstName2}</v>
      </c>
      <c r="J46" s="78" t="s">
        <v>209</v>
      </c>
      <c r="K46" s="76" t="s">
        <v>271</v>
      </c>
      <c r="L46" s="78" t="s">
        <v>210</v>
      </c>
      <c r="M46" s="127" t="s">
        <v>223</v>
      </c>
      <c r="N46" s="78" t="s">
        <v>211</v>
      </c>
      <c r="O46" s="76" t="str">
        <f>"${"&amp;$G$4&amp;"}, ${"&amp;$H$65&amp;"}"</f>
        <v>${p.FamilyName2}, ${p.GirlFirstName2}</v>
      </c>
      <c r="P46" s="78" t="s">
        <v>212</v>
      </c>
      <c r="Q46" s="80"/>
      <c r="R46" s="78" t="s">
        <v>213</v>
      </c>
      <c r="T46" s="76" t="s">
        <v>37</v>
      </c>
      <c r="V46" s="78"/>
    </row>
    <row r="47" spans="1:22" s="446" customFormat="1" ht="15.75" customHeight="1">
      <c r="A47" s="21"/>
      <c r="B47" s="54" t="s">
        <v>22</v>
      </c>
      <c r="C47" s="55" t="s">
        <v>215</v>
      </c>
      <c r="E47" s="124"/>
      <c r="F47" s="125"/>
    </row>
    <row r="48" spans="1:22" s="439" customFormat="1" ht="15.75" customHeight="1">
      <c r="A48" s="21"/>
      <c r="B48" s="24" t="s">
        <v>216</v>
      </c>
      <c r="C48" s="38"/>
      <c r="E48" s="77"/>
      <c r="F48" s="126"/>
      <c r="H48" s="126"/>
      <c r="J48" s="126"/>
      <c r="L48" s="126"/>
      <c r="M48" s="127"/>
      <c r="N48" s="126"/>
      <c r="O48" s="11"/>
      <c r="P48" s="126"/>
      <c r="Q48" s="80"/>
      <c r="R48" s="126"/>
      <c r="V48" s="126"/>
    </row>
    <row r="49" spans="1:30" s="446" customFormat="1" ht="15.75" customHeight="1">
      <c r="A49" s="21"/>
      <c r="B49" s="54" t="s">
        <v>22</v>
      </c>
      <c r="C49" s="55" t="s">
        <v>215</v>
      </c>
      <c r="E49" s="124"/>
      <c r="F49" s="125"/>
    </row>
    <row r="50" spans="1:30" s="67" customFormat="1" ht="15.75" customHeight="1">
      <c r="A50" s="21"/>
      <c r="B50" s="54" t="s">
        <v>139</v>
      </c>
      <c r="C50" s="89" t="str">
        <f>E50</f>
        <v>{"searchDossierOrKlient":p.DossierName2,"resultType":"Dossiers"}</v>
      </c>
      <c r="D50" s="90" t="s">
        <v>28</v>
      </c>
      <c r="E50" s="91" t="str">
        <f>F50&amp;G50&amp;H50&amp;I50&amp;J50&amp;K50&amp;L50&amp;M50&amp;N50&amp;O50&amp;P50&amp;Q50&amp;R50&amp;S50&amp;T50&amp;U50&amp;V50&amp;W50&amp;X50</f>
        <v>{"searchDossierOrKlient":p.DossierName2,"resultType":"Dossiers"}</v>
      </c>
      <c r="F50" s="92" t="s">
        <v>140</v>
      </c>
      <c r="G50" s="133" t="str">
        <f>'00y'!$G$11</f>
        <v>p.DossierName2</v>
      </c>
      <c r="H50" s="92" t="s">
        <v>141</v>
      </c>
      <c r="I50" s="90" t="s">
        <v>142</v>
      </c>
      <c r="J50" s="92" t="s">
        <v>37</v>
      </c>
      <c r="L50" s="92"/>
      <c r="N50" s="92"/>
      <c r="P50" s="92"/>
      <c r="R50" s="92"/>
      <c r="T50" s="92"/>
      <c r="V50" s="92"/>
    </row>
    <row r="51" spans="1:30" s="67" customFormat="1" ht="15.75" customHeight="1">
      <c r="A51" s="21"/>
      <c r="B51" s="129" t="s">
        <v>217</v>
      </c>
      <c r="C51" s="89" t="str">
        <f>E51</f>
        <v>{"dossierInstitution":p.DossierName2,"freigegebeneZahlungen":"7"}</v>
      </c>
      <c r="D51" s="90" t="s">
        <v>28</v>
      </c>
      <c r="E51" s="91" t="str">
        <f>F51&amp;G51&amp;H51&amp;I51&amp;J51&amp;K51&amp;L51&amp;M51&amp;N51&amp;O51&amp;P51&amp;Q51&amp;R51&amp;S51&amp;T51&amp;U51&amp;V51&amp;W51&amp;X51</f>
        <v>{"dossierInstitution":p.DossierName2,"freigegebeneZahlungen":"7"}</v>
      </c>
      <c r="F51" s="130" t="s">
        <v>128</v>
      </c>
      <c r="G51" s="133" t="str">
        <f>'00y'!$G$11</f>
        <v>p.DossierName2</v>
      </c>
      <c r="H51" s="92" t="s">
        <v>218</v>
      </c>
      <c r="I51" s="90">
        <v>7</v>
      </c>
      <c r="J51" s="92" t="s">
        <v>37</v>
      </c>
      <c r="L51" s="92"/>
      <c r="N51" s="92"/>
      <c r="P51" s="92"/>
      <c r="R51" s="92"/>
      <c r="T51" s="92"/>
      <c r="V51" s="92"/>
    </row>
    <row r="52" spans="1:30" s="67" customFormat="1" ht="15.75" customHeight="1">
      <c r="A52" s="21"/>
      <c r="B52" s="19" t="s">
        <v>134</v>
      </c>
      <c r="C52" s="38" t="str">
        <f>E52</f>
        <v>{"username":"Bern.Buchhalter@diartis.ch","password":"HBcc73+ppTX42?E."}</v>
      </c>
      <c r="D52" s="90" t="s">
        <v>28</v>
      </c>
      <c r="E52" s="91" t="str">
        <f>F52&amp;G52&amp;H52&amp;I52&amp;J52&amp;K52&amp;L52&amp;M52&amp;N52&amp;O52&amp;P52&amp;Q52&amp;R52&amp;S52&amp;T52&amp;U52&amp;V52&amp;W52&amp;X52</f>
        <v>{"username":"Bern.Buchhalter@diartis.ch","password":"HBcc73+ppTX42?E."}</v>
      </c>
      <c r="F52" s="92" t="s">
        <v>29</v>
      </c>
      <c r="G52" s="90" t="s">
        <v>219</v>
      </c>
      <c r="H52" s="92" t="s">
        <v>31</v>
      </c>
      <c r="I52" s="90" t="s">
        <v>220</v>
      </c>
      <c r="J52" s="92" t="s">
        <v>37</v>
      </c>
      <c r="K52" s="133"/>
      <c r="L52" s="92"/>
      <c r="N52" s="92"/>
      <c r="P52" s="92"/>
      <c r="R52" s="92"/>
      <c r="T52" s="92"/>
      <c r="V52" s="92"/>
    </row>
    <row r="53" spans="1:30" s="67" customFormat="1" ht="15.75" customHeight="1">
      <c r="A53" s="21"/>
      <c r="B53" s="54" t="s">
        <v>139</v>
      </c>
      <c r="C53" s="89" t="str">
        <f>E53</f>
        <v>{"searchDossierOrKlient":p.DossierName2,"resultType":"Dossiers"}</v>
      </c>
      <c r="D53" s="90" t="s">
        <v>28</v>
      </c>
      <c r="E53" s="91" t="str">
        <f>F53&amp;G53&amp;H53&amp;I53&amp;J53&amp;K53&amp;L53&amp;M53&amp;N53&amp;O53&amp;P53&amp;Q53&amp;R53&amp;S53&amp;T53&amp;U53&amp;V53&amp;W53&amp;X53</f>
        <v>{"searchDossierOrKlient":p.DossierName2,"resultType":"Dossiers"}</v>
      </c>
      <c r="F53" s="92" t="s">
        <v>140</v>
      </c>
      <c r="G53" s="133" t="str">
        <f>'00y'!$G$11</f>
        <v>p.DossierName2</v>
      </c>
      <c r="H53" s="92" t="s">
        <v>141</v>
      </c>
      <c r="I53" s="90" t="s">
        <v>142</v>
      </c>
      <c r="J53" s="92" t="s">
        <v>37</v>
      </c>
      <c r="L53" s="92"/>
      <c r="N53" s="92"/>
      <c r="P53" s="92"/>
      <c r="R53" s="92"/>
      <c r="T53" s="92"/>
      <c r="V53" s="92"/>
    </row>
    <row r="54" spans="1:30" s="446" customFormat="1" ht="15.75" customHeight="1">
      <c r="A54" s="21"/>
      <c r="B54" s="129" t="s">
        <v>22</v>
      </c>
      <c r="C54" s="55" t="s">
        <v>126</v>
      </c>
      <c r="E54" s="124"/>
      <c r="F54" s="125"/>
    </row>
    <row r="55" spans="1:30" s="67" customFormat="1" ht="15.75" customHeight="1">
      <c r="A55" s="21"/>
      <c r="B55" s="135" t="s">
        <v>221</v>
      </c>
      <c r="C55" s="89" t="str">
        <f>E55</f>
        <v>{"bisValutaDatum":"31.12.2024","dossier":p.DossierName2,"zahlungenTotal":"CHF 11’918.00"}</v>
      </c>
      <c r="D55" s="90" t="s">
        <v>28</v>
      </c>
      <c r="E55" s="91" t="str">
        <f>F55&amp;G55&amp;H55&amp;I55&amp;J55&amp;K55&amp;L55&amp;M55&amp;N55&amp;O55&amp;P55&amp;Q55&amp;R55&amp;S55&amp;T55&amp;U55&amp;V55&amp;W55&amp;X55</f>
        <v>{"bisValutaDatum":"31.12.2024","dossier":p.DossierName2,"zahlungenTotal":"CHF 11’918.00"}</v>
      </c>
      <c r="F55" s="92" t="s">
        <v>222</v>
      </c>
      <c r="G55" s="90" t="s">
        <v>223</v>
      </c>
      <c r="H55" s="92" t="s">
        <v>224</v>
      </c>
      <c r="I55" s="133" t="str">
        <f>G50</f>
        <v>p.DossierName2</v>
      </c>
      <c r="J55" s="92" t="s">
        <v>225</v>
      </c>
      <c r="K55" s="178" t="s">
        <v>288</v>
      </c>
      <c r="L55" s="92" t="s">
        <v>37</v>
      </c>
      <c r="N55" s="92"/>
      <c r="P55" s="92"/>
      <c r="R55" s="92"/>
      <c r="T55" s="92"/>
      <c r="V55" s="92"/>
    </row>
    <row r="56" spans="1:30" s="446" customFormat="1" ht="15.75" customHeight="1">
      <c r="A56" s="21"/>
      <c r="B56" s="54" t="s">
        <v>22</v>
      </c>
      <c r="C56" s="55" t="s">
        <v>126</v>
      </c>
      <c r="E56" s="124"/>
      <c r="F56" s="125"/>
    </row>
    <row r="57" spans="1:30" s="10" customFormat="1" ht="15.75" customHeight="1">
      <c r="A57" s="21"/>
      <c r="B57" s="16" t="s">
        <v>229</v>
      </c>
      <c r="C57" s="38" t="str">
        <f>E57</f>
        <v>{"dossier":p.DossierName2,"ausgefuehrteZahlungen":"7"}</v>
      </c>
      <c r="D57" s="38"/>
      <c r="E57" s="91" t="str">
        <f>F57&amp;G57&amp;H57&amp;I57&amp;J57&amp;K57&amp;L57&amp;M57&amp;N57&amp;O57&amp;P57&amp;Q57&amp;R57&amp;S57&amp;T57&amp;U57&amp;V57&amp;W57</f>
        <v>{"dossier":p.DossierName2,"ausgefuehrteZahlungen":"7"}</v>
      </c>
      <c r="F57" s="2" t="s">
        <v>159</v>
      </c>
      <c r="G57" s="447" t="str">
        <f>G63</f>
        <v>p.DossierName2</v>
      </c>
      <c r="H57" s="2" t="s">
        <v>230</v>
      </c>
      <c r="I57" s="2">
        <v>7</v>
      </c>
      <c r="J57" s="2" t="s">
        <v>37</v>
      </c>
      <c r="K57" s="2"/>
      <c r="L57" s="2"/>
      <c r="M57" s="2"/>
      <c r="N57" s="2"/>
      <c r="O57" s="3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s">
        <v>37</v>
      </c>
    </row>
    <row r="58" spans="1:30" ht="15.75" customHeight="1">
      <c r="B58" s="54"/>
    </row>
    <row r="59" spans="1:30" ht="15.75" customHeight="1">
      <c r="B59" s="16"/>
    </row>
    <row r="60" spans="1:30" ht="15.75" customHeight="1">
      <c r="B60" s="2" t="s">
        <v>233</v>
      </c>
    </row>
    <row r="61" spans="1:30" ht="15.75" customHeight="1">
      <c r="B61" s="2" t="s">
        <v>233</v>
      </c>
    </row>
    <row r="62" spans="1:30" ht="15.75" customHeight="1">
      <c r="B62" s="2" t="s">
        <v>234</v>
      </c>
    </row>
    <row r="63" spans="1:30" ht="15.75" customHeight="1">
      <c r="B63" s="303"/>
      <c r="F63" s="41" t="s">
        <v>236</v>
      </c>
      <c r="G63" s="2" t="str">
        <f>"p.DossierName"&amp;G68</f>
        <v>p.DossierName2</v>
      </c>
      <c r="H63" s="13" t="str">
        <f>"p.ManFirstName"&amp;G68</f>
        <v>p.ManFirstName2</v>
      </c>
      <c r="I63" s="13" t="str">
        <f>"p.AHVNumber"&amp;G70</f>
        <v>p.AHVNumber5</v>
      </c>
      <c r="J63" s="65" t="str">
        <f>"p.BirthdayAdult"&amp;G68</f>
        <v>p.BirthdayAdult2</v>
      </c>
    </row>
    <row r="64" spans="1:30" ht="15.75" customHeight="1">
      <c r="B64" s="2" t="s">
        <v>231</v>
      </c>
      <c r="F64" s="41" t="s">
        <v>237</v>
      </c>
      <c r="G64" s="2" t="str">
        <f>"p.FamilyName"&amp;G68</f>
        <v>p.FamilyName2</v>
      </c>
      <c r="H64" s="13" t="str">
        <f>"p.WomanFirstName"&amp;G68</f>
        <v>p.WomanFirstName2</v>
      </c>
      <c r="I64" s="13" t="str">
        <f>"p.AHVNumber"&amp;G70+1</f>
        <v>p.AHVNumber6</v>
      </c>
      <c r="J64" s="65" t="str">
        <f>"p.BirthdayAdult"&amp;G69</f>
        <v>p.BirthdayAdult3</v>
      </c>
    </row>
    <row r="65" spans="6:10" ht="15.75" customHeight="1">
      <c r="F65" s="41" t="s">
        <v>238</v>
      </c>
      <c r="G65" s="2" t="str">
        <f>G64</f>
        <v>p.FamilyName2</v>
      </c>
      <c r="H65" s="13" t="str">
        <f>"p.GirlFirstName"&amp;G68</f>
        <v>p.GirlFirstName2</v>
      </c>
      <c r="I65" s="13" t="str">
        <f>"p.AHVNumber"&amp;G70+2</f>
        <v>p.AHVNumber7</v>
      </c>
      <c r="J65" s="65" t="str">
        <f>"p.BirthdayKid"&amp;G68</f>
        <v>p.BirthdayKid2</v>
      </c>
    </row>
    <row r="66" spans="6:10" ht="15.75" customHeight="1">
      <c r="H66" s="13" t="str">
        <f>"p.ManFirstName"&amp;G69</f>
        <v>p.ManFirstName3</v>
      </c>
      <c r="I66" s="13" t="str">
        <f>"p.AHVNumber"&amp;G70+3</f>
        <v>p.AHVNumber8</v>
      </c>
      <c r="J66" s="65" t="str">
        <f>"p.BirthdayKid"&amp;G69</f>
        <v>p.BirthdayKid3</v>
      </c>
    </row>
    <row r="68" spans="6:10" ht="15.75" customHeight="1">
      <c r="G68" s="62">
        <v>2</v>
      </c>
    </row>
    <row r="69" spans="6:10" ht="15.75" customHeight="1">
      <c r="G69" s="2">
        <f>G68+1</f>
        <v>3</v>
      </c>
    </row>
    <row r="70" spans="6:10" ht="15.75" customHeight="1">
      <c r="G70" s="2">
        <f>G68*4-4+1</f>
        <v>5</v>
      </c>
    </row>
  </sheetData>
  <hyperlinks>
    <hyperlink ref="G2" r:id="rId1" xr:uid="{00000000-0004-0000-4900-000000000000}"/>
    <hyperlink ref="K6" r:id="rId2" xr:uid="{00000000-0004-0000-4900-000001000000}"/>
    <hyperlink ref="G12" r:id="rId3" xr:uid="{00000000-0004-0000-4900-000002000000}"/>
    <hyperlink ref="I12" r:id="rId4" xr:uid="{00000000-0004-0000-4900-000003000000}"/>
    <hyperlink ref="G15" r:id="rId5" xr:uid="{00000000-0004-0000-4900-000004000000}"/>
    <hyperlink ref="I15" r:id="rId6" xr:uid="{00000000-0004-0000-4900-000005000000}"/>
    <hyperlink ref="G31" r:id="rId7" xr:uid="{00000000-0004-0000-4900-000006000000}"/>
    <hyperlink ref="I31" r:id="rId8" xr:uid="{00000000-0004-0000-4900-000007000000}"/>
    <hyperlink ref="G34" r:id="rId9" xr:uid="{00000000-0004-0000-4900-000008000000}"/>
    <hyperlink ref="I34" r:id="rId10" xr:uid="{00000000-0004-0000-4900-000009000000}"/>
    <hyperlink ref="G37" r:id="rId11" xr:uid="{00000000-0004-0000-4900-00000A000000}"/>
    <hyperlink ref="I37" r:id="rId12" xr:uid="{00000000-0004-0000-4900-00000B000000}"/>
  </hyperlinks>
  <pageMargins left="0.7" right="0.7" top="0.75" bottom="0.75" header="0.3" footer="0.3"/>
  <pageSetup paperSize="9" orientation="portrait" useFirstPageNumber="1" horizontalDpi="4294967295" verticalDpi="429496729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0" tint="-0.249977111117893"/>
  </sheetPr>
  <dimension ref="A1:BG70"/>
  <sheetViews>
    <sheetView zoomScale="85" zoomScaleNormal="85" workbookViewId="0">
      <pane xSplit="2" ySplit="1" topLeftCell="C26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B23"/>
    </sheetView>
  </sheetViews>
  <sheetFormatPr defaultColWidth="9.140625" defaultRowHeight="15.75" customHeight="1"/>
  <cols>
    <col min="1" max="1" width="9.140625" style="1" customWidth="1"/>
    <col min="2" max="2" width="41.42578125" style="2" customWidth="1"/>
    <col min="3" max="3" width="116.42578125" style="38" customWidth="1"/>
    <col min="4" max="4" width="5.42578125" style="2" customWidth="1"/>
    <col min="5" max="5" width="9.7109375" style="2" customWidth="1"/>
    <col min="6" max="6" width="30" style="41" customWidth="1"/>
    <col min="7" max="7" width="32.28515625" style="2" customWidth="1"/>
    <col min="8" max="8" width="22" style="41" customWidth="1"/>
    <col min="9" max="9" width="36.28515625" style="2" customWidth="1"/>
    <col min="10" max="10" width="10.5703125" style="41" customWidth="1"/>
    <col min="11" max="11" width="23.5703125" style="2" customWidth="1"/>
    <col min="12" max="12" width="9.28515625" style="41" customWidth="1"/>
    <col min="13" max="13" width="24.42578125" style="2" customWidth="1"/>
    <col min="14" max="14" width="9.140625" style="41" customWidth="1"/>
    <col min="15" max="15" width="36.85546875" style="2" customWidth="1"/>
    <col min="16" max="16" width="9.140625" style="41" customWidth="1"/>
    <col min="17" max="17" width="16.140625" style="2" customWidth="1"/>
    <col min="18" max="18" width="9.140625" style="41" customWidth="1"/>
    <col min="19" max="19" width="9.140625" style="2" customWidth="1"/>
    <col min="20" max="20" width="9.140625" style="41" customWidth="1"/>
    <col min="21" max="21" width="9.140625" style="2" customWidth="1"/>
    <col min="22" max="22" width="9.140625" style="41" customWidth="1"/>
    <col min="23" max="24" width="9.140625" style="2" customWidth="1"/>
    <col min="25" max="25" width="14.42578125" style="2" customWidth="1"/>
    <col min="26" max="28" width="9.140625" style="2" customWidth="1"/>
    <col min="29" max="29" width="13" style="2" customWidth="1"/>
    <col min="30" max="30" width="9.140625" style="2" customWidth="1"/>
    <col min="31" max="31" width="13" style="2" customWidth="1"/>
    <col min="32" max="32" width="9.140625" style="2" customWidth="1"/>
    <col min="33" max="16384" width="9.140625" style="2"/>
  </cols>
  <sheetData>
    <row r="1" spans="1:59" ht="15.75" customHeight="1">
      <c r="A1" s="5" t="s">
        <v>0</v>
      </c>
      <c r="B1" s="37" t="s">
        <v>60</v>
      </c>
      <c r="C1" s="38" t="s">
        <v>61</v>
      </c>
      <c r="D1" s="39" t="s">
        <v>3</v>
      </c>
      <c r="E1" s="40" t="s">
        <v>735</v>
      </c>
      <c r="G1" s="2558">
        <f>14*60*1000*SpeedFaktor</f>
        <v>840000</v>
      </c>
      <c r="H1" s="41">
        <v>10</v>
      </c>
      <c r="AH1" s="2" t="s">
        <v>5</v>
      </c>
      <c r="BG1" s="7" t="s">
        <v>5</v>
      </c>
    </row>
    <row r="2" spans="1:59" s="185" customFormat="1" ht="15.75" customHeight="1">
      <c r="A2" s="21">
        <v>1</v>
      </c>
      <c r="B2" s="13" t="s">
        <v>21</v>
      </c>
      <c r="C2" s="44" t="str">
        <f>B60</f>
        <v>{"url":"https://dev.aventis.swiss"}</v>
      </c>
      <c r="E2" s="45" t="str">
        <f t="shared" ref="E2:E7" si="0">F2&amp;G2&amp;H2&amp;I2&amp;J2&amp;K2&amp;L2&amp;M2&amp;N2&amp;O2&amp;P2&amp;Q2&amp;R2&amp;S2&amp;T2&amp;U2&amp;V2&amp;W2&amp;X2</f>
        <v>{"url":"https://dev.aventis.swiss"}</v>
      </c>
      <c r="F2" s="46" t="s">
        <v>67</v>
      </c>
      <c r="G2" s="47" t="s">
        <v>68</v>
      </c>
      <c r="H2" s="46" t="s">
        <v>37</v>
      </c>
      <c r="J2" s="46"/>
      <c r="L2" s="46"/>
      <c r="N2" s="46"/>
      <c r="P2" s="46"/>
      <c r="R2" s="46"/>
      <c r="T2" s="46"/>
      <c r="V2" s="46"/>
    </row>
    <row r="3" spans="1:59" s="185" customFormat="1" ht="15.75" customHeight="1">
      <c r="A3" s="21">
        <v>2</v>
      </c>
      <c r="B3" s="24" t="s">
        <v>25</v>
      </c>
      <c r="C3" s="437" t="str">
        <f>E3</f>
        <v>{"username":"bern.sozialarbeiterin1a@diartis.ch","password":"SMze97-jkSJ59!F.","fullname":"Sozialarbeiterin 1A Bern","team":"Sozialarbeit Bern 1"}</v>
      </c>
      <c r="D3" s="13" t="s">
        <v>28</v>
      </c>
      <c r="E3" s="45" t="str">
        <f t="shared" si="0"/>
        <v>{"username":"bern.sozialarbeiterin1a@diartis.ch","password":"SMze97-jkSJ59!F.","fullname":"Sozialarbeiterin 1A Bern","team":"Sozialarbeit Bern 1"}</v>
      </c>
      <c r="F3" s="46" t="s">
        <v>29</v>
      </c>
      <c r="G3" s="13" t="s">
        <v>71</v>
      </c>
      <c r="H3" s="46" t="s">
        <v>31</v>
      </c>
      <c r="I3" s="13" t="s">
        <v>72</v>
      </c>
      <c r="J3" s="46" t="s">
        <v>73</v>
      </c>
      <c r="K3" s="13" t="s">
        <v>74</v>
      </c>
      <c r="L3" s="46" t="s">
        <v>75</v>
      </c>
      <c r="M3" s="13" t="s">
        <v>76</v>
      </c>
      <c r="N3" s="46" t="s">
        <v>37</v>
      </c>
      <c r="P3" s="46"/>
      <c r="R3" s="46"/>
      <c r="T3" s="46"/>
      <c r="V3" s="46"/>
    </row>
    <row r="4" spans="1:59" s="185" customFormat="1" ht="15.75" customHeight="1">
      <c r="A4" s="21">
        <v>3</v>
      </c>
      <c r="B4" s="13" t="s">
        <v>77</v>
      </c>
      <c r="C4" s="19" t="str">
        <f>E4</f>
        <v>{"name":p.FamilyName3,"vorname":p.ManFirstName3,"ahvNumber":"","geburtsdatum":""}</v>
      </c>
      <c r="D4" s="13" t="s">
        <v>28</v>
      </c>
      <c r="E4" s="45" t="str">
        <f t="shared" si="0"/>
        <v>{"name":p.FamilyName3,"vorname":p.ManFirstName3,"ahvNumber":"","geburtsdatum":""}</v>
      </c>
      <c r="F4" s="61" t="s">
        <v>78</v>
      </c>
      <c r="G4" s="13" t="str">
        <f>G64</f>
        <v>p.FamilyName3</v>
      </c>
      <c r="H4" s="46" t="s">
        <v>79</v>
      </c>
      <c r="I4" s="13" t="str">
        <f>H63</f>
        <v>p.ManFirstName3</v>
      </c>
      <c r="J4" s="46" t="s">
        <v>80</v>
      </c>
      <c r="L4" s="46" t="s">
        <v>81</v>
      </c>
      <c r="M4" s="63"/>
      <c r="N4" s="46" t="s">
        <v>37</v>
      </c>
      <c r="P4" s="46"/>
      <c r="R4" s="46"/>
      <c r="T4" s="46"/>
      <c r="V4" s="46"/>
      <c r="Y4" s="13" t="s">
        <v>1144</v>
      </c>
      <c r="Z4" s="13" t="s">
        <v>1145</v>
      </c>
      <c r="AA4" s="13" t="s">
        <v>1146</v>
      </c>
      <c r="AB4" s="13" t="s">
        <v>1147</v>
      </c>
      <c r="AC4" s="13" t="s">
        <v>1148</v>
      </c>
    </row>
    <row r="5" spans="1:59" s="185" customFormat="1" ht="15.75" customHeight="1">
      <c r="A5" s="21">
        <v>4</v>
      </c>
      <c r="B5" s="11" t="s">
        <v>82</v>
      </c>
      <c r="C5" s="38" t="str">
        <f>E5</f>
        <v>{"name":p.FamilyName3,"vorname":p.ManFirstName3,"ahvNumber":p.AHVNumber9,"language":"Deutsch","zivilstand":"ledig","geburtsdatum":p.BirthdayAdult3,"national":"Schweiz","gender":"männlich","aufenthalt":""}</v>
      </c>
      <c r="D5" s="13" t="s">
        <v>28</v>
      </c>
      <c r="E5" s="45" t="str">
        <f t="shared" si="0"/>
        <v>{"name":p.FamilyName3,"vorname":p.ManFirstName3,"ahvNumber":p.AHVNumber9,"language":"Deutsch","zivilstand":"ledig","geburtsdatum":p.BirthdayAdult3,"national":"Schweiz","gender":"männlich","aufenthalt":""}</v>
      </c>
      <c r="F5" s="61" t="s">
        <v>78</v>
      </c>
      <c r="G5" s="13" t="str">
        <f>G4</f>
        <v>p.FamilyName3</v>
      </c>
      <c r="H5" s="46" t="s">
        <v>79</v>
      </c>
      <c r="I5" s="13" t="str">
        <f>I4</f>
        <v>p.ManFirstName3</v>
      </c>
      <c r="J5" s="46" t="s">
        <v>83</v>
      </c>
      <c r="K5" s="13" t="str">
        <f>I63</f>
        <v>p.AHVNumber9</v>
      </c>
      <c r="L5" s="46" t="s">
        <v>84</v>
      </c>
      <c r="M5" s="63" t="s">
        <v>85</v>
      </c>
      <c r="N5" s="46" t="s">
        <v>86</v>
      </c>
      <c r="O5" s="13" t="s">
        <v>87</v>
      </c>
      <c r="P5" s="46" t="s">
        <v>88</v>
      </c>
      <c r="Q5" s="65" t="str">
        <f>J63</f>
        <v>p.BirthdayAdult3</v>
      </c>
      <c r="R5" s="46" t="s">
        <v>89</v>
      </c>
      <c r="S5" s="13" t="s">
        <v>90</v>
      </c>
      <c r="T5" s="46" t="s">
        <v>91</v>
      </c>
      <c r="U5" s="13" t="s">
        <v>92</v>
      </c>
      <c r="V5" s="46" t="s">
        <v>93</v>
      </c>
      <c r="X5" s="13" t="s">
        <v>37</v>
      </c>
      <c r="Y5" s="13" t="str">
        <f ca="1">"756"&amp;RIGHT(AC5,9)&amp;Z5</f>
        <v>7564439595313</v>
      </c>
      <c r="Z5" s="182">
        <f ca="1">ROUNDUP(SUM(LEFT($AC5,1)*1+RIGHT(LEFT($AC5,12),1)*3+RIGHT(LEFT($AC5,11),1)*1+RIGHT(LEFT($AC5,10),1)*3+RIGHT(LEFT($AC5,9),1)*1+RIGHT(LEFT($AC5,8),1)*3+RIGHT(LEFT($AC5,7),1)*1+RIGHT(LEFT($AC5,6),1)*3+RIGHT(LEFT($AC5,5),1)*1+RIGHT(LEFT($AC5,4),1)*3+RIGHT(LEFT($AC5,3),1)*1+RIGHT(LEFT($AC5,2),1)*3)/10,0)*10 - SUM(LEFT($AC5,1)*1+RIGHT(LEFT($AC5,12),1)*3+RIGHT(LEFT($AC5,11),1)*1+RIGHT(LEFT($AC5,10),1)*3+RIGHT(LEFT($AC5,9),1)*1+RIGHT(LEFT($AC5,8),1)*3+RIGHT(LEFT($AC5,7),1)*1+RIGHT(LEFT($AC5,6),1)*3+RIGHT(LEFT($AC5,5),1)*1+RIGHT(LEFT($AC5,4),1)*3+RIGHT(LEFT($AC5,3),1)*1+RIGHT(LEFT($AC5,2),1)*3)</f>
        <v>3</v>
      </c>
      <c r="AA5" s="13" t="s">
        <v>90</v>
      </c>
      <c r="AB5" s="13" t="s">
        <v>1149</v>
      </c>
      <c r="AC5" s="66">
        <f ca="1">AE5+AF5</f>
        <v>756443959531</v>
      </c>
      <c r="AE5" s="66">
        <v>756443000000</v>
      </c>
      <c r="AF5" s="66">
        <f ca="1">RANDBETWEEN(0,999999)</f>
        <v>959531</v>
      </c>
    </row>
    <row r="6" spans="1:59" s="185" customFormat="1" ht="15.75" customHeight="1">
      <c r="A6" s="21">
        <v>5</v>
      </c>
      <c r="B6" s="13" t="s">
        <v>94</v>
      </c>
      <c r="C6" s="38" t="str">
        <f ca="1">E6</f>
        <v>{"mobile":"079 5523746","privateNumber":"079 5261737","email":"9334abc@gmail.com"}</v>
      </c>
      <c r="D6" s="13" t="s">
        <v>28</v>
      </c>
      <c r="E6" s="45" t="str">
        <f t="shared" ca="1" si="0"/>
        <v>{"mobile":"079 5523746","privateNumber":"079 5261737","email":"9334abc@gmail.com"}</v>
      </c>
      <c r="F6" s="61" t="s">
        <v>95</v>
      </c>
      <c r="G6" s="13" t="str">
        <f ca="1">"079 "&amp;RANDBETWEEN(5234500,5699999)</f>
        <v>079 5523746</v>
      </c>
      <c r="H6" s="46" t="s">
        <v>96</v>
      </c>
      <c r="I6" s="13" t="str">
        <f ca="1">"079 "&amp;RANDBETWEEN(5234500,5699999)</f>
        <v>079 5261737</v>
      </c>
      <c r="J6" s="46" t="s">
        <v>97</v>
      </c>
      <c r="K6" s="47" t="s">
        <v>1157</v>
      </c>
      <c r="L6" s="46" t="s">
        <v>37</v>
      </c>
      <c r="N6" s="46"/>
      <c r="P6" s="46"/>
      <c r="R6" s="46"/>
      <c r="T6" s="46"/>
      <c r="V6" s="46"/>
      <c r="AB6" s="13">
        <v>756</v>
      </c>
      <c r="AC6" s="66" t="s">
        <v>1151</v>
      </c>
    </row>
    <row r="7" spans="1:59" s="185" customFormat="1" ht="15.75" customHeight="1">
      <c r="A7" s="21">
        <v>6</v>
      </c>
      <c r="B7" s="13" t="s">
        <v>99</v>
      </c>
      <c r="C7" s="38" t="str">
        <f ca="1">E7</f>
        <v>{"zusatz":"","strasse":"Strasse_942","houseNumber":"37","ort":"3053 Münchenbuchsee","validDate":"2.7.2021"}</v>
      </c>
      <c r="D7" s="13" t="s">
        <v>28</v>
      </c>
      <c r="E7" s="45" t="str">
        <f t="shared" ca="1" si="0"/>
        <v>{"zusatz":"","strasse":"Strasse_942","houseNumber":"37","ort":"3053 Münchenbuchsee","validDate":"2.7.2021"}</v>
      </c>
      <c r="F7" s="46" t="s">
        <v>100</v>
      </c>
      <c r="H7" s="46" t="s">
        <v>101</v>
      </c>
      <c r="I7" s="13" t="str">
        <f ca="1">"Strasse_"&amp;RANDBETWEEN(1,1000)</f>
        <v>Strasse_942</v>
      </c>
      <c r="J7" s="46" t="s">
        <v>102</v>
      </c>
      <c r="K7" s="13">
        <f ca="1">RANDBETWEEN(1,100)</f>
        <v>37</v>
      </c>
      <c r="L7" s="46" t="s">
        <v>103</v>
      </c>
      <c r="M7" s="13" t="s">
        <v>104</v>
      </c>
      <c r="N7" s="46" t="s">
        <v>105</v>
      </c>
      <c r="O7" s="65" t="str">
        <f ca="1">TEXT(RANDBETWEEN(1,28)&amp;"."&amp;RANDBETWEEN(1,12)&amp;"."&amp;TEXT(TODAY()-4*365,"YYYY"),"DD.MM.YYYY")</f>
        <v>2.7.2021</v>
      </c>
      <c r="P7" s="46" t="s">
        <v>37</v>
      </c>
      <c r="R7" s="46"/>
      <c r="T7" s="46"/>
      <c r="V7" s="46"/>
    </row>
    <row r="8" spans="1:59" s="185" customFormat="1" ht="15.75" customHeight="1">
      <c r="A8" s="21">
        <v>7</v>
      </c>
      <c r="B8" s="13" t="s">
        <v>106</v>
      </c>
      <c r="C8" s="38" t="s">
        <v>326</v>
      </c>
      <c r="D8" s="13" t="s">
        <v>28</v>
      </c>
      <c r="E8" s="45"/>
      <c r="F8" s="46"/>
      <c r="H8" s="46"/>
      <c r="J8" s="46"/>
      <c r="L8" s="46"/>
      <c r="N8" s="46"/>
      <c r="P8" s="46"/>
      <c r="R8" s="46"/>
      <c r="T8" s="46"/>
      <c r="V8" s="46"/>
    </row>
    <row r="9" spans="1:59" s="185" customFormat="1" ht="15.75" customHeight="1">
      <c r="A9" s="21">
        <v>8</v>
      </c>
      <c r="B9" s="13" t="s">
        <v>110</v>
      </c>
      <c r="C9" s="38"/>
      <c r="D9" s="13" t="s">
        <v>28</v>
      </c>
      <c r="E9" s="45"/>
      <c r="F9" s="46"/>
      <c r="H9" s="46"/>
      <c r="J9" s="46"/>
      <c r="L9" s="46"/>
      <c r="N9" s="46"/>
      <c r="P9" s="46"/>
      <c r="R9" s="46"/>
      <c r="T9" s="46"/>
      <c r="V9" s="46"/>
    </row>
    <row r="10" spans="1:59" s="185" customFormat="1" ht="15.75" customHeight="1">
      <c r="A10" s="21">
        <v>9</v>
      </c>
      <c r="B10" s="13" t="s">
        <v>111</v>
      </c>
      <c r="C10" s="38" t="str">
        <f>E10</f>
        <v>{"zust_Gemeinde":"Münchenbuchsee","zust_SozTeam":"Sozialarbeit Bern 1","zust_SozMitarbeiter":"Bern Sozialarbeiterin 1A","zust_SachbTeam":"Sachbearbeitung Bern","zust_SachbMitarbeiter":"Bern Sachbearbeiterin"}</v>
      </c>
      <c r="D10" s="13" t="s">
        <v>28</v>
      </c>
      <c r="E10" s="13" t="str">
        <f t="shared" ref="E10:E25" si="1">F10&amp;G10&amp;H10&amp;I10&amp;J10&amp;K10&amp;L10&amp;M10&amp;N10&amp;O10&amp;P10&amp;Q10&amp;R10&amp;S10&amp;T10&amp;U10&amp;V10&amp;W10&amp;X10</f>
        <v>{"zust_Gemeinde":"Münchenbuchsee","zust_SozTeam":"Sozialarbeit Bern 1","zust_SozMitarbeiter":"Bern Sozialarbeiterin 1A","zust_SachbTeam":"Sachbearbeitung Bern","zust_SachbMitarbeiter":"Bern Sachbearbeiterin"}</v>
      </c>
      <c r="F10" s="46" t="s">
        <v>112</v>
      </c>
      <c r="G10" s="13" t="s">
        <v>113</v>
      </c>
      <c r="H10" s="46" t="s">
        <v>114</v>
      </c>
      <c r="I10" s="13" t="s">
        <v>76</v>
      </c>
      <c r="J10" s="46" t="s">
        <v>115</v>
      </c>
      <c r="K10" s="13" t="s">
        <v>116</v>
      </c>
      <c r="L10" s="46" t="s">
        <v>117</v>
      </c>
      <c r="M10" s="13" t="s">
        <v>118</v>
      </c>
      <c r="N10" s="46" t="s">
        <v>119</v>
      </c>
      <c r="O10" s="13" t="s">
        <v>120</v>
      </c>
      <c r="P10" s="46" t="s">
        <v>37</v>
      </c>
      <c r="R10" s="46"/>
      <c r="T10" s="46"/>
      <c r="V10" s="46"/>
    </row>
    <row r="11" spans="1:59" s="185" customFormat="1" ht="15.75" customHeight="1">
      <c r="A11" s="21">
        <v>10</v>
      </c>
      <c r="B11" s="11" t="s">
        <v>122</v>
      </c>
      <c r="C11" s="38" t="str">
        <f ca="1">E11</f>
        <v>{"dossierBezeichnung":p.DossierName3,"eroeffnetAm":"04.11.2025","dossierSprache":"Deutsch"}</v>
      </c>
      <c r="D11" s="13" t="s">
        <v>28</v>
      </c>
      <c r="E11" s="45" t="str">
        <f t="shared" ca="1" si="1"/>
        <v>{"dossierBezeichnung":p.DossierName3,"eroeffnetAm":"04.11.2025","dossierSprache":"Deutsch"}</v>
      </c>
      <c r="F11" s="46" t="s">
        <v>123</v>
      </c>
      <c r="G11" s="13" t="str">
        <f>G63</f>
        <v>p.DossierName3</v>
      </c>
      <c r="H11" s="46" t="s">
        <v>124</v>
      </c>
      <c r="I11" s="65" t="str">
        <f ca="1">TEXT(TEXT(TODAY(),"DD")&amp;"."&amp;TEXT(TODAY(),"MM")&amp;"."&amp;TEXT(TODAY(),"YYYY"),"DD.MM.YYYY")</f>
        <v>04.11.2025</v>
      </c>
      <c r="J11" s="46" t="s">
        <v>125</v>
      </c>
      <c r="K11" s="13" t="s">
        <v>85</v>
      </c>
      <c r="L11" s="46" t="s">
        <v>37</v>
      </c>
      <c r="N11" s="46"/>
      <c r="P11" s="46"/>
      <c r="R11" s="46"/>
      <c r="T11" s="46"/>
      <c r="V11" s="46"/>
    </row>
    <row r="12" spans="1:59" s="438" customFormat="1" ht="15.75" customHeight="1">
      <c r="A12" s="21">
        <v>11</v>
      </c>
      <c r="B12" s="24" t="s">
        <v>134</v>
      </c>
      <c r="C12" s="437" t="str">
        <f>E12</f>
        <v>{"username":"Bern.Sachbearbeiterin@diartis.ch","password":"XXxa22?pdTA66-S@"}</v>
      </c>
      <c r="D12" s="82" t="s">
        <v>28</v>
      </c>
      <c r="E12" s="83" t="str">
        <f t="shared" si="1"/>
        <v>{"username":"Bern.Sachbearbeiterin@diartis.ch","password":"XXxa22?pdTA66-S@"}</v>
      </c>
      <c r="F12" s="84" t="s">
        <v>29</v>
      </c>
      <c r="G12" s="85" t="s">
        <v>30</v>
      </c>
      <c r="H12" s="84" t="s">
        <v>31</v>
      </c>
      <c r="I12" s="86" t="s">
        <v>32</v>
      </c>
      <c r="J12" s="84" t="s">
        <v>37</v>
      </c>
      <c r="K12" s="87"/>
      <c r="L12" s="84"/>
      <c r="N12" s="84"/>
      <c r="P12" s="84"/>
      <c r="R12" s="84"/>
      <c r="T12" s="84"/>
      <c r="V12" s="84"/>
    </row>
    <row r="13" spans="1:59" s="67" customFormat="1" ht="15.75" customHeight="1">
      <c r="A13" s="21">
        <v>12</v>
      </c>
      <c r="B13" s="54" t="s">
        <v>139</v>
      </c>
      <c r="C13" s="89" t="str">
        <f>E13</f>
        <v>{"searchDossierOrKlient":p.DossierName3,"resultType":"Dossiers"}</v>
      </c>
      <c r="D13" s="90" t="s">
        <v>28</v>
      </c>
      <c r="E13" s="91" t="str">
        <f t="shared" si="1"/>
        <v>{"searchDossierOrKlient":p.DossierName3,"resultType":"Dossiers"}</v>
      </c>
      <c r="F13" s="92" t="s">
        <v>140</v>
      </c>
      <c r="G13" s="133" t="str">
        <f>'00z'!$G$11</f>
        <v>p.DossierName3</v>
      </c>
      <c r="H13" s="92" t="s">
        <v>141</v>
      </c>
      <c r="I13" s="90" t="s">
        <v>142</v>
      </c>
      <c r="J13" s="92" t="s">
        <v>37</v>
      </c>
      <c r="L13" s="92"/>
      <c r="N13" s="92"/>
      <c r="P13" s="92"/>
      <c r="R13" s="92"/>
      <c r="T13" s="92"/>
      <c r="V13" s="92"/>
    </row>
    <row r="14" spans="1:59" s="439" customFormat="1" ht="15.75" customHeight="1">
      <c r="A14" s="21">
        <v>13</v>
      </c>
      <c r="B14" s="75" t="s">
        <v>127</v>
      </c>
      <c r="C14" s="38" t="str">
        <f>E14</f>
        <v>{"dossierInstitution":p.DossierName3,"klientschaft":`${p.FamilyName3}, ${p.ManFirstName3}`,"buttonBewilligung":"Anfragen","checkStatus":"In Bearbeitung"}</v>
      </c>
      <c r="D14" s="76" t="s">
        <v>28</v>
      </c>
      <c r="E14" s="77" t="str">
        <f t="shared" si="1"/>
        <v>{"dossierInstitution":p.DossierName3,"klientschaft":`${p.FamilyName3}, ${p.ManFirstName3}`,"buttonBewilligung":"Anfragen","checkStatus":"In Bearbeitung"}</v>
      </c>
      <c r="F14" s="78" t="s">
        <v>128</v>
      </c>
      <c r="G14" s="80" t="str">
        <f>'00z'!$G$11</f>
        <v>p.DossierName3</v>
      </c>
      <c r="H14" s="78" t="s">
        <v>129</v>
      </c>
      <c r="I14" s="76" t="str">
        <f>I22</f>
        <v>${p.FamilyName3}, ${p.ManFirstName3}</v>
      </c>
      <c r="J14" s="78" t="s">
        <v>130</v>
      </c>
      <c r="K14" s="80" t="s">
        <v>131</v>
      </c>
      <c r="L14" s="78" t="s">
        <v>132</v>
      </c>
      <c r="M14" s="78" t="s">
        <v>133</v>
      </c>
      <c r="N14" s="78" t="s">
        <v>37</v>
      </c>
      <c r="P14" s="78"/>
      <c r="R14" s="78"/>
      <c r="T14" s="78"/>
      <c r="V14" s="78"/>
    </row>
    <row r="15" spans="1:59" s="10" customFormat="1" ht="15.75" customHeight="1">
      <c r="A15" s="449">
        <v>43</v>
      </c>
      <c r="B15" s="440" t="s">
        <v>134</v>
      </c>
      <c r="C15" s="441" t="s">
        <v>138</v>
      </c>
      <c r="D15" s="10" t="s">
        <v>28</v>
      </c>
      <c r="E15" s="12" t="s">
        <v>1152</v>
      </c>
      <c r="F15" s="442" t="s">
        <v>29</v>
      </c>
      <c r="G15" s="10" t="s">
        <v>30</v>
      </c>
      <c r="H15" s="442" t="s">
        <v>31</v>
      </c>
      <c r="I15" s="10" t="s">
        <v>32</v>
      </c>
      <c r="J15" s="442" t="s">
        <v>37</v>
      </c>
      <c r="L15" s="442"/>
      <c r="N15" s="442"/>
      <c r="P15" s="442"/>
      <c r="R15" s="442"/>
      <c r="T15" s="442"/>
      <c r="V15" s="442"/>
    </row>
    <row r="16" spans="1:59" s="439" customFormat="1" ht="15.75" customHeight="1">
      <c r="A16" s="21">
        <v>15</v>
      </c>
      <c r="B16" s="75" t="s">
        <v>127</v>
      </c>
      <c r="C16" s="38" t="str">
        <f t="shared" ref="C16:C25" si="2">E16</f>
        <v>{"dossierInstitution":p.DossierName3,"klientschaft":`${p.FamilyName3}, ${p.ManFirstName3}`,"buttonBewilligung":"Bewilligen","checkStatus":"Bewilligt"}</v>
      </c>
      <c r="D16" s="76" t="s">
        <v>28</v>
      </c>
      <c r="E16" s="77" t="str">
        <f t="shared" si="1"/>
        <v>{"dossierInstitution":p.DossierName3,"klientschaft":`${p.FamilyName3}, ${p.ManFirstName3}`,"buttonBewilligung":"Bewilligen","checkStatus":"Bewilligt"}</v>
      </c>
      <c r="F16" s="78" t="s">
        <v>128</v>
      </c>
      <c r="G16" s="80" t="str">
        <f>'00z'!$G$11</f>
        <v>p.DossierName3</v>
      </c>
      <c r="H16" s="78" t="s">
        <v>129</v>
      </c>
      <c r="I16" s="76" t="str">
        <f>I22</f>
        <v>${p.FamilyName3}, ${p.ManFirstName3}</v>
      </c>
      <c r="J16" s="78" t="s">
        <v>130</v>
      </c>
      <c r="K16" s="80" t="s">
        <v>136</v>
      </c>
      <c r="L16" s="78" t="s">
        <v>132</v>
      </c>
      <c r="M16" s="78" t="s">
        <v>137</v>
      </c>
      <c r="N16" s="78" t="s">
        <v>37</v>
      </c>
      <c r="P16" s="78"/>
      <c r="R16" s="78"/>
      <c r="T16" s="78"/>
      <c r="V16" s="78"/>
    </row>
    <row r="17" spans="1:32" s="185" customFormat="1" ht="15.75" customHeight="1">
      <c r="A17" s="21">
        <v>16</v>
      </c>
      <c r="B17" s="443" t="s">
        <v>143</v>
      </c>
      <c r="C17" s="38" t="str">
        <f t="shared" si="2"/>
        <v>{"vermieter":"Graber Immobilien, 3000 Bern","wohnungsgrosse":"4 Zimmer","mietkosten":1200,"nebenkosten":100}</v>
      </c>
      <c r="D17" s="13" t="s">
        <v>28</v>
      </c>
      <c r="E17" s="45" t="str">
        <f t="shared" si="1"/>
        <v>{"vermieter":"Graber Immobilien, 3000 Bern","wohnungsgrosse":"4 Zimmer","mietkosten":1200,"nebenkosten":100}</v>
      </c>
      <c r="F17" s="46" t="s">
        <v>144</v>
      </c>
      <c r="G17" s="93" t="s">
        <v>267</v>
      </c>
      <c r="H17" s="46" t="s">
        <v>146</v>
      </c>
      <c r="I17" s="13" t="s">
        <v>147</v>
      </c>
      <c r="J17" s="46" t="s">
        <v>148</v>
      </c>
      <c r="K17" s="13">
        <v>1200</v>
      </c>
      <c r="L17" s="46" t="s">
        <v>149</v>
      </c>
      <c r="M17" s="13">
        <v>100</v>
      </c>
      <c r="N17" s="46" t="s">
        <v>109</v>
      </c>
      <c r="P17" s="46"/>
      <c r="R17" s="46"/>
      <c r="T17" s="46"/>
      <c r="V17" s="46"/>
    </row>
    <row r="18" spans="1:32" s="185" customFormat="1" ht="15.75" customHeight="1">
      <c r="A18" s="21">
        <v>17</v>
      </c>
      <c r="B18" s="94" t="s">
        <v>150</v>
      </c>
      <c r="C18" s="38" t="str">
        <f t="shared" ca="1" si="2"/>
        <v>{"name":p.FamilyName3,"vorname":p.WomanFirstName3,"geburtsdatum":p.BirthdayAdult4,"ahvNumber":p.AHVNumber10,"personInhausltVon":"01.11.2024","inHauslt":"Übernehmen","ereignis":"Eheschliessung"}</v>
      </c>
      <c r="D18" s="13" t="s">
        <v>28</v>
      </c>
      <c r="E18" s="45" t="str">
        <f t="shared" ca="1" si="1"/>
        <v>{"name":p.FamilyName3,"vorname":p.WomanFirstName3,"geburtsdatum":p.BirthdayAdult4,"ahvNumber":p.AHVNumber10,"personInhausltVon":"01.11.2024","inHauslt":"Übernehmen","ereignis":"Eheschliessung"}</v>
      </c>
      <c r="F18" s="46" t="s">
        <v>78</v>
      </c>
      <c r="G18" s="13" t="str">
        <f>G5</f>
        <v>p.FamilyName3</v>
      </c>
      <c r="H18" s="46" t="s">
        <v>79</v>
      </c>
      <c r="I18" s="13" t="str">
        <f>H64</f>
        <v>p.WomanFirstName3</v>
      </c>
      <c r="J18" s="46" t="s">
        <v>151</v>
      </c>
      <c r="K18" s="65" t="str">
        <f>J64</f>
        <v>p.BirthdayAdult4</v>
      </c>
      <c r="L18" s="46" t="s">
        <v>83</v>
      </c>
      <c r="M18" s="13" t="str">
        <f>I64</f>
        <v>p.AHVNumber10</v>
      </c>
      <c r="N18" s="46" t="s">
        <v>152</v>
      </c>
      <c r="O18" s="65" t="str">
        <f ca="1">"01."&amp;MONTH(TODAY())&amp;".2024"</f>
        <v>01.11.2024</v>
      </c>
      <c r="P18" s="46" t="s">
        <v>153</v>
      </c>
      <c r="Q18" s="13" t="s">
        <v>154</v>
      </c>
      <c r="R18" s="46" t="s">
        <v>155</v>
      </c>
      <c r="S18" s="13" t="s">
        <v>156</v>
      </c>
      <c r="T18" s="46" t="s">
        <v>37</v>
      </c>
      <c r="V18" s="46"/>
      <c r="Y18" s="13" t="str">
        <f ca="1">"756"&amp;RIGHT(AC18,9)&amp;Z18</f>
        <v>7564331903605</v>
      </c>
      <c r="Z18" s="182">
        <f ca="1">ROUNDUP(SUM(LEFT($AC18,1)*1+RIGHT(LEFT($AC18,12),1)*3+RIGHT(LEFT($AC18,11),1)*1+RIGHT(LEFT($AC18,10),1)*3+RIGHT(LEFT($AC18,9),1)*1+RIGHT(LEFT($AC18,8),1)*3+RIGHT(LEFT($AC18,7),1)*1+RIGHT(LEFT($AC18,6),1)*3+RIGHT(LEFT($AC18,5),1)*1+RIGHT(LEFT($AC18,4),1)*3+RIGHT(LEFT($AC18,3),1)*1+RIGHT(LEFT($AC18,2),1)*3)/10,0)*10 - SUM(LEFT($AC18,1)*1+RIGHT(LEFT($AC18,12),1)*3+RIGHT(LEFT($AC18,11),1)*1+RIGHT(LEFT($AC18,10),1)*3+RIGHT(LEFT($AC18,9),1)*1+RIGHT(LEFT($AC18,8),1)*3+RIGHT(LEFT($AC18,7),1)*1+RIGHT(LEFT($AC18,6),1)*3+RIGHT(LEFT($AC18,5),1)*1+RIGHT(LEFT($AC18,4),1)*3+RIGHT(LEFT($AC18,3),1)*1+RIGHT(LEFT($AC18,2),1)*3)</f>
        <v>5</v>
      </c>
      <c r="AA18" s="13" t="s">
        <v>90</v>
      </c>
      <c r="AB18" s="13" t="s">
        <v>1149</v>
      </c>
      <c r="AC18" s="66">
        <f ca="1">AE18+AF18</f>
        <v>756433190360</v>
      </c>
      <c r="AE18" s="66">
        <v>756433000000</v>
      </c>
      <c r="AF18" s="66">
        <f ca="1">RANDBETWEEN(0,999999)</f>
        <v>190360</v>
      </c>
    </row>
    <row r="19" spans="1:32" s="185" customFormat="1" ht="15.75" customHeight="1">
      <c r="A19" s="21">
        <v>18</v>
      </c>
      <c r="B19" s="94" t="s">
        <v>150</v>
      </c>
      <c r="C19" s="38" t="str">
        <f t="shared" ca="1" si="2"/>
        <v>{"name":p.FamilyName3,"vorname":p.GirlFirstName3,"geburtsdatum":p.BirthdayKid3,"ahvNumber":p.AHVNumber11,"personInhausltVon":"01.11.2024","inHauslt":"Übernehmen","ereignis":"Geburt"}</v>
      </c>
      <c r="D19" s="13" t="s">
        <v>28</v>
      </c>
      <c r="E19" s="45" t="str">
        <f t="shared" ca="1" si="1"/>
        <v>{"name":p.FamilyName3,"vorname":p.GirlFirstName3,"geburtsdatum":p.BirthdayKid3,"ahvNumber":p.AHVNumber11,"personInhausltVon":"01.11.2024","inHauslt":"Übernehmen","ereignis":"Geburt"}</v>
      </c>
      <c r="F19" s="46" t="s">
        <v>78</v>
      </c>
      <c r="G19" s="13" t="str">
        <f>G18</f>
        <v>p.FamilyName3</v>
      </c>
      <c r="H19" s="46" t="s">
        <v>79</v>
      </c>
      <c r="I19" s="13" t="str">
        <f>H65</f>
        <v>p.GirlFirstName3</v>
      </c>
      <c r="J19" s="46" t="s">
        <v>151</v>
      </c>
      <c r="K19" s="65" t="str">
        <f>J65</f>
        <v>p.BirthdayKid3</v>
      </c>
      <c r="L19" s="46" t="s">
        <v>83</v>
      </c>
      <c r="M19" s="13" t="str">
        <f>I65</f>
        <v>p.AHVNumber11</v>
      </c>
      <c r="N19" s="46" t="s">
        <v>152</v>
      </c>
      <c r="O19" s="65" t="str">
        <f ca="1">"01."&amp;MONTH(TODAY())&amp;".2024"</f>
        <v>01.11.2024</v>
      </c>
      <c r="P19" s="46" t="s">
        <v>153</v>
      </c>
      <c r="Q19" s="13" t="s">
        <v>154</v>
      </c>
      <c r="R19" s="46" t="s">
        <v>155</v>
      </c>
      <c r="S19" s="13" t="s">
        <v>157</v>
      </c>
      <c r="T19" s="46" t="s">
        <v>37</v>
      </c>
      <c r="V19" s="46"/>
      <c r="Y19" s="13" t="str">
        <f ca="1">"756"&amp;RIGHT(AC19,9)&amp;Z19</f>
        <v>7564332955900</v>
      </c>
      <c r="Z19" s="182">
        <f ca="1">ROUNDUP(SUM(LEFT($AC19,1)*1+RIGHT(LEFT($AC19,12),1)*3+RIGHT(LEFT($AC19,11),1)*1+RIGHT(LEFT($AC19,10),1)*3+RIGHT(LEFT($AC19,9),1)*1+RIGHT(LEFT($AC19,8),1)*3+RIGHT(LEFT($AC19,7),1)*1+RIGHT(LEFT($AC19,6),1)*3+RIGHT(LEFT($AC19,5),1)*1+RIGHT(LEFT($AC19,4),1)*3+RIGHT(LEFT($AC19,3),1)*1+RIGHT(LEFT($AC19,2),1)*3)/10,0)*10 - SUM(LEFT($AC19,1)*1+RIGHT(LEFT($AC19,12),1)*3+RIGHT(LEFT($AC19,11),1)*1+RIGHT(LEFT($AC19,10),1)*3+RIGHT(LEFT($AC19,9),1)*1+RIGHT(LEFT($AC19,8),1)*3+RIGHT(LEFT($AC19,7),1)*1+RIGHT(LEFT($AC19,6),1)*3+RIGHT(LEFT($AC19,5),1)*1+RIGHT(LEFT($AC19,4),1)*3+RIGHT(LEFT($AC19,3),1)*1+RIGHT(LEFT($AC19,2),1)*3)</f>
        <v>0</v>
      </c>
      <c r="AA19" s="13" t="s">
        <v>90</v>
      </c>
      <c r="AB19" s="13" t="s">
        <v>1149</v>
      </c>
      <c r="AC19" s="66">
        <f ca="1">AE19+AF19</f>
        <v>756433295590</v>
      </c>
      <c r="AE19" s="66">
        <v>756433000000</v>
      </c>
      <c r="AF19" s="66">
        <f ca="1">RANDBETWEEN(0,999999)</f>
        <v>295590</v>
      </c>
    </row>
    <row r="20" spans="1:32" s="185" customFormat="1" ht="15.75" customHeight="1">
      <c r="A20" s="21">
        <v>19</v>
      </c>
      <c r="B20" s="94" t="s">
        <v>150</v>
      </c>
      <c r="C20" s="38" t="str">
        <f t="shared" ca="1" si="2"/>
        <v>{"name":p.FamilyName3,"vorname":p.ManFirstName4,"geburtsdatum":p.BirthdayKid4,"ahvNumber":p.AHVNumber12,"personInhausltVon":"01.11.2024","inHauslt":"Übernehmen","ereignis":"Geburt"}</v>
      </c>
      <c r="D20" s="13" t="s">
        <v>28</v>
      </c>
      <c r="E20" s="45" t="str">
        <f t="shared" ca="1" si="1"/>
        <v>{"name":p.FamilyName3,"vorname":p.ManFirstName4,"geburtsdatum":p.BirthdayKid4,"ahvNumber":p.AHVNumber12,"personInhausltVon":"01.11.2024","inHauslt":"Übernehmen","ereignis":"Geburt"}</v>
      </c>
      <c r="F20" s="46" t="s">
        <v>78</v>
      </c>
      <c r="G20" s="13" t="str">
        <f>G19</f>
        <v>p.FamilyName3</v>
      </c>
      <c r="H20" s="46" t="s">
        <v>79</v>
      </c>
      <c r="I20" s="13" t="str">
        <f>H66</f>
        <v>p.ManFirstName4</v>
      </c>
      <c r="J20" s="46" t="s">
        <v>151</v>
      </c>
      <c r="K20" s="65" t="str">
        <f>J66</f>
        <v>p.BirthdayKid4</v>
      </c>
      <c r="L20" s="46" t="s">
        <v>83</v>
      </c>
      <c r="M20" s="13" t="str">
        <f>I66</f>
        <v>p.AHVNumber12</v>
      </c>
      <c r="N20" s="46" t="s">
        <v>152</v>
      </c>
      <c r="O20" s="65" t="str">
        <f ca="1">"01."&amp;MONTH(TODAY())&amp;".2024"</f>
        <v>01.11.2024</v>
      </c>
      <c r="P20" s="46" t="s">
        <v>153</v>
      </c>
      <c r="Q20" s="13" t="s">
        <v>154</v>
      </c>
      <c r="R20" s="46" t="s">
        <v>155</v>
      </c>
      <c r="S20" s="13" t="s">
        <v>157</v>
      </c>
      <c r="T20" s="46" t="s">
        <v>37</v>
      </c>
      <c r="V20" s="46"/>
      <c r="Y20" s="13" t="str">
        <f ca="1">"756"&amp;RIGHT(AC20,9)&amp;Z20</f>
        <v>7564331111024</v>
      </c>
      <c r="Z20" s="182">
        <f ca="1">ROUNDUP(SUM(LEFT($AC20,1)*1+RIGHT(LEFT($AC20,12),1)*3+RIGHT(LEFT($AC20,11),1)*1+RIGHT(LEFT($AC20,10),1)*3+RIGHT(LEFT($AC20,9),1)*1+RIGHT(LEFT($AC20,8),1)*3+RIGHT(LEFT($AC20,7),1)*1+RIGHT(LEFT($AC20,6),1)*3+RIGHT(LEFT($AC20,5),1)*1+RIGHT(LEFT($AC20,4),1)*3+RIGHT(LEFT($AC20,3),1)*1+RIGHT(LEFT($AC20,2),1)*3)/10,0)*10 - SUM(LEFT($AC20,1)*1+RIGHT(LEFT($AC20,12),1)*3+RIGHT(LEFT($AC20,11),1)*1+RIGHT(LEFT($AC20,10),1)*3+RIGHT(LEFT($AC20,9),1)*1+RIGHT(LEFT($AC20,8),1)*3+RIGHT(LEFT($AC20,7),1)*1+RIGHT(LEFT($AC20,6),1)*3+RIGHT(LEFT($AC20,5),1)*1+RIGHT(LEFT($AC20,4),1)*3+RIGHT(LEFT($AC20,3),1)*1+RIGHT(LEFT($AC20,2),1)*3)</f>
        <v>4</v>
      </c>
      <c r="AA20" s="13" t="s">
        <v>90</v>
      </c>
      <c r="AB20" s="13" t="s">
        <v>1149</v>
      </c>
      <c r="AC20" s="66">
        <f ca="1">AE20+AF20</f>
        <v>756433111102</v>
      </c>
      <c r="AE20" s="66">
        <v>756433000000</v>
      </c>
      <c r="AF20" s="66">
        <f ca="1">RANDBETWEEN(0,999999)</f>
        <v>111102</v>
      </c>
    </row>
    <row r="21" spans="1:32" s="185" customFormat="1" ht="15.75" customHeight="1">
      <c r="A21" s="21">
        <v>20</v>
      </c>
      <c r="B21" s="443" t="s">
        <v>143</v>
      </c>
      <c r="C21" s="38" t="str">
        <f t="shared" si="2"/>
        <v>{"vermieter":"Graber Immobilien, 3000 Bern","wohnungsgrosse":"4 Zimmer","mietkosten":3000,"nebenkosten":300}</v>
      </c>
      <c r="D21" s="13" t="s">
        <v>28</v>
      </c>
      <c r="E21" s="45" t="str">
        <f t="shared" si="1"/>
        <v>{"vermieter":"Graber Immobilien, 3000 Bern","wohnungsgrosse":"4 Zimmer","mietkosten":3000,"nebenkosten":300}</v>
      </c>
      <c r="F21" s="46" t="s">
        <v>144</v>
      </c>
      <c r="G21" s="93" t="s">
        <v>267</v>
      </c>
      <c r="H21" s="46" t="s">
        <v>146</v>
      </c>
      <c r="I21" s="13" t="s">
        <v>147</v>
      </c>
      <c r="J21" s="46" t="s">
        <v>148</v>
      </c>
      <c r="K21" s="13">
        <v>3000</v>
      </c>
      <c r="L21" s="46" t="s">
        <v>149</v>
      </c>
      <c r="M21" s="13">
        <v>300</v>
      </c>
      <c r="N21" s="46" t="s">
        <v>109</v>
      </c>
      <c r="P21" s="46"/>
      <c r="R21" s="46"/>
      <c r="T21" s="46"/>
      <c r="V21" s="46"/>
    </row>
    <row r="22" spans="1:32" s="185" customFormat="1" ht="15.75" customHeight="1">
      <c r="A22" s="21">
        <v>21</v>
      </c>
      <c r="B22" s="97" t="s">
        <v>158</v>
      </c>
      <c r="C22" s="38" t="str">
        <f t="shared" si="2"/>
        <v>{"dossier":p.DossierName3,"klientschaft":`${p.FamilyName3}, ${p.ManFirstName3}`}</v>
      </c>
      <c r="D22" s="13" t="s">
        <v>28</v>
      </c>
      <c r="E22" s="45" t="str">
        <f t="shared" si="1"/>
        <v>{"dossier":p.DossierName3,"klientschaft":`${p.FamilyName3}, ${p.ManFirstName3}`}</v>
      </c>
      <c r="F22" s="98" t="s">
        <v>159</v>
      </c>
      <c r="G22" s="13" t="str">
        <f>G11</f>
        <v>p.DossierName3</v>
      </c>
      <c r="H22" s="46" t="s">
        <v>129</v>
      </c>
      <c r="I22" s="13" t="str">
        <f>"${"&amp;$G$4&amp;"}, ${"&amp;$I$4&amp;"}"</f>
        <v>${p.FamilyName3}, ${p.ManFirstName3}</v>
      </c>
      <c r="J22" s="46" t="s">
        <v>160</v>
      </c>
      <c r="L22" s="46"/>
      <c r="N22" s="46"/>
      <c r="P22" s="46"/>
      <c r="R22" s="46"/>
      <c r="T22" s="46"/>
      <c r="V22" s="46"/>
    </row>
    <row r="23" spans="1:32" s="185" customFormat="1" ht="15.75" customHeight="1">
      <c r="A23" s="21">
        <v>22</v>
      </c>
      <c r="B23" s="100" t="s">
        <v>161</v>
      </c>
      <c r="C23" s="38" t="str">
        <f t="shared" si="2"/>
        <v>{"panelTitle":"Erwerbssituation / Einnahmen","zahlbarDurch":"BKW Energie AG, 3013 Bern","pensumm":"100","betrag":"1000","gueltigVon":"01.01.2024","gueltigBis":"31.12.2024","checkbox":"x"}</v>
      </c>
      <c r="D23" s="13" t="s">
        <v>28</v>
      </c>
      <c r="E23" s="45" t="str">
        <f t="shared" si="1"/>
        <v>{"panelTitle":"Erwerbssituation / Einnahmen","zahlbarDurch":"BKW Energie AG, 3013 Bern","pensumm":"100","betrag":"1000","gueltigVon":"01.01.2024","gueltigBis":"31.12.2024","checkbox":"x"}</v>
      </c>
      <c r="F23" s="101" t="s">
        <v>268</v>
      </c>
      <c r="G23" s="13" t="s">
        <v>269</v>
      </c>
      <c r="H23" s="46" t="s">
        <v>176</v>
      </c>
      <c r="I23" s="13" t="s">
        <v>270</v>
      </c>
      <c r="J23" s="46" t="s">
        <v>165</v>
      </c>
      <c r="K23" s="13">
        <v>100</v>
      </c>
      <c r="L23" s="46" t="s">
        <v>166</v>
      </c>
      <c r="M23" s="13">
        <v>1000</v>
      </c>
      <c r="N23" s="46" t="s">
        <v>167</v>
      </c>
      <c r="O23" s="63" t="s">
        <v>271</v>
      </c>
      <c r="P23" s="13" t="s">
        <v>168</v>
      </c>
      <c r="Q23" s="63" t="s">
        <v>223</v>
      </c>
      <c r="R23" s="46" t="s">
        <v>169</v>
      </c>
      <c r="S23" s="13" t="s">
        <v>170</v>
      </c>
      <c r="T23" s="46" t="s">
        <v>37</v>
      </c>
      <c r="V23" s="46"/>
    </row>
    <row r="24" spans="1:32" s="444" customFormat="1" ht="15.75" customHeight="1">
      <c r="A24" s="21">
        <v>23</v>
      </c>
      <c r="B24" s="108" t="s">
        <v>139</v>
      </c>
      <c r="C24" s="38" t="str">
        <f t="shared" si="2"/>
        <v>{"searchDossierOrKlient":p.DossierName3,"resultType":"Dossiers"}</v>
      </c>
      <c r="D24" s="56" t="s">
        <v>28</v>
      </c>
      <c r="E24" s="109" t="str">
        <f t="shared" si="1"/>
        <v>{"searchDossierOrKlient":p.DossierName3,"resultType":"Dossiers"}</v>
      </c>
      <c r="F24" s="110" t="s">
        <v>140</v>
      </c>
      <c r="G24" s="160" t="str">
        <f>'00z'!$G$11</f>
        <v>p.DossierName3</v>
      </c>
      <c r="H24" s="110" t="s">
        <v>141</v>
      </c>
      <c r="I24" s="56" t="s">
        <v>142</v>
      </c>
      <c r="J24" s="110" t="s">
        <v>37</v>
      </c>
      <c r="L24" s="110"/>
      <c r="N24" s="110"/>
      <c r="P24" s="110"/>
      <c r="R24" s="110"/>
      <c r="T24" s="110"/>
      <c r="V24" s="110"/>
    </row>
    <row r="25" spans="1:32" s="444" customFormat="1" ht="15.75" customHeight="1">
      <c r="A25" s="21">
        <v>24</v>
      </c>
      <c r="B25" s="112" t="s">
        <v>180</v>
      </c>
      <c r="C25" s="38" t="str">
        <f t="shared" ca="1" si="2"/>
        <v>{"entscheidVom":"04.11.2025","begrundung":"Gar keine Begründung","unterstutzungab":"01.11.2025"}</v>
      </c>
      <c r="D25" s="56" t="s">
        <v>28</v>
      </c>
      <c r="E25" s="109" t="str">
        <f t="shared" ca="1" si="1"/>
        <v>{"entscheidVom":"04.11.2025","begrundung":"Gar keine Begründung","unterstutzungab":"01.11.2025"}</v>
      </c>
      <c r="F25" s="110" t="s">
        <v>181</v>
      </c>
      <c r="G25" s="160" t="str">
        <f ca="1">TEXT(TEXT(TODAY(),"DD")&amp;"."&amp;TEXT(TODAY(),"MM")&amp;"."&amp;TEXT(TODAY(),"YYYY"),"DD.MM.YYYY")</f>
        <v>04.11.2025</v>
      </c>
      <c r="H25" s="110" t="s">
        <v>182</v>
      </c>
      <c r="I25" s="56" t="s">
        <v>183</v>
      </c>
      <c r="J25" s="110" t="s">
        <v>184</v>
      </c>
      <c r="K25" s="160" t="str">
        <f ca="1">TEXT(TEXT(1,"DD")&amp;"."&amp;TEXT(TODAY(),"MM")&amp;"."&amp;TEXT(TODAY(),"YYYY"),"DD.MM.YYYY")</f>
        <v>01.11.2025</v>
      </c>
      <c r="L25" s="110" t="s">
        <v>37</v>
      </c>
      <c r="N25" s="110"/>
      <c r="P25" s="110"/>
      <c r="R25" s="110"/>
      <c r="T25" s="110"/>
      <c r="V25" s="110"/>
    </row>
    <row r="26" spans="1:32" s="445" customFormat="1" ht="15.75" customHeight="1">
      <c r="A26" s="21">
        <v>25</v>
      </c>
      <c r="B26" s="72" t="s">
        <v>22</v>
      </c>
      <c r="C26" s="55" t="s">
        <v>287</v>
      </c>
      <c r="E26" s="57"/>
      <c r="F26" s="58"/>
      <c r="G26" s="73"/>
    </row>
    <row r="27" spans="1:32" s="444" customFormat="1" ht="15.75" customHeight="1">
      <c r="A27" s="21">
        <v>26</v>
      </c>
      <c r="B27" s="113" t="s">
        <v>1153</v>
      </c>
      <c r="C27" s="38" t="str">
        <f ca="1">E27</f>
        <v>{"ubernahmeWohnkostenCFH":"100","uebernahmeWohnkostenVon":"01.11.2025","uebernahmeWohnkostenBis":"27.5.2025","uebernahemBegruendung":"Die Wohnungen sind teuer hier"}</v>
      </c>
      <c r="D27" s="56" t="s">
        <v>28</v>
      </c>
      <c r="E27" s="109" t="str">
        <f ca="1">F27&amp;G27&amp;H27&amp;I27&amp;J27&amp;K27&amp;L27&amp;M27&amp;N27&amp;O27&amp;P27&amp;Q27&amp;R27&amp;S27&amp;T27&amp;U27&amp;V27&amp;W27&amp;X27</f>
        <v>{"ubernahmeWohnkostenCFH":"100","uebernahmeWohnkostenVon":"01.11.2025","uebernahmeWohnkostenBis":"27.5.2025","uebernahemBegruendung":"Die Wohnungen sind teuer hier"}</v>
      </c>
      <c r="F27" s="114" t="s">
        <v>186</v>
      </c>
      <c r="G27" s="56">
        <v>100</v>
      </c>
      <c r="H27" s="56" t="s">
        <v>187</v>
      </c>
      <c r="I27" s="160" t="str">
        <f ca="1">"01."&amp;MONTH(TODAY())&amp;"."&amp;YEAR(TODAY())</f>
        <v>01.11.2025</v>
      </c>
      <c r="J27" s="56" t="s">
        <v>188</v>
      </c>
      <c r="K27" s="160" t="str">
        <f ca="1">"27."&amp;MONTH(TODAY()+180)&amp;"."&amp;YEAR(TODAY())</f>
        <v>27.5.2025</v>
      </c>
      <c r="L27" s="110" t="s">
        <v>189</v>
      </c>
      <c r="M27" s="56" t="s">
        <v>190</v>
      </c>
      <c r="N27" s="110" t="s">
        <v>37</v>
      </c>
    </row>
    <row r="28" spans="1:32" s="445" customFormat="1" ht="15.75" customHeight="1">
      <c r="A28" s="21">
        <v>27</v>
      </c>
      <c r="B28" s="72" t="s">
        <v>22</v>
      </c>
      <c r="C28" s="55" t="s">
        <v>287</v>
      </c>
      <c r="E28" s="57"/>
      <c r="F28" s="58"/>
      <c r="G28" s="73"/>
    </row>
    <row r="29" spans="1:32" s="438" customFormat="1" ht="15.75" customHeight="1">
      <c r="A29" s="21">
        <v>28</v>
      </c>
      <c r="B29" s="115" t="s">
        <v>191</v>
      </c>
      <c r="C29" s="38" t="str">
        <f ca="1">E29</f>
        <v>{"lEvonDate":"04.11.2025","lEbisDate":"04.11.2026","checkStatus":"In Bearbeitung"}</v>
      </c>
      <c r="D29" s="82" t="s">
        <v>28</v>
      </c>
      <c r="E29" s="83" t="str">
        <f ca="1">F29&amp;G29&amp;H29&amp;I29&amp;J29&amp;K29&amp;L29&amp;M29&amp;N29&amp;O29&amp;P29&amp;Q29&amp;R29&amp;S29&amp;T29&amp;U29&amp;V29&amp;W29&amp;X29</f>
        <v>{"lEvonDate":"04.11.2025","lEbisDate":"04.11.2026","checkStatus":"In Bearbeitung"}</v>
      </c>
      <c r="F29" s="84" t="s">
        <v>192</v>
      </c>
      <c r="G29" s="87" t="str">
        <f ca="1">TEXT(TEXT(TODAY(),"DD")&amp;"."&amp;TEXT(TODAY(),"MM")&amp;"."&amp;TEXT(TODAY(),"YYYY"),"DD.MM.YYYY")</f>
        <v>04.11.2025</v>
      </c>
      <c r="H29" s="84" t="s">
        <v>193</v>
      </c>
      <c r="I29" s="87" t="str">
        <f ca="1">TEXT(TEXT(TODAY(),"DD")&amp;"."&amp;TEXT(TODAY(),"MM")&amp;"."&amp;TEXT(TODAY()+360,"YYYY"),"DD.MM.YYYY")</f>
        <v>04.11.2026</v>
      </c>
      <c r="J29" s="84" t="s">
        <v>132</v>
      </c>
      <c r="K29" s="82" t="s">
        <v>133</v>
      </c>
      <c r="L29" s="84" t="s">
        <v>37</v>
      </c>
      <c r="N29" s="84"/>
      <c r="P29" s="84"/>
      <c r="R29" s="84"/>
      <c r="T29" s="84"/>
      <c r="V29" s="84"/>
    </row>
    <row r="30" spans="1:32" s="445" customFormat="1" ht="15.75" customHeight="1">
      <c r="A30" s="21">
        <v>29</v>
      </c>
      <c r="B30" s="72" t="s">
        <v>22</v>
      </c>
      <c r="C30" s="55" t="s">
        <v>287</v>
      </c>
      <c r="E30" s="57"/>
      <c r="F30" s="58"/>
      <c r="G30" s="59"/>
    </row>
    <row r="31" spans="1:32" s="438" customFormat="1" ht="15.75" customHeight="1">
      <c r="A31" s="21">
        <v>30</v>
      </c>
      <c r="B31" s="24" t="s">
        <v>134</v>
      </c>
      <c r="C31" s="437" t="str">
        <f>E31</f>
        <v>{"username":"Bern.Sachbearbeiterin@diartis.ch","password":"XXxa22?pdTA66-S@"}</v>
      </c>
      <c r="D31" s="82" t="s">
        <v>28</v>
      </c>
      <c r="E31" s="83" t="str">
        <f>F31&amp;G31&amp;H31&amp;I31&amp;J31&amp;K31&amp;L31&amp;M31&amp;N31&amp;O31&amp;P31&amp;Q31&amp;R31&amp;S31&amp;T31&amp;U31&amp;V31&amp;W31&amp;X31</f>
        <v>{"username":"Bern.Sachbearbeiterin@diartis.ch","password":"XXxa22?pdTA66-S@"}</v>
      </c>
      <c r="F31" s="84" t="s">
        <v>29</v>
      </c>
      <c r="G31" s="85" t="s">
        <v>30</v>
      </c>
      <c r="H31" s="84" t="s">
        <v>31</v>
      </c>
      <c r="I31" s="86" t="s">
        <v>32</v>
      </c>
      <c r="J31" s="84" t="s">
        <v>37</v>
      </c>
      <c r="K31" s="87"/>
      <c r="L31" s="84"/>
      <c r="N31" s="84"/>
      <c r="P31" s="84"/>
      <c r="R31" s="84"/>
      <c r="T31" s="84"/>
      <c r="V31" s="84"/>
    </row>
    <row r="32" spans="1:32" s="445" customFormat="1" ht="15.75" customHeight="1">
      <c r="A32" s="21">
        <v>31</v>
      </c>
      <c r="B32" s="72" t="s">
        <v>22</v>
      </c>
      <c r="C32" s="55" t="s">
        <v>287</v>
      </c>
      <c r="E32" s="57"/>
      <c r="F32" s="58"/>
      <c r="G32" s="59"/>
    </row>
    <row r="33" spans="1:22" s="438" customFormat="1" ht="15.75" customHeight="1">
      <c r="A33" s="21">
        <v>32</v>
      </c>
      <c r="B33" s="115" t="s">
        <v>273</v>
      </c>
      <c r="C33" s="38" t="str">
        <f>E33</f>
        <v>{"dossier":p.DossierName3,"buttonName":"Prüfung OK","checkStatus":"In Bearbeitung"}</v>
      </c>
      <c r="D33" s="82" t="s">
        <v>28</v>
      </c>
      <c r="E33" s="83" t="str">
        <f>F33&amp;G33&amp;H33&amp;I33&amp;J33&amp;K33&amp;L33&amp;M33&amp;N33&amp;O33&amp;P33&amp;Q33&amp;R33&amp;S33&amp;T33&amp;U33&amp;V33&amp;W33&amp;X33</f>
        <v>{"dossier":p.DossierName3,"buttonName":"Prüfung OK","checkStatus":"In Bearbeitung"}</v>
      </c>
      <c r="F33" s="84" t="s">
        <v>159</v>
      </c>
      <c r="G33" s="87" t="str">
        <f>'00z'!$G$11</f>
        <v>p.DossierName3</v>
      </c>
      <c r="H33" s="84" t="s">
        <v>198</v>
      </c>
      <c r="I33" s="82" t="s">
        <v>199</v>
      </c>
      <c r="J33" s="84" t="s">
        <v>132</v>
      </c>
      <c r="K33" s="82" t="s">
        <v>133</v>
      </c>
      <c r="L33" s="84" t="s">
        <v>37</v>
      </c>
      <c r="N33" s="84"/>
      <c r="P33" s="84"/>
      <c r="R33" s="84"/>
      <c r="T33" s="84"/>
      <c r="V33" s="84"/>
    </row>
    <row r="34" spans="1:22" s="438" customFormat="1" ht="15.75" customHeight="1">
      <c r="A34" s="21">
        <v>33</v>
      </c>
      <c r="B34" s="24" t="s">
        <v>134</v>
      </c>
      <c r="C34" s="437" t="str">
        <f>E34</f>
        <v>{"username":"aventis-gemeinde-ma@diartis.ch","password":"#xFymiADPk7wJG/FWMz"}</v>
      </c>
      <c r="D34" s="82" t="s">
        <v>28</v>
      </c>
      <c r="E34" s="83" t="str">
        <f>F34&amp;G34&amp;H34&amp;I34&amp;J34&amp;K34&amp;L34&amp;M34&amp;N34&amp;O34&amp;P34&amp;Q34&amp;R34&amp;S34&amp;T34&amp;U34&amp;V34&amp;W34&amp;X34</f>
        <v>{"username":"aventis-gemeinde-ma@diartis.ch","password":"#xFymiADPk7wJG/FWMz"}</v>
      </c>
      <c r="F34" s="84" t="s">
        <v>29</v>
      </c>
      <c r="G34" s="85" t="s">
        <v>195</v>
      </c>
      <c r="H34" s="84" t="s">
        <v>31</v>
      </c>
      <c r="I34" s="86" t="s">
        <v>196</v>
      </c>
      <c r="J34" s="84" t="s">
        <v>37</v>
      </c>
      <c r="K34" s="87"/>
      <c r="L34" s="84"/>
      <c r="N34" s="84"/>
      <c r="P34" s="84"/>
      <c r="R34" s="84"/>
      <c r="T34" s="84"/>
      <c r="V34" s="84"/>
    </row>
    <row r="35" spans="1:22" s="445" customFormat="1" ht="15.75" customHeight="1">
      <c r="A35" s="21">
        <v>34</v>
      </c>
      <c r="B35" s="72" t="s">
        <v>22</v>
      </c>
      <c r="C35" s="55" t="s">
        <v>1154</v>
      </c>
      <c r="E35" s="57"/>
      <c r="F35" s="58"/>
      <c r="G35" s="59"/>
    </row>
    <row r="36" spans="1:22" s="438" customFormat="1" ht="15.75" customHeight="1">
      <c r="A36" s="21">
        <v>35</v>
      </c>
      <c r="B36" s="115" t="s">
        <v>273</v>
      </c>
      <c r="C36" s="38" t="str">
        <f t="shared" ref="C36:C46" si="3">E36</f>
        <v>{"dossier":p.DossierName3,"buttonName":"Bewilligen","checkStatus":"Bewilligt"}</v>
      </c>
      <c r="D36" s="82" t="s">
        <v>28</v>
      </c>
      <c r="E36" s="83" t="str">
        <f t="shared" ref="E36:E46" si="4">F36&amp;G36&amp;H36&amp;I36&amp;J36&amp;K36&amp;L36&amp;M36&amp;N36&amp;O36&amp;P36&amp;Q36&amp;R36&amp;S36&amp;T36&amp;U36&amp;V36&amp;W36&amp;X36</f>
        <v>{"dossier":p.DossierName3,"buttonName":"Bewilligen","checkStatus":"Bewilligt"}</v>
      </c>
      <c r="F36" s="84" t="s">
        <v>159</v>
      </c>
      <c r="G36" s="87" t="str">
        <f>'00z'!$G$11</f>
        <v>p.DossierName3</v>
      </c>
      <c r="H36" s="84" t="s">
        <v>198</v>
      </c>
      <c r="I36" s="82" t="s">
        <v>136</v>
      </c>
      <c r="J36" s="84" t="s">
        <v>132</v>
      </c>
      <c r="K36" s="84" t="s">
        <v>137</v>
      </c>
      <c r="L36" s="84" t="s">
        <v>37</v>
      </c>
      <c r="N36" s="84"/>
      <c r="P36" s="84"/>
      <c r="R36" s="84"/>
      <c r="T36" s="84"/>
      <c r="V36" s="84"/>
    </row>
    <row r="37" spans="1:22" s="438" customFormat="1" ht="15.75" customHeight="1">
      <c r="A37" s="21">
        <v>36</v>
      </c>
      <c r="B37" s="19" t="s">
        <v>134</v>
      </c>
      <c r="C37" s="38" t="str">
        <f t="shared" si="3"/>
        <v>{"username":"Bern.Sachbearbeiterin@diartis.ch","password":"XXxa22?pdTA66-S@"}</v>
      </c>
      <c r="D37" s="82" t="s">
        <v>28</v>
      </c>
      <c r="E37" s="83" t="str">
        <f t="shared" si="4"/>
        <v>{"username":"Bern.Sachbearbeiterin@diartis.ch","password":"XXxa22?pdTA66-S@"}</v>
      </c>
      <c r="F37" s="84" t="s">
        <v>29</v>
      </c>
      <c r="G37" s="85" t="s">
        <v>30</v>
      </c>
      <c r="H37" s="84" t="s">
        <v>31</v>
      </c>
      <c r="I37" s="86" t="s">
        <v>32</v>
      </c>
      <c r="J37" s="84" t="s">
        <v>37</v>
      </c>
      <c r="K37" s="87"/>
      <c r="L37" s="84"/>
      <c r="N37" s="84"/>
      <c r="P37" s="84"/>
      <c r="R37" s="84"/>
      <c r="T37" s="84"/>
      <c r="V37" s="84"/>
    </row>
    <row r="38" spans="1:22" s="438" customFormat="1" ht="15.75" customHeight="1">
      <c r="A38" s="21">
        <v>37</v>
      </c>
      <c r="B38" s="56" t="s">
        <v>274</v>
      </c>
      <c r="C38" s="38" t="str">
        <f t="shared" si="3"/>
        <v>{"dossierInstitution":p.DossierName3,"verwendungPeriode":"Dezember 2024","status":"Zu bezahlen"}</v>
      </c>
      <c r="D38" s="82" t="s">
        <v>28</v>
      </c>
      <c r="E38" s="83" t="str">
        <f t="shared" si="4"/>
        <v>{"dossierInstitution":p.DossierName3,"verwendungPeriode":"Dezember 2024","status":"Zu bezahlen"}</v>
      </c>
      <c r="F38" s="84" t="s">
        <v>128</v>
      </c>
      <c r="G38" s="87" t="str">
        <f>'00z'!$G$11</f>
        <v>p.DossierName3</v>
      </c>
      <c r="H38" s="84" t="s">
        <v>275</v>
      </c>
      <c r="I38" s="117" t="s">
        <v>243</v>
      </c>
      <c r="J38" s="84" t="s">
        <v>202</v>
      </c>
      <c r="K38" s="87" t="s">
        <v>203</v>
      </c>
      <c r="L38" s="84" t="s">
        <v>37</v>
      </c>
      <c r="N38" s="84"/>
      <c r="O38" s="84"/>
    </row>
    <row r="39" spans="1:22" s="438" customFormat="1" ht="15.75" customHeight="1">
      <c r="A39" s="21">
        <v>38</v>
      </c>
      <c r="B39" s="56" t="s">
        <v>274</v>
      </c>
      <c r="C39" s="38" t="str">
        <f t="shared" si="3"/>
        <v>{"dossierInstitution":p.DossierName3,"verwendungPeriode":"Juni 2024","status":"Zu bezahlen"}</v>
      </c>
      <c r="D39" s="82" t="s">
        <v>28</v>
      </c>
      <c r="E39" s="83" t="str">
        <f t="shared" si="4"/>
        <v>{"dossierInstitution":p.DossierName3,"verwendungPeriode":"Juni 2024","status":"Zu bezahlen"}</v>
      </c>
      <c r="F39" s="84" t="s">
        <v>128</v>
      </c>
      <c r="G39" s="87" t="str">
        <f>'00z'!$G$11</f>
        <v>p.DossierName3</v>
      </c>
      <c r="H39" s="84" t="s">
        <v>275</v>
      </c>
      <c r="I39" s="117" t="s">
        <v>1155</v>
      </c>
      <c r="J39" s="84" t="s">
        <v>202</v>
      </c>
      <c r="K39" s="87" t="s">
        <v>203</v>
      </c>
      <c r="L39" s="84" t="s">
        <v>37</v>
      </c>
      <c r="N39" s="84"/>
      <c r="O39" s="84"/>
    </row>
    <row r="40" spans="1:22" s="438" customFormat="1" ht="15.75" customHeight="1">
      <c r="A40" s="21">
        <v>39</v>
      </c>
      <c r="B40" s="56" t="s">
        <v>274</v>
      </c>
      <c r="C40" s="38" t="str">
        <f t="shared" si="3"/>
        <v>{"dossierInstitution":p.DossierName3,"verwendungPeriode":"Juli 2024","status":"Zu bezahlen"}</v>
      </c>
      <c r="D40" s="82" t="s">
        <v>28</v>
      </c>
      <c r="E40" s="83" t="str">
        <f t="shared" si="4"/>
        <v>{"dossierInstitution":p.DossierName3,"verwendungPeriode":"Juli 2024","status":"Zu bezahlen"}</v>
      </c>
      <c r="F40" s="84" t="s">
        <v>128</v>
      </c>
      <c r="G40" s="87" t="str">
        <f>'00z'!$G$11</f>
        <v>p.DossierName3</v>
      </c>
      <c r="H40" s="84" t="s">
        <v>275</v>
      </c>
      <c r="I40" s="117" t="s">
        <v>278</v>
      </c>
      <c r="J40" s="84" t="s">
        <v>202</v>
      </c>
      <c r="K40" s="87" t="s">
        <v>203</v>
      </c>
      <c r="L40" s="84" t="s">
        <v>37</v>
      </c>
      <c r="N40" s="84"/>
      <c r="O40" s="84"/>
    </row>
    <row r="41" spans="1:22" s="438" customFormat="1" ht="15.75" customHeight="1">
      <c r="A41" s="21">
        <v>40</v>
      </c>
      <c r="B41" s="56" t="s">
        <v>274</v>
      </c>
      <c r="C41" s="38" t="str">
        <f t="shared" si="3"/>
        <v>{"dossierInstitution":p.DossierName3,"verwendungPeriode":"August 2024","status":"Zu bezahlen"}</v>
      </c>
      <c r="D41" s="82" t="s">
        <v>28</v>
      </c>
      <c r="E41" s="83" t="str">
        <f t="shared" si="4"/>
        <v>{"dossierInstitution":p.DossierName3,"verwendungPeriode":"August 2024","status":"Zu bezahlen"}</v>
      </c>
      <c r="F41" s="84" t="s">
        <v>128</v>
      </c>
      <c r="G41" s="87" t="str">
        <f>'00z'!$G$11</f>
        <v>p.DossierName3</v>
      </c>
      <c r="H41" s="84" t="s">
        <v>275</v>
      </c>
      <c r="I41" s="117" t="s">
        <v>277</v>
      </c>
      <c r="J41" s="84" t="s">
        <v>202</v>
      </c>
      <c r="K41" s="87" t="s">
        <v>203</v>
      </c>
      <c r="L41" s="84" t="s">
        <v>37</v>
      </c>
      <c r="N41" s="84"/>
      <c r="O41" s="84"/>
    </row>
    <row r="42" spans="1:22" s="438" customFormat="1" ht="15.75" customHeight="1">
      <c r="A42" s="21">
        <v>41</v>
      </c>
      <c r="B42" s="56" t="s">
        <v>274</v>
      </c>
      <c r="C42" s="38" t="str">
        <f t="shared" si="3"/>
        <v>{"dossierInstitution":p.DossierName3,"verwendungPeriode":"September 2024","status":"Zu bezahlen"}</v>
      </c>
      <c r="D42" s="82" t="s">
        <v>28</v>
      </c>
      <c r="E42" s="83" t="str">
        <f t="shared" si="4"/>
        <v>{"dossierInstitution":p.DossierName3,"verwendungPeriode":"September 2024","status":"Zu bezahlen"}</v>
      </c>
      <c r="F42" s="84" t="s">
        <v>128</v>
      </c>
      <c r="G42" s="87" t="str">
        <f>'00z'!$G$11</f>
        <v>p.DossierName3</v>
      </c>
      <c r="H42" s="84" t="s">
        <v>275</v>
      </c>
      <c r="I42" s="117" t="s">
        <v>276</v>
      </c>
      <c r="J42" s="84" t="s">
        <v>202</v>
      </c>
      <c r="K42" s="87" t="s">
        <v>203</v>
      </c>
      <c r="L42" s="84" t="s">
        <v>37</v>
      </c>
      <c r="N42" s="84"/>
      <c r="O42" s="84"/>
    </row>
    <row r="43" spans="1:22" s="438" customFormat="1" ht="15.75" customHeight="1">
      <c r="A43" s="21">
        <v>42</v>
      </c>
      <c r="B43" s="56" t="s">
        <v>274</v>
      </c>
      <c r="C43" s="38" t="str">
        <f t="shared" si="3"/>
        <v>{"dossierInstitution":p.DossierName3,"verwendungPeriode":"Oktober 2024","status":"Zu bezahlen"}</v>
      </c>
      <c r="D43" s="82" t="s">
        <v>28</v>
      </c>
      <c r="E43" s="83" t="str">
        <f t="shared" si="4"/>
        <v>{"dossierInstitution":p.DossierName3,"verwendungPeriode":"Oktober 2024","status":"Zu bezahlen"}</v>
      </c>
      <c r="F43" s="84" t="s">
        <v>128</v>
      </c>
      <c r="G43" s="87" t="str">
        <f>'00z'!$G$11</f>
        <v>p.DossierName3</v>
      </c>
      <c r="H43" s="84" t="s">
        <v>275</v>
      </c>
      <c r="I43" s="117" t="s">
        <v>241</v>
      </c>
      <c r="J43" s="84" t="s">
        <v>202</v>
      </c>
      <c r="K43" s="87" t="s">
        <v>203</v>
      </c>
      <c r="L43" s="84" t="s">
        <v>37</v>
      </c>
      <c r="N43" s="84"/>
      <c r="O43" s="84"/>
    </row>
    <row r="44" spans="1:22" s="438" customFormat="1" ht="15.75" customHeight="1">
      <c r="A44" s="21">
        <v>43</v>
      </c>
      <c r="B44" s="56" t="s">
        <v>274</v>
      </c>
      <c r="C44" s="38" t="str">
        <f t="shared" si="3"/>
        <v>{"dossierInstitution":p.DossierName3,"verwendungPeriode":"November 2024","status":"Zu bezahlen"}</v>
      </c>
      <c r="D44" s="82" t="s">
        <v>28</v>
      </c>
      <c r="E44" s="83" t="str">
        <f t="shared" si="4"/>
        <v>{"dossierInstitution":p.DossierName3,"verwendungPeriode":"November 2024","status":"Zu bezahlen"}</v>
      </c>
      <c r="F44" s="84" t="s">
        <v>128</v>
      </c>
      <c r="G44" s="87" t="str">
        <f>'00z'!$G$11</f>
        <v>p.DossierName3</v>
      </c>
      <c r="H44" s="84" t="s">
        <v>275</v>
      </c>
      <c r="I44" s="117" t="s">
        <v>242</v>
      </c>
      <c r="J44" s="84" t="s">
        <v>202</v>
      </c>
      <c r="K44" s="87" t="s">
        <v>203</v>
      </c>
      <c r="L44" s="84" t="s">
        <v>37</v>
      </c>
      <c r="N44" s="84"/>
      <c r="O44" s="84"/>
    </row>
    <row r="45" spans="1:22" s="439" customFormat="1" ht="15.75" customHeight="1">
      <c r="A45" s="21">
        <v>44</v>
      </c>
      <c r="B45" s="24" t="s">
        <v>205</v>
      </c>
      <c r="C45" s="38" t="str">
        <f t="shared" si="3"/>
        <v>{"haftungsType":"Einseitige Solidarhaftung erfassen","haftungDurch":`${p.FamilyName3}, ${p.ManFirstName3}`,"haftungVon":"01.01.2024","haftungBis":"31.12.2024","haftungFuer":`${p.FamilyName3}, ${p.WomanFirstName3}`,"person1":"","person2":""}</v>
      </c>
      <c r="D45" s="76" t="s">
        <v>28</v>
      </c>
      <c r="E45" s="77" t="str">
        <f t="shared" si="4"/>
        <v>{"haftungsType":"Einseitige Solidarhaftung erfassen","haftungDurch":`${p.FamilyName3}, ${p.ManFirstName3}`,"haftungVon":"01.01.2024","haftungBis":"31.12.2024","haftungFuer":`${p.FamilyName3}, ${p.WomanFirstName3}`,"person1":"","person2":""}</v>
      </c>
      <c r="F45" s="78" t="s">
        <v>206</v>
      </c>
      <c r="G45" s="76" t="s">
        <v>207</v>
      </c>
      <c r="H45" s="78" t="s">
        <v>208</v>
      </c>
      <c r="I45" s="76" t="str">
        <f>I16</f>
        <v>${p.FamilyName3}, ${p.ManFirstName3}</v>
      </c>
      <c r="J45" s="78" t="s">
        <v>209</v>
      </c>
      <c r="K45" s="76" t="s">
        <v>271</v>
      </c>
      <c r="L45" s="78" t="s">
        <v>210</v>
      </c>
      <c r="M45" s="127" t="s">
        <v>223</v>
      </c>
      <c r="N45" s="78" t="s">
        <v>211</v>
      </c>
      <c r="O45" s="76" t="str">
        <f>"${"&amp;$G$4&amp;"}, ${"&amp;$H$64&amp;"}"</f>
        <v>${p.FamilyName3}, ${p.WomanFirstName3}</v>
      </c>
      <c r="P45" s="78" t="s">
        <v>212</v>
      </c>
      <c r="Q45" s="80"/>
      <c r="R45" s="78" t="s">
        <v>213</v>
      </c>
      <c r="T45" s="76" t="s">
        <v>37</v>
      </c>
      <c r="V45" s="78"/>
    </row>
    <row r="46" spans="1:22" s="439" customFormat="1" ht="15.75" customHeight="1">
      <c r="A46" s="21">
        <v>45</v>
      </c>
      <c r="B46" s="24" t="s">
        <v>205</v>
      </c>
      <c r="C46" s="38" t="str">
        <f t="shared" si="3"/>
        <v>{"haftungsType":"Einzelhaftung erfassen","haftungDurch":`${p.FamilyName3}, ${p.ManFirstName3}`,"haftungVon":"01.01.2024","haftungBis":"31.12.2024","haftungFuer":`${p.FamilyName3}, ${p.GirlFirstName3}`,"person1":"","person2":""}</v>
      </c>
      <c r="D46" s="76" t="s">
        <v>28</v>
      </c>
      <c r="E46" s="77" t="str">
        <f t="shared" si="4"/>
        <v>{"haftungsType":"Einzelhaftung erfassen","haftungDurch":`${p.FamilyName3}, ${p.ManFirstName3}`,"haftungVon":"01.01.2024","haftungBis":"31.12.2024","haftungFuer":`${p.FamilyName3}, ${p.GirlFirstName3}`,"person1":"","person2":""}</v>
      </c>
      <c r="F46" s="78" t="s">
        <v>206</v>
      </c>
      <c r="G46" s="76" t="s">
        <v>214</v>
      </c>
      <c r="H46" s="78" t="s">
        <v>208</v>
      </c>
      <c r="I46" s="76" t="str">
        <f>I45</f>
        <v>${p.FamilyName3}, ${p.ManFirstName3}</v>
      </c>
      <c r="J46" s="78" t="s">
        <v>209</v>
      </c>
      <c r="K46" s="76" t="s">
        <v>271</v>
      </c>
      <c r="L46" s="78" t="s">
        <v>210</v>
      </c>
      <c r="M46" s="127" t="s">
        <v>223</v>
      </c>
      <c r="N46" s="78" t="s">
        <v>211</v>
      </c>
      <c r="O46" s="76" t="str">
        <f>"${"&amp;$G$4&amp;"}, ${"&amp;$H$65&amp;"}"</f>
        <v>${p.FamilyName3}, ${p.GirlFirstName3}</v>
      </c>
      <c r="P46" s="78" t="s">
        <v>212</v>
      </c>
      <c r="Q46" s="80"/>
      <c r="R46" s="78" t="s">
        <v>213</v>
      </c>
      <c r="T46" s="76" t="s">
        <v>37</v>
      </c>
      <c r="V46" s="78"/>
    </row>
    <row r="47" spans="1:22" s="446" customFormat="1" ht="15.75" customHeight="1">
      <c r="A47" s="21">
        <v>46</v>
      </c>
      <c r="B47" s="54" t="s">
        <v>22</v>
      </c>
      <c r="C47" s="55" t="s">
        <v>215</v>
      </c>
      <c r="E47" s="124"/>
      <c r="F47" s="125"/>
    </row>
    <row r="48" spans="1:22" s="439" customFormat="1" ht="15.75" customHeight="1">
      <c r="A48" s="21">
        <v>47</v>
      </c>
      <c r="B48" s="24" t="s">
        <v>216</v>
      </c>
      <c r="C48" s="38"/>
      <c r="E48" s="77"/>
      <c r="F48" s="126"/>
      <c r="H48" s="126"/>
      <c r="J48" s="126"/>
      <c r="L48" s="126"/>
      <c r="M48" s="127"/>
      <c r="N48" s="126"/>
      <c r="O48" s="11"/>
      <c r="P48" s="126"/>
      <c r="Q48" s="80"/>
      <c r="R48" s="126"/>
      <c r="V48" s="126"/>
    </row>
    <row r="49" spans="1:30" s="446" customFormat="1" ht="15.75" customHeight="1">
      <c r="A49" s="21">
        <v>48</v>
      </c>
      <c r="B49" s="54" t="s">
        <v>22</v>
      </c>
      <c r="C49" s="55" t="s">
        <v>215</v>
      </c>
      <c r="E49" s="124"/>
      <c r="F49" s="125"/>
    </row>
    <row r="50" spans="1:30" s="67" customFormat="1" ht="15.75" customHeight="1">
      <c r="A50" s="21">
        <v>49</v>
      </c>
      <c r="B50" s="54" t="s">
        <v>139</v>
      </c>
      <c r="C50" s="89" t="str">
        <f>E50</f>
        <v>{"searchDossierOrKlient":p.DossierName3,"resultType":"Dossiers"}</v>
      </c>
      <c r="D50" s="90" t="s">
        <v>28</v>
      </c>
      <c r="E50" s="91" t="str">
        <f>F50&amp;G50&amp;H50&amp;I50&amp;J50&amp;K50&amp;L50&amp;M50&amp;N50&amp;O50&amp;P50&amp;Q50&amp;R50&amp;S50&amp;T50&amp;U50&amp;V50&amp;W50&amp;X50</f>
        <v>{"searchDossierOrKlient":p.DossierName3,"resultType":"Dossiers"}</v>
      </c>
      <c r="F50" s="92" t="s">
        <v>140</v>
      </c>
      <c r="G50" s="133" t="str">
        <f>'00z'!$G$11</f>
        <v>p.DossierName3</v>
      </c>
      <c r="H50" s="92" t="s">
        <v>141</v>
      </c>
      <c r="I50" s="90" t="s">
        <v>142</v>
      </c>
      <c r="J50" s="92" t="s">
        <v>37</v>
      </c>
      <c r="L50" s="92"/>
      <c r="N50" s="92"/>
      <c r="P50" s="92"/>
      <c r="R50" s="92"/>
      <c r="T50" s="92"/>
      <c r="V50" s="92"/>
    </row>
    <row r="51" spans="1:30" s="67" customFormat="1" ht="15.75" customHeight="1">
      <c r="A51" s="21">
        <v>50</v>
      </c>
      <c r="B51" s="129" t="s">
        <v>217</v>
      </c>
      <c r="C51" s="89" t="str">
        <f>E51</f>
        <v>{"dossierInstitution":p.DossierName3,"freigegebeneZahlungen":"7"}</v>
      </c>
      <c r="D51" s="90" t="s">
        <v>28</v>
      </c>
      <c r="E51" s="91" t="str">
        <f>F51&amp;G51&amp;H51&amp;I51&amp;J51&amp;K51&amp;L51&amp;M51&amp;N51&amp;O51&amp;P51&amp;Q51&amp;R51&amp;S51&amp;T51&amp;U51&amp;V51&amp;W51&amp;X51</f>
        <v>{"dossierInstitution":p.DossierName3,"freigegebeneZahlungen":"7"}</v>
      </c>
      <c r="F51" s="130" t="s">
        <v>128</v>
      </c>
      <c r="G51" s="133" t="str">
        <f>'00z'!$G$11</f>
        <v>p.DossierName3</v>
      </c>
      <c r="H51" s="92" t="s">
        <v>218</v>
      </c>
      <c r="I51" s="90">
        <v>7</v>
      </c>
      <c r="J51" s="92" t="s">
        <v>37</v>
      </c>
      <c r="L51" s="92"/>
      <c r="N51" s="92"/>
      <c r="P51" s="92"/>
      <c r="R51" s="92"/>
      <c r="T51" s="92"/>
      <c r="V51" s="92"/>
    </row>
    <row r="52" spans="1:30" s="67" customFormat="1" ht="15.75" customHeight="1">
      <c r="A52" s="21">
        <v>51</v>
      </c>
      <c r="B52" s="19" t="s">
        <v>134</v>
      </c>
      <c r="C52" s="38" t="str">
        <f>E52</f>
        <v>{"username":"Bern.Buchhalter@diartis.ch","password":"HBcc73+ppTX42?E."}</v>
      </c>
      <c r="D52" s="90" t="s">
        <v>28</v>
      </c>
      <c r="E52" s="91" t="str">
        <f>F52&amp;G52&amp;H52&amp;I52&amp;J52&amp;K52&amp;L52&amp;M52&amp;N52&amp;O52&amp;P52&amp;Q52&amp;R52&amp;S52&amp;T52&amp;U52&amp;V52&amp;W52&amp;X52</f>
        <v>{"username":"Bern.Buchhalter@diartis.ch","password":"HBcc73+ppTX42?E."}</v>
      </c>
      <c r="F52" s="92" t="s">
        <v>29</v>
      </c>
      <c r="G52" s="90" t="s">
        <v>219</v>
      </c>
      <c r="H52" s="92" t="s">
        <v>31</v>
      </c>
      <c r="I52" s="90" t="s">
        <v>220</v>
      </c>
      <c r="J52" s="92" t="s">
        <v>37</v>
      </c>
      <c r="K52" s="133"/>
      <c r="L52" s="92"/>
      <c r="N52" s="92"/>
      <c r="P52" s="92"/>
      <c r="R52" s="92"/>
      <c r="T52" s="92"/>
      <c r="V52" s="92"/>
    </row>
    <row r="53" spans="1:30" s="67" customFormat="1" ht="15.75" customHeight="1">
      <c r="A53" s="21">
        <v>52</v>
      </c>
      <c r="B53" s="54" t="s">
        <v>139</v>
      </c>
      <c r="C53" s="89" t="str">
        <f>E53</f>
        <v>{"searchDossierOrKlient":p.DossierName3,"resultType":"Dossiers"}</v>
      </c>
      <c r="D53" s="90" t="s">
        <v>28</v>
      </c>
      <c r="E53" s="91" t="str">
        <f>F53&amp;G53&amp;H53&amp;I53&amp;J53&amp;K53&amp;L53&amp;M53&amp;N53&amp;O53&amp;P53&amp;Q53&amp;R53&amp;S53&amp;T53&amp;U53&amp;V53&amp;W53&amp;X53</f>
        <v>{"searchDossierOrKlient":p.DossierName3,"resultType":"Dossiers"}</v>
      </c>
      <c r="F53" s="92" t="s">
        <v>140</v>
      </c>
      <c r="G53" s="133" t="str">
        <f>'00z'!$G$11</f>
        <v>p.DossierName3</v>
      </c>
      <c r="H53" s="92" t="s">
        <v>141</v>
      </c>
      <c r="I53" s="90" t="s">
        <v>142</v>
      </c>
      <c r="J53" s="92" t="s">
        <v>37</v>
      </c>
      <c r="L53" s="92"/>
      <c r="N53" s="92"/>
      <c r="P53" s="92"/>
      <c r="R53" s="92"/>
      <c r="T53" s="92"/>
      <c r="V53" s="92"/>
    </row>
    <row r="54" spans="1:30" s="446" customFormat="1" ht="15.75" customHeight="1">
      <c r="A54" s="21">
        <v>53</v>
      </c>
      <c r="B54" s="129" t="s">
        <v>22</v>
      </c>
      <c r="C54" s="55" t="s">
        <v>126</v>
      </c>
      <c r="E54" s="124"/>
      <c r="F54" s="125"/>
    </row>
    <row r="55" spans="1:30" s="67" customFormat="1" ht="15.75" customHeight="1">
      <c r="A55" s="21">
        <v>54</v>
      </c>
      <c r="B55" s="135" t="s">
        <v>221</v>
      </c>
      <c r="C55" s="89" t="str">
        <f>E55</f>
        <v>{"bisValutaDatum":"31.12.2024","dossier":p.DossierName3,"zahlungenTotal":"CHF 11’918.00"}</v>
      </c>
      <c r="D55" s="90" t="s">
        <v>28</v>
      </c>
      <c r="E55" s="91" t="str">
        <f>F55&amp;G55&amp;H55&amp;I55&amp;J55&amp;K55&amp;L55&amp;M55&amp;N55&amp;O55&amp;P55&amp;Q55&amp;R55&amp;S55&amp;T55&amp;U55&amp;V55&amp;W55&amp;X55</f>
        <v>{"bisValutaDatum":"31.12.2024","dossier":p.DossierName3,"zahlungenTotal":"CHF 11’918.00"}</v>
      </c>
      <c r="F55" s="92" t="s">
        <v>222</v>
      </c>
      <c r="G55" s="90" t="s">
        <v>223</v>
      </c>
      <c r="H55" s="92" t="s">
        <v>224</v>
      </c>
      <c r="I55" s="133" t="str">
        <f>G50</f>
        <v>p.DossierName3</v>
      </c>
      <c r="J55" s="92" t="s">
        <v>225</v>
      </c>
      <c r="K55" s="178" t="s">
        <v>288</v>
      </c>
      <c r="L55" s="92" t="s">
        <v>37</v>
      </c>
      <c r="N55" s="92"/>
      <c r="P55" s="92"/>
      <c r="R55" s="92"/>
      <c r="T55" s="92"/>
      <c r="V55" s="92"/>
    </row>
    <row r="56" spans="1:30" s="446" customFormat="1" ht="15.75" customHeight="1">
      <c r="A56" s="21">
        <v>55</v>
      </c>
      <c r="B56" s="54" t="s">
        <v>22</v>
      </c>
      <c r="C56" s="55" t="s">
        <v>126</v>
      </c>
      <c r="E56" s="124"/>
      <c r="F56" s="125"/>
    </row>
    <row r="57" spans="1:30" s="10" customFormat="1" ht="15.75" customHeight="1">
      <c r="A57" s="21">
        <v>56</v>
      </c>
      <c r="B57" s="16" t="s">
        <v>229</v>
      </c>
      <c r="C57" s="38" t="str">
        <f>E57</f>
        <v>{"dossier":p.DossierName3,"ausgefuehrteZahlungen":"7"}</v>
      </c>
      <c r="D57" s="38"/>
      <c r="E57" s="91" t="str">
        <f>F57&amp;G57&amp;H57&amp;I57&amp;J57&amp;K57&amp;L57&amp;M57&amp;N57&amp;O57&amp;P57&amp;Q57&amp;R57&amp;S57&amp;T57&amp;U57&amp;V57&amp;W57</f>
        <v>{"dossier":p.DossierName3,"ausgefuehrteZahlungen":"7"}</v>
      </c>
      <c r="F57" s="2" t="s">
        <v>159</v>
      </c>
      <c r="G57" s="447" t="str">
        <f>G63</f>
        <v>p.DossierName3</v>
      </c>
      <c r="H57" s="2" t="s">
        <v>230</v>
      </c>
      <c r="I57" s="2">
        <v>7</v>
      </c>
      <c r="J57" s="2" t="s">
        <v>37</v>
      </c>
      <c r="K57" s="2"/>
      <c r="L57" s="2"/>
      <c r="M57" s="2"/>
      <c r="N57" s="2"/>
      <c r="O57" s="3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s">
        <v>37</v>
      </c>
    </row>
    <row r="58" spans="1:30" ht="15.75" customHeight="1">
      <c r="B58" s="54"/>
    </row>
    <row r="59" spans="1:30" ht="15.75" customHeight="1">
      <c r="B59" s="16"/>
    </row>
    <row r="60" spans="1:30" ht="15.75" customHeight="1">
      <c r="B60" s="448" t="s">
        <v>233</v>
      </c>
    </row>
    <row r="61" spans="1:30" ht="15.75" customHeight="1">
      <c r="B61" s="2" t="s">
        <v>233</v>
      </c>
    </row>
    <row r="62" spans="1:30" ht="15.75" customHeight="1">
      <c r="B62" s="2" t="s">
        <v>234</v>
      </c>
    </row>
    <row r="63" spans="1:30" ht="15.75" customHeight="1">
      <c r="B63" s="303"/>
      <c r="F63" s="41" t="s">
        <v>236</v>
      </c>
      <c r="G63" s="2" t="str">
        <f>"p.DossierName"&amp;G68</f>
        <v>p.DossierName3</v>
      </c>
      <c r="H63" s="13" t="str">
        <f>"p.ManFirstName"&amp;G68</f>
        <v>p.ManFirstName3</v>
      </c>
      <c r="I63" s="13" t="str">
        <f>"p.AHVNumber"&amp;G70</f>
        <v>p.AHVNumber9</v>
      </c>
      <c r="J63" s="65" t="str">
        <f>"p.BirthdayAdult"&amp;G68</f>
        <v>p.BirthdayAdult3</v>
      </c>
    </row>
    <row r="64" spans="1:30" ht="15.75" customHeight="1">
      <c r="B64" s="2" t="s">
        <v>233</v>
      </c>
      <c r="F64" s="41" t="s">
        <v>237</v>
      </c>
      <c r="G64" s="2" t="str">
        <f>"p.FamilyName"&amp;G68</f>
        <v>p.FamilyName3</v>
      </c>
      <c r="H64" s="13" t="str">
        <f>"p.WomanFirstName"&amp;G68</f>
        <v>p.WomanFirstName3</v>
      </c>
      <c r="I64" s="13" t="str">
        <f>"p.AHVNumber"&amp;G70+1</f>
        <v>p.AHVNumber10</v>
      </c>
      <c r="J64" s="65" t="str">
        <f>"p.BirthdayAdult"&amp;G69</f>
        <v>p.BirthdayAdult4</v>
      </c>
    </row>
    <row r="65" spans="6:10" ht="15.75" customHeight="1">
      <c r="F65" s="41" t="s">
        <v>238</v>
      </c>
      <c r="G65" s="2" t="str">
        <f>G64</f>
        <v>p.FamilyName3</v>
      </c>
      <c r="H65" s="13" t="str">
        <f>"p.GirlFirstName"&amp;G68</f>
        <v>p.GirlFirstName3</v>
      </c>
      <c r="I65" s="13" t="str">
        <f>"p.AHVNumber"&amp;G70+2</f>
        <v>p.AHVNumber11</v>
      </c>
      <c r="J65" s="65" t="str">
        <f>"p.BirthdayKid"&amp;G68</f>
        <v>p.BirthdayKid3</v>
      </c>
    </row>
    <row r="66" spans="6:10" ht="15.75" customHeight="1">
      <c r="H66" s="13" t="str">
        <f>"p.ManFirstName"&amp;G69</f>
        <v>p.ManFirstName4</v>
      </c>
      <c r="I66" s="13" t="str">
        <f>"p.AHVNumber"&amp;G70+3</f>
        <v>p.AHVNumber12</v>
      </c>
      <c r="J66" s="65" t="str">
        <f>"p.BirthdayKid"&amp;G69</f>
        <v>p.BirthdayKid4</v>
      </c>
    </row>
    <row r="68" spans="6:10" ht="15.75" customHeight="1">
      <c r="F68" s="41" t="s">
        <v>294</v>
      </c>
      <c r="G68" s="62">
        <v>3</v>
      </c>
    </row>
    <row r="69" spans="6:10" ht="15.75" customHeight="1">
      <c r="G69" s="2">
        <f>G68+1</f>
        <v>4</v>
      </c>
    </row>
    <row r="70" spans="6:10" ht="15.75" customHeight="1">
      <c r="G70" s="2">
        <f>G68*4-4+1</f>
        <v>9</v>
      </c>
    </row>
  </sheetData>
  <hyperlinks>
    <hyperlink ref="G2" r:id="rId1" xr:uid="{00000000-0004-0000-4A00-000000000000}"/>
    <hyperlink ref="K6" r:id="rId2" xr:uid="{00000000-0004-0000-4A00-000001000000}"/>
    <hyperlink ref="G12" r:id="rId3" xr:uid="{00000000-0004-0000-4A00-000002000000}"/>
    <hyperlink ref="I12" r:id="rId4" xr:uid="{00000000-0004-0000-4A00-000003000000}"/>
    <hyperlink ref="G15" r:id="rId5" xr:uid="{00000000-0004-0000-4A00-000004000000}"/>
    <hyperlink ref="I15" r:id="rId6" xr:uid="{00000000-0004-0000-4A00-000005000000}"/>
    <hyperlink ref="G31" r:id="rId7" xr:uid="{00000000-0004-0000-4A00-000006000000}"/>
    <hyperlink ref="I31" r:id="rId8" xr:uid="{00000000-0004-0000-4A00-000007000000}"/>
    <hyperlink ref="G34" r:id="rId9" xr:uid="{00000000-0004-0000-4A00-000008000000}"/>
    <hyperlink ref="I34" r:id="rId10" xr:uid="{00000000-0004-0000-4A00-000009000000}"/>
    <hyperlink ref="G37" r:id="rId11" xr:uid="{00000000-0004-0000-4A00-00000A000000}"/>
    <hyperlink ref="I37" r:id="rId12" xr:uid="{00000000-0004-0000-4A00-00000B000000}"/>
  </hyperlinks>
  <pageMargins left="0.7" right="0.7" top="0.75" bottom="0.75" header="0.3" footer="0.3"/>
  <pageSetup paperSize="9" orientation="portrait" useFirstPageNumber="1" horizontalDpi="4294967295" verticalDpi="429496729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AE72"/>
  <sheetViews>
    <sheetView zoomScale="85" zoomScaleNormal="85" workbookViewId="0">
      <selection activeCell="O7" sqref="O7"/>
    </sheetView>
  </sheetViews>
  <sheetFormatPr defaultRowHeight="14.25" customHeight="1"/>
  <cols>
    <col min="1" max="1" width="21.28515625" style="15" customWidth="1"/>
    <col min="2" max="2" width="9.140625" style="450" customWidth="1"/>
    <col min="3" max="3" width="19.140625" style="15" customWidth="1"/>
    <col min="4" max="4" width="9.140625" style="15" customWidth="1"/>
    <col min="5" max="16384" width="9.140625" style="15"/>
  </cols>
  <sheetData>
    <row r="1" spans="1:31" ht="14.25" customHeight="1">
      <c r="A1" s="15" t="s">
        <v>360</v>
      </c>
      <c r="F1" s="405" t="s">
        <v>1158</v>
      </c>
      <c r="G1" s="15" t="s">
        <v>1159</v>
      </c>
      <c r="I1" s="405" t="s">
        <v>1160</v>
      </c>
      <c r="AE1" s="15" t="s">
        <v>5</v>
      </c>
    </row>
    <row r="2" spans="1:31" ht="14.25" customHeight="1">
      <c r="A2" s="15" t="s">
        <v>1161</v>
      </c>
      <c r="B2" s="451" t="s">
        <v>170</v>
      </c>
      <c r="C2" s="51" t="s">
        <v>1162</v>
      </c>
      <c r="D2" s="51" t="s">
        <v>170</v>
      </c>
      <c r="F2" s="15" t="s">
        <v>1163</v>
      </c>
      <c r="G2" s="15" t="s">
        <v>1161</v>
      </c>
      <c r="I2" s="15" t="s">
        <v>1163</v>
      </c>
    </row>
    <row r="3" spans="1:31" ht="14.25" customHeight="1">
      <c r="A3" s="15" t="s">
        <v>1164</v>
      </c>
      <c r="C3" s="15" t="s">
        <v>1165</v>
      </c>
      <c r="D3" s="15" t="s">
        <v>170</v>
      </c>
      <c r="F3" s="15" t="s">
        <v>1163</v>
      </c>
      <c r="G3" s="15" t="s">
        <v>1165</v>
      </c>
      <c r="I3" s="15" t="s">
        <v>1163</v>
      </c>
    </row>
    <row r="4" spans="1:31" ht="14.25" customHeight="1">
      <c r="A4" s="15" t="s">
        <v>1166</v>
      </c>
      <c r="C4" s="15" t="s">
        <v>1166</v>
      </c>
      <c r="G4" s="15" t="s">
        <v>1166</v>
      </c>
    </row>
    <row r="5" spans="1:31" ht="14.25" customHeight="1">
      <c r="A5" s="15" t="s">
        <v>1167</v>
      </c>
      <c r="C5" s="15" t="s">
        <v>1168</v>
      </c>
      <c r="D5" s="15" t="s">
        <v>170</v>
      </c>
      <c r="G5" s="15" t="s">
        <v>1167</v>
      </c>
    </row>
    <row r="6" spans="1:31" ht="14.25" customHeight="1">
      <c r="A6" s="15" t="s">
        <v>1169</v>
      </c>
      <c r="F6" s="15" t="s">
        <v>1163</v>
      </c>
      <c r="G6" s="15" t="s">
        <v>1170</v>
      </c>
      <c r="I6" s="15" t="s">
        <v>1163</v>
      </c>
    </row>
    <row r="7" spans="1:31" ht="14.25" customHeight="1">
      <c r="A7" s="15" t="s">
        <v>1171</v>
      </c>
      <c r="B7" s="451" t="s">
        <v>170</v>
      </c>
      <c r="C7" s="51" t="s">
        <v>1171</v>
      </c>
      <c r="D7" s="51" t="s">
        <v>170</v>
      </c>
      <c r="G7" s="15" t="s">
        <v>1172</v>
      </c>
    </row>
    <row r="8" spans="1:31" ht="14.25" customHeight="1">
      <c r="B8" s="451"/>
      <c r="C8" s="51"/>
      <c r="D8" s="51"/>
      <c r="G8" s="15" t="s">
        <v>1173</v>
      </c>
    </row>
    <row r="9" spans="1:31" ht="14.25" customHeight="1">
      <c r="B9" s="451"/>
      <c r="C9" s="51"/>
      <c r="D9" s="51"/>
      <c r="G9" s="15" t="s">
        <v>1174</v>
      </c>
    </row>
    <row r="10" spans="1:31" ht="14.25" customHeight="1">
      <c r="A10" s="15" t="s">
        <v>1175</v>
      </c>
      <c r="C10" s="15" t="s">
        <v>1175</v>
      </c>
      <c r="D10" s="15" t="s">
        <v>170</v>
      </c>
      <c r="G10" s="15" t="s">
        <v>1175</v>
      </c>
    </row>
    <row r="11" spans="1:31" ht="14.25" customHeight="1">
      <c r="A11" s="15" t="s">
        <v>1176</v>
      </c>
      <c r="C11" s="15" t="s">
        <v>1176</v>
      </c>
      <c r="G11" s="15" t="s">
        <v>1176</v>
      </c>
    </row>
    <row r="12" spans="1:31" ht="14.25" customHeight="1">
      <c r="A12" s="15" t="s">
        <v>1177</v>
      </c>
      <c r="C12" s="15" t="s">
        <v>1177</v>
      </c>
      <c r="G12" s="15" t="s">
        <v>1177</v>
      </c>
    </row>
    <row r="13" spans="1:31" ht="14.25" customHeight="1">
      <c r="A13" s="15" t="s">
        <v>1178</v>
      </c>
      <c r="C13" s="15" t="s">
        <v>1178</v>
      </c>
      <c r="G13" s="15" t="s">
        <v>1178</v>
      </c>
    </row>
    <row r="14" spans="1:31" ht="14.25" customHeight="1">
      <c r="G14" s="15" t="s">
        <v>1179</v>
      </c>
    </row>
    <row r="15" spans="1:31" ht="14.25" customHeight="1">
      <c r="A15" s="15" t="s">
        <v>1180</v>
      </c>
      <c r="B15" s="451"/>
      <c r="C15" s="51" t="s">
        <v>1180</v>
      </c>
      <c r="D15" s="24" t="s">
        <v>170</v>
      </c>
      <c r="E15" s="15">
        <v>0</v>
      </c>
      <c r="F15" s="15" t="s">
        <v>1163</v>
      </c>
      <c r="G15" s="15" t="s">
        <v>1181</v>
      </c>
      <c r="I15" s="15" t="s">
        <v>1163</v>
      </c>
    </row>
    <row r="16" spans="1:31" ht="14.25" customHeight="1">
      <c r="A16" s="15" t="s">
        <v>1182</v>
      </c>
      <c r="B16" s="451"/>
      <c r="C16" s="51" t="s">
        <v>1182</v>
      </c>
      <c r="D16" s="24" t="s">
        <v>170</v>
      </c>
      <c r="E16" s="15">
        <v>0</v>
      </c>
      <c r="F16" s="15" t="s">
        <v>1163</v>
      </c>
      <c r="G16" s="15" t="s">
        <v>1183</v>
      </c>
      <c r="I16" s="15" t="s">
        <v>1163</v>
      </c>
    </row>
    <row r="17" spans="1:9" ht="14.25" customHeight="1">
      <c r="A17" s="15" t="s">
        <v>1184</v>
      </c>
      <c r="B17" s="451" t="s">
        <v>170</v>
      </c>
      <c r="C17" s="51" t="s">
        <v>1184</v>
      </c>
      <c r="D17" s="24" t="s">
        <v>170</v>
      </c>
      <c r="E17" s="15">
        <v>0</v>
      </c>
      <c r="G17" s="15" t="s">
        <v>1184</v>
      </c>
      <c r="I17" s="15" t="s">
        <v>1163</v>
      </c>
    </row>
    <row r="18" spans="1:9" ht="14.25" customHeight="1">
      <c r="A18" s="15" t="s">
        <v>1185</v>
      </c>
      <c r="B18" s="451" t="s">
        <v>170</v>
      </c>
      <c r="C18" s="51" t="s">
        <v>1185</v>
      </c>
      <c r="D18" s="24" t="s">
        <v>170</v>
      </c>
      <c r="E18" s="15">
        <v>0</v>
      </c>
      <c r="G18" s="15" t="s">
        <v>1186</v>
      </c>
      <c r="I18" s="15" t="s">
        <v>1163</v>
      </c>
    </row>
    <row r="19" spans="1:9" ht="14.25" customHeight="1">
      <c r="A19" s="15" t="s">
        <v>1187</v>
      </c>
      <c r="C19" s="15" t="s">
        <v>1187</v>
      </c>
      <c r="G19" s="15" t="s">
        <v>1187</v>
      </c>
    </row>
    <row r="20" spans="1:9" ht="14.25" customHeight="1">
      <c r="A20" s="15" t="s">
        <v>1188</v>
      </c>
      <c r="C20" s="15" t="s">
        <v>1188</v>
      </c>
      <c r="E20" s="15">
        <v>0</v>
      </c>
      <c r="G20" s="15" t="s">
        <v>1188</v>
      </c>
    </row>
    <row r="21" spans="1:9" ht="14.25" customHeight="1">
      <c r="A21" s="15" t="s">
        <v>1189</v>
      </c>
      <c r="B21" s="450" t="s">
        <v>170</v>
      </c>
      <c r="C21" s="15" t="s">
        <v>1190</v>
      </c>
      <c r="G21" s="15" t="s">
        <v>1189</v>
      </c>
      <c r="I21" s="15" t="s">
        <v>1163</v>
      </c>
    </row>
    <row r="22" spans="1:9" ht="14.25" customHeight="1">
      <c r="A22" s="15" t="s">
        <v>1191</v>
      </c>
      <c r="B22" s="450" t="s">
        <v>170</v>
      </c>
      <c r="C22" s="15" t="s">
        <v>1192</v>
      </c>
      <c r="G22" s="15" t="s">
        <v>1193</v>
      </c>
      <c r="I22" s="15" t="s">
        <v>1163</v>
      </c>
    </row>
    <row r="23" spans="1:9" ht="14.25" customHeight="1">
      <c r="A23" s="15" t="s">
        <v>1194</v>
      </c>
      <c r="B23" s="450" t="s">
        <v>170</v>
      </c>
      <c r="C23" s="15" t="s">
        <v>1195</v>
      </c>
      <c r="E23" s="15">
        <v>0</v>
      </c>
      <c r="G23" s="15" t="s">
        <v>1196</v>
      </c>
      <c r="I23" s="15" t="s">
        <v>1163</v>
      </c>
    </row>
    <row r="24" spans="1:9" ht="14.25" customHeight="1">
      <c r="A24" s="15" t="s">
        <v>1197</v>
      </c>
      <c r="C24" s="15" t="s">
        <v>1197</v>
      </c>
      <c r="G24" s="15" t="s">
        <v>1197</v>
      </c>
    </row>
    <row r="25" spans="1:9" ht="14.25" customHeight="1">
      <c r="A25" s="15" t="s">
        <v>1198</v>
      </c>
      <c r="C25" s="15" t="s">
        <v>1199</v>
      </c>
      <c r="D25" s="24" t="s">
        <v>170</v>
      </c>
      <c r="E25" s="15">
        <v>0</v>
      </c>
      <c r="F25" s="15" t="s">
        <v>1163</v>
      </c>
      <c r="G25" s="15" t="s">
        <v>1199</v>
      </c>
      <c r="I25" s="15" t="s">
        <v>1163</v>
      </c>
    </row>
    <row r="26" spans="1:9" ht="14.25" customHeight="1">
      <c r="A26" s="15" t="s">
        <v>1200</v>
      </c>
      <c r="C26" s="15" t="s">
        <v>1200</v>
      </c>
      <c r="G26" s="15" t="s">
        <v>1200</v>
      </c>
    </row>
    <row r="27" spans="1:9" ht="14.25" customHeight="1">
      <c r="A27" s="15" t="s">
        <v>1201</v>
      </c>
      <c r="B27" s="451" t="s">
        <v>170</v>
      </c>
      <c r="C27" s="51" t="s">
        <v>1201</v>
      </c>
      <c r="D27" s="452" t="s">
        <v>170</v>
      </c>
      <c r="E27" s="15">
        <v>0</v>
      </c>
      <c r="G27" s="15" t="s">
        <v>1202</v>
      </c>
    </row>
    <row r="28" spans="1:9" ht="14.25" customHeight="1">
      <c r="A28" s="15" t="s">
        <v>1203</v>
      </c>
      <c r="B28" s="451"/>
      <c r="C28" s="51"/>
      <c r="D28" s="452"/>
      <c r="F28" s="15" t="s">
        <v>1163</v>
      </c>
      <c r="G28" s="15" t="s">
        <v>1204</v>
      </c>
      <c r="I28" s="15" t="s">
        <v>1163</v>
      </c>
    </row>
    <row r="29" spans="1:9" ht="14.25" customHeight="1">
      <c r="A29" s="15" t="s">
        <v>1205</v>
      </c>
      <c r="C29" s="15" t="s">
        <v>1206</v>
      </c>
      <c r="D29" s="15" t="s">
        <v>170</v>
      </c>
      <c r="E29" s="15">
        <v>0</v>
      </c>
      <c r="G29" s="15" t="s">
        <v>1207</v>
      </c>
    </row>
    <row r="30" spans="1:9" ht="14.25" customHeight="1">
      <c r="A30" s="15" t="s">
        <v>1208</v>
      </c>
      <c r="C30" s="15" t="s">
        <v>1208</v>
      </c>
      <c r="E30" s="15">
        <v>0</v>
      </c>
      <c r="G30" s="15" t="s">
        <v>1209</v>
      </c>
      <c r="I30" s="15" t="s">
        <v>1163</v>
      </c>
    </row>
    <row r="31" spans="1:9" ht="14.25" customHeight="1">
      <c r="A31" s="15" t="s">
        <v>1210</v>
      </c>
      <c r="C31" s="15" t="s">
        <v>1210</v>
      </c>
      <c r="E31" s="15">
        <v>0</v>
      </c>
      <c r="G31" s="15" t="s">
        <v>1211</v>
      </c>
      <c r="I31" s="15" t="s">
        <v>1163</v>
      </c>
    </row>
    <row r="32" spans="1:9" ht="14.25" customHeight="1">
      <c r="A32" s="15" t="s">
        <v>1212</v>
      </c>
      <c r="B32" s="450" t="s">
        <v>170</v>
      </c>
      <c r="C32" s="15" t="s">
        <v>1213</v>
      </c>
      <c r="G32" s="15" t="s">
        <v>1213</v>
      </c>
    </row>
    <row r="33" spans="1:9" ht="14.25" customHeight="1">
      <c r="A33" s="15" t="s">
        <v>1214</v>
      </c>
      <c r="G33" s="15" t="s">
        <v>1215</v>
      </c>
    </row>
    <row r="34" spans="1:9" ht="14.25" customHeight="1">
      <c r="A34" s="15" t="s">
        <v>1216</v>
      </c>
      <c r="F34" s="15" t="s">
        <v>1163</v>
      </c>
      <c r="G34" s="15" t="s">
        <v>1217</v>
      </c>
      <c r="I34" s="15" t="s">
        <v>1163</v>
      </c>
    </row>
    <row r="35" spans="1:9" ht="14.25" customHeight="1">
      <c r="A35" s="15" t="s">
        <v>1218</v>
      </c>
      <c r="C35" s="15" t="s">
        <v>1218</v>
      </c>
      <c r="F35" s="15" t="s">
        <v>170</v>
      </c>
    </row>
    <row r="36" spans="1:9" ht="14.25" customHeight="1">
      <c r="A36" s="15" t="s">
        <v>1219</v>
      </c>
      <c r="C36" s="15" t="s">
        <v>1219</v>
      </c>
      <c r="F36" s="15" t="s">
        <v>170</v>
      </c>
    </row>
    <row r="37" spans="1:9" ht="14.25" customHeight="1">
      <c r="A37" s="15" t="s">
        <v>1220</v>
      </c>
      <c r="C37" s="15" t="s">
        <v>1220</v>
      </c>
      <c r="G37" s="15" t="s">
        <v>1220</v>
      </c>
    </row>
    <row r="38" spans="1:9" ht="14.25" customHeight="1">
      <c r="A38" s="15" t="s">
        <v>1221</v>
      </c>
      <c r="C38" s="15" t="s">
        <v>1221</v>
      </c>
      <c r="G38" s="15" t="s">
        <v>1221</v>
      </c>
    </row>
    <row r="39" spans="1:9" ht="14.25" customHeight="1">
      <c r="A39" s="15" t="s">
        <v>1222</v>
      </c>
      <c r="C39" s="15" t="s">
        <v>1222</v>
      </c>
      <c r="F39" s="15" t="s">
        <v>1163</v>
      </c>
      <c r="G39" s="15" t="s">
        <v>1223</v>
      </c>
      <c r="I39" s="15" t="s">
        <v>1163</v>
      </c>
    </row>
    <row r="40" spans="1:9" ht="14.25" customHeight="1">
      <c r="A40" s="15" t="s">
        <v>1224</v>
      </c>
      <c r="B40" s="451" t="s">
        <v>170</v>
      </c>
      <c r="C40" s="51" t="s">
        <v>1224</v>
      </c>
      <c r="D40" s="24"/>
    </row>
    <row r="41" spans="1:9" ht="14.25" customHeight="1">
      <c r="A41" s="15" t="s">
        <v>1225</v>
      </c>
      <c r="C41" s="15" t="s">
        <v>1225</v>
      </c>
      <c r="G41" s="15" t="s">
        <v>1225</v>
      </c>
    </row>
    <row r="42" spans="1:9" ht="14.25" customHeight="1">
      <c r="A42" s="15" t="s">
        <v>1226</v>
      </c>
      <c r="B42" s="451" t="s">
        <v>170</v>
      </c>
      <c r="C42" s="51" t="s">
        <v>1226</v>
      </c>
      <c r="D42" s="452" t="s">
        <v>170</v>
      </c>
      <c r="G42" s="15" t="s">
        <v>1227</v>
      </c>
    </row>
    <row r="43" spans="1:9" ht="14.25" customHeight="1">
      <c r="B43" s="451"/>
      <c r="C43" s="51"/>
      <c r="D43" s="452"/>
      <c r="G43" s="15" t="s">
        <v>1228</v>
      </c>
    </row>
    <row r="44" spans="1:9" ht="14.25" customHeight="1">
      <c r="A44" s="15" t="s">
        <v>1229</v>
      </c>
      <c r="C44" s="15" t="s">
        <v>1229</v>
      </c>
      <c r="G44" s="15" t="s">
        <v>1229</v>
      </c>
    </row>
    <row r="45" spans="1:9" ht="14.25" customHeight="1">
      <c r="A45" s="15" t="s">
        <v>1230</v>
      </c>
      <c r="C45" s="15" t="s">
        <v>1230</v>
      </c>
      <c r="G45" s="15" t="s">
        <v>1231</v>
      </c>
      <c r="I45" s="15" t="s">
        <v>1163</v>
      </c>
    </row>
    <row r="46" spans="1:9" ht="14.25" customHeight="1">
      <c r="A46" s="15" t="s">
        <v>1232</v>
      </c>
      <c r="C46" s="15" t="s">
        <v>1232</v>
      </c>
      <c r="G46" s="15" t="s">
        <v>1232</v>
      </c>
    </row>
    <row r="47" spans="1:9" ht="14.25" customHeight="1">
      <c r="A47" s="15" t="s">
        <v>1233</v>
      </c>
      <c r="B47" s="451" t="s">
        <v>170</v>
      </c>
      <c r="C47" s="51" t="s">
        <v>1233</v>
      </c>
      <c r="D47" s="452" t="s">
        <v>170</v>
      </c>
      <c r="E47" s="15">
        <v>0</v>
      </c>
      <c r="F47" s="15" t="s">
        <v>1163</v>
      </c>
      <c r="G47" s="15" t="s">
        <v>1234</v>
      </c>
    </row>
    <row r="48" spans="1:9">
      <c r="A48" s="15" t="s">
        <v>1235</v>
      </c>
      <c r="C48" s="15" t="s">
        <v>1235</v>
      </c>
      <c r="G48" s="15" t="s">
        <v>1235</v>
      </c>
    </row>
    <row r="49" spans="1:9">
      <c r="A49" s="15" t="s">
        <v>1236</v>
      </c>
      <c r="C49" s="15" t="s">
        <v>1236</v>
      </c>
      <c r="G49" s="15" t="s">
        <v>1236</v>
      </c>
    </row>
    <row r="50" spans="1:9">
      <c r="A50" s="15" t="s">
        <v>1237</v>
      </c>
      <c r="B50" s="451" t="s">
        <v>170</v>
      </c>
      <c r="C50" s="51" t="s">
        <v>1237</v>
      </c>
      <c r="D50" s="452" t="s">
        <v>170</v>
      </c>
      <c r="G50" s="15" t="s">
        <v>1237</v>
      </c>
      <c r="I50" s="15" t="s">
        <v>1163</v>
      </c>
    </row>
    <row r="51" spans="1:9">
      <c r="A51" s="15" t="s">
        <v>1238</v>
      </c>
      <c r="C51" s="15" t="s">
        <v>1238</v>
      </c>
      <c r="G51" s="15" t="s">
        <v>1238</v>
      </c>
    </row>
    <row r="52" spans="1:9">
      <c r="A52" s="15" t="s">
        <v>1239</v>
      </c>
      <c r="C52" s="15" t="s">
        <v>1239</v>
      </c>
      <c r="G52" s="15" t="s">
        <v>1239</v>
      </c>
    </row>
    <row r="53" spans="1:9">
      <c r="A53" s="15" t="s">
        <v>1240</v>
      </c>
      <c r="C53" s="15" t="s">
        <v>1240</v>
      </c>
      <c r="G53" s="15" t="s">
        <v>1240</v>
      </c>
    </row>
    <row r="54" spans="1:9">
      <c r="A54" s="15" t="s">
        <v>1241</v>
      </c>
      <c r="C54" s="15" t="s">
        <v>1241</v>
      </c>
      <c r="G54" s="15" t="s">
        <v>1241</v>
      </c>
    </row>
    <row r="55" spans="1:9">
      <c r="A55" s="15" t="s">
        <v>1242</v>
      </c>
      <c r="C55" s="15" t="s">
        <v>1242</v>
      </c>
      <c r="G55" s="15" t="s">
        <v>1242</v>
      </c>
    </row>
    <row r="56" spans="1:9">
      <c r="A56" s="15" t="s">
        <v>1243</v>
      </c>
      <c r="C56" s="15" t="s">
        <v>1243</v>
      </c>
      <c r="G56" s="15" t="s">
        <v>1243</v>
      </c>
    </row>
    <row r="57" spans="1:9">
      <c r="A57" s="15" t="s">
        <v>1244</v>
      </c>
      <c r="C57" s="15" t="s">
        <v>1244</v>
      </c>
      <c r="E57" s="15">
        <v>0</v>
      </c>
      <c r="G57" s="15" t="s">
        <v>1244</v>
      </c>
    </row>
    <row r="58" spans="1:9">
      <c r="A58" s="15" t="s">
        <v>1245</v>
      </c>
      <c r="C58" s="15" t="s">
        <v>1245</v>
      </c>
      <c r="G58" s="15" t="s">
        <v>1245</v>
      </c>
    </row>
    <row r="59" spans="1:9">
      <c r="A59" s="15" t="s">
        <v>1246</v>
      </c>
      <c r="C59" s="15" t="s">
        <v>1246</v>
      </c>
      <c r="F59" s="15" t="s">
        <v>1163</v>
      </c>
      <c r="G59" s="15" t="s">
        <v>1246</v>
      </c>
    </row>
    <row r="60" spans="1:9">
      <c r="A60" s="15" t="s">
        <v>1247</v>
      </c>
      <c r="C60" s="15" t="s">
        <v>1247</v>
      </c>
      <c r="F60" s="15" t="s">
        <v>1163</v>
      </c>
      <c r="G60" s="15" t="s">
        <v>1247</v>
      </c>
    </row>
    <row r="61" spans="1:9">
      <c r="A61" s="15" t="s">
        <v>1248</v>
      </c>
      <c r="G61" s="15" t="s">
        <v>1249</v>
      </c>
    </row>
    <row r="62" spans="1:9">
      <c r="A62" s="15" t="s">
        <v>1250</v>
      </c>
      <c r="C62" s="15" t="s">
        <v>1250</v>
      </c>
      <c r="F62" s="15" t="s">
        <v>1163</v>
      </c>
      <c r="G62" s="15" t="s">
        <v>1250</v>
      </c>
    </row>
    <row r="63" spans="1:9">
      <c r="A63" s="15" t="s">
        <v>1251</v>
      </c>
      <c r="C63" s="15" t="s">
        <v>1251</v>
      </c>
      <c r="G63" s="15" t="s">
        <v>1252</v>
      </c>
      <c r="I63" s="15" t="s">
        <v>1163</v>
      </c>
    </row>
    <row r="64" spans="1:9">
      <c r="A64" s="15" t="s">
        <v>1253</v>
      </c>
      <c r="C64" s="15" t="s">
        <v>1253</v>
      </c>
      <c r="G64" s="15" t="s">
        <v>1253</v>
      </c>
    </row>
    <row r="65" spans="1:9">
      <c r="G65" s="15" t="s">
        <v>1254</v>
      </c>
    </row>
    <row r="66" spans="1:9" ht="14.25" customHeight="1">
      <c r="A66" s="15" t="s">
        <v>1255</v>
      </c>
      <c r="B66" s="451" t="s">
        <v>170</v>
      </c>
      <c r="C66" s="51" t="s">
        <v>1255</v>
      </c>
      <c r="D66" s="24" t="s">
        <v>170</v>
      </c>
      <c r="E66" s="15">
        <v>0</v>
      </c>
      <c r="G66" s="15" t="s">
        <v>1256</v>
      </c>
    </row>
    <row r="67" spans="1:9" ht="14.25" customHeight="1">
      <c r="A67" s="15" t="s">
        <v>1257</v>
      </c>
      <c r="C67" s="15" t="s">
        <v>1257</v>
      </c>
      <c r="F67" s="15" t="s">
        <v>1163</v>
      </c>
      <c r="G67" s="15" t="s">
        <v>1257</v>
      </c>
    </row>
    <row r="68" spans="1:9" ht="14.25" customHeight="1">
      <c r="G68" s="15" t="s">
        <v>1258</v>
      </c>
      <c r="I68" s="15" t="s">
        <v>1163</v>
      </c>
    </row>
    <row r="69" spans="1:9" ht="14.25" customHeight="1">
      <c r="A69" s="15" t="s">
        <v>1259</v>
      </c>
      <c r="C69" s="15" t="s">
        <v>1259</v>
      </c>
      <c r="G69" s="15" t="s">
        <v>1259</v>
      </c>
    </row>
    <row r="70" spans="1:9" ht="14.25" customHeight="1">
      <c r="A70" s="15" t="s">
        <v>1260</v>
      </c>
      <c r="B70" s="451" t="s">
        <v>170</v>
      </c>
      <c r="C70" s="51" t="s">
        <v>1261</v>
      </c>
      <c r="D70" s="24" t="s">
        <v>170</v>
      </c>
      <c r="F70" s="15" t="s">
        <v>1262</v>
      </c>
      <c r="G70" s="15" t="s">
        <v>1263</v>
      </c>
    </row>
    <row r="71" spans="1:9" ht="14.25" customHeight="1">
      <c r="A71" s="15" t="s">
        <v>1264</v>
      </c>
      <c r="G71" s="15" t="s">
        <v>1265</v>
      </c>
      <c r="I71" s="15" t="s">
        <v>1163</v>
      </c>
    </row>
    <row r="72" spans="1:9" ht="14.25" customHeight="1">
      <c r="F72" s="15">
        <f>COUNTA(F1:F71)</f>
        <v>18</v>
      </c>
      <c r="I72" s="15">
        <f>COUNTA(I1:I71)</f>
        <v>22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B12"/>
  <sheetViews>
    <sheetView workbookViewId="0"/>
  </sheetViews>
  <sheetFormatPr defaultRowHeight="15"/>
  <cols>
    <col min="1" max="1" width="20" customWidth="1"/>
    <col min="2" max="2" width="50" customWidth="1"/>
  </cols>
  <sheetData>
    <row r="1" spans="1:2">
      <c r="A1" s="4171" t="s">
        <v>1266</v>
      </c>
      <c r="B1" s="4172" t="s">
        <v>1267</v>
      </c>
    </row>
    <row r="2" spans="1:2" s="4175" customFormat="1">
      <c r="A2" s="4173" t="s">
        <v>1268</v>
      </c>
      <c r="B2" s="4174" t="s">
        <v>1269</v>
      </c>
    </row>
    <row r="3" spans="1:2">
      <c r="A3" t="s">
        <v>1270</v>
      </c>
      <c r="B3" t="s">
        <v>1269</v>
      </c>
    </row>
    <row r="4" spans="1:2" s="4178" customFormat="1">
      <c r="A4" s="4176" t="s">
        <v>1272</v>
      </c>
      <c r="B4" s="4177" t="s">
        <v>1273</v>
      </c>
    </row>
    <row r="5" spans="1:2">
      <c r="A5" t="s">
        <v>328</v>
      </c>
      <c r="B5" t="s">
        <v>1696</v>
      </c>
    </row>
    <row r="6" spans="1:2" s="4181" customFormat="1">
      <c r="A6" s="4179" t="s">
        <v>1274</v>
      </c>
      <c r="B6" s="4180" t="s">
        <v>1275</v>
      </c>
    </row>
    <row r="7" spans="1:2">
      <c r="A7" t="s">
        <v>1276</v>
      </c>
      <c r="B7" t="s">
        <v>1277</v>
      </c>
    </row>
    <row r="8" spans="1:2" s="4184" customFormat="1">
      <c r="A8" s="4182" t="s">
        <v>1278</v>
      </c>
      <c r="B8" s="4183" t="s">
        <v>1279</v>
      </c>
    </row>
    <row r="9" spans="1:2">
      <c r="A9" t="s">
        <v>1280</v>
      </c>
      <c r="B9" t="s">
        <v>1271</v>
      </c>
    </row>
    <row r="10" spans="1:2" s="4187" customFormat="1">
      <c r="A10" s="4185" t="s">
        <v>1281</v>
      </c>
      <c r="B10" s="4186" t="s">
        <v>28</v>
      </c>
    </row>
    <row r="11" spans="1:2">
      <c r="A11" t="s">
        <v>1282</v>
      </c>
      <c r="B11" t="s">
        <v>1745</v>
      </c>
    </row>
    <row r="12" spans="1:2" s="4190" customFormat="1">
      <c r="A12" s="4188" t="s">
        <v>1283</v>
      </c>
      <c r="B12" s="4189" t="s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92</vt:i4>
      </vt:variant>
      <vt:variant>
        <vt:lpstr>Named Ranges</vt:lpstr>
      </vt:variant>
      <vt:variant>
        <vt:i4>2</vt:i4>
      </vt:variant>
    </vt:vector>
  </HeadingPairs>
  <TitlesOfParts>
    <vt:vector size="94" baseType="lpstr">
      <vt:lpstr>000</vt:lpstr>
      <vt:lpstr>001x</vt:lpstr>
      <vt:lpstr>001a</vt:lpstr>
      <vt:lpstr>001b</vt:lpstr>
      <vt:lpstr>002</vt:lpstr>
      <vt:lpstr>003a</vt:lpstr>
      <vt:lpstr>003b</vt:lpstr>
      <vt:lpstr>005</vt:lpstr>
      <vt:lpstr>A01b</vt:lpstr>
      <vt:lpstr>A01c</vt:lpstr>
      <vt:lpstr>A01d</vt:lpstr>
      <vt:lpstr>A02-FE00</vt:lpstr>
      <vt:lpstr>A03-FE01</vt:lpstr>
      <vt:lpstr>A04-FE02</vt:lpstr>
      <vt:lpstr>A05-FE03</vt:lpstr>
      <vt:lpstr>AN01</vt:lpstr>
      <vt:lpstr>AN02</vt:lpstr>
      <vt:lpstr>AW01a</vt:lpstr>
      <vt:lpstr>AW01b</vt:lpstr>
      <vt:lpstr>AW01c</vt:lpstr>
      <vt:lpstr>BC00</vt:lpstr>
      <vt:lpstr>BC02</vt:lpstr>
      <vt:lpstr>BC04</vt:lpstr>
      <vt:lpstr>BU02</vt:lpstr>
      <vt:lpstr>D01b</vt:lpstr>
      <vt:lpstr>D03</vt:lpstr>
      <vt:lpstr>DO04</vt:lpstr>
      <vt:lpstr>DO04b</vt:lpstr>
      <vt:lpstr>DO04c</vt:lpstr>
      <vt:lpstr>DO12</vt:lpstr>
      <vt:lpstr>DO12b</vt:lpstr>
      <vt:lpstr>DO13</vt:lpstr>
      <vt:lpstr>DO14</vt:lpstr>
      <vt:lpstr>DO15</vt:lpstr>
      <vt:lpstr>H03</vt:lpstr>
      <vt:lpstr>H04</vt:lpstr>
      <vt:lpstr>H04b</vt:lpstr>
      <vt:lpstr>H04c</vt:lpstr>
      <vt:lpstr>H07</vt:lpstr>
      <vt:lpstr>KG01</vt:lpstr>
      <vt:lpstr>KG01b</vt:lpstr>
      <vt:lpstr>KG02</vt:lpstr>
      <vt:lpstr>KO01</vt:lpstr>
      <vt:lpstr>KO02</vt:lpstr>
      <vt:lpstr>KO02b</vt:lpstr>
      <vt:lpstr>KO03</vt:lpstr>
      <vt:lpstr>KO03b</vt:lpstr>
      <vt:lpstr>L05</vt:lpstr>
      <vt:lpstr>L06</vt:lpstr>
      <vt:lpstr>L07</vt:lpstr>
      <vt:lpstr>P10b</vt:lpstr>
      <vt:lpstr>P19</vt:lpstr>
      <vt:lpstr>P19b</vt:lpstr>
      <vt:lpstr>PH01</vt:lpstr>
      <vt:lpstr>PH01d</vt:lpstr>
      <vt:lpstr>R02</vt:lpstr>
      <vt:lpstr>R03</vt:lpstr>
      <vt:lpstr>R05</vt:lpstr>
      <vt:lpstr>R06</vt:lpstr>
      <vt:lpstr>R07</vt:lpstr>
      <vt:lpstr>R10</vt:lpstr>
      <vt:lpstr>RV00</vt:lpstr>
      <vt:lpstr>RV01</vt:lpstr>
      <vt:lpstr>RV01b</vt:lpstr>
      <vt:lpstr>RV02</vt:lpstr>
      <vt:lpstr>RV02b</vt:lpstr>
      <vt:lpstr>SL01</vt:lpstr>
      <vt:lpstr>SL02</vt:lpstr>
      <vt:lpstr>SL03</vt:lpstr>
      <vt:lpstr>U01</vt:lpstr>
      <vt:lpstr>U01b</vt:lpstr>
      <vt:lpstr>U01c</vt:lpstr>
      <vt:lpstr>UM02</vt:lpstr>
      <vt:lpstr>UM03</vt:lpstr>
      <vt:lpstr>UM03b</vt:lpstr>
      <vt:lpstr>WO31</vt:lpstr>
      <vt:lpstr>WO32b</vt:lpstr>
      <vt:lpstr>WO33</vt:lpstr>
      <vt:lpstr>WSH04</vt:lpstr>
      <vt:lpstr>WSH04b</vt:lpstr>
      <vt:lpstr>WSH06</vt:lpstr>
      <vt:lpstr>WSH08</vt:lpstr>
      <vt:lpstr>WSH08b</vt:lpstr>
      <vt:lpstr>WSH09</vt:lpstr>
      <vt:lpstr>WSH99</vt:lpstr>
      <vt:lpstr>Z01b</vt:lpstr>
      <vt:lpstr>00x</vt:lpstr>
      <vt:lpstr>00y</vt:lpstr>
      <vt:lpstr>00z</vt:lpstr>
      <vt:lpstr>AcktualRun</vt:lpstr>
      <vt:lpstr>AW01</vt:lpstr>
      <vt:lpstr>Summary</vt:lpstr>
      <vt:lpstr>_FilterDatabase</vt:lpstr>
      <vt:lpstr>SpeedFaktor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2024-03-07T15:58:52Z</dcterms:created>
  <dcterms:modified xsi:type="dcterms:W3CDTF">2025-11-04T22:56:10Z</dcterms:modified>
</cp:coreProperties>
</file>