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-30" yWindow="-45" windowWidth="7620" windowHeight="8385" activeTab="4"/>
  </bookViews>
  <sheets>
    <sheet name="1958" sheetId="2" r:id="rId1"/>
    <sheet name="1959" sheetId="4" r:id="rId2"/>
    <sheet name="1960" sheetId="5" r:id="rId3"/>
    <sheet name="1961" sheetId="6" r:id="rId4"/>
    <sheet name="1962" sheetId="7" r:id="rId5"/>
    <sheet name="Sheet6" sheetId="8" r:id="rId6"/>
    <sheet name="Sheet7" sheetId="9" r:id="rId7"/>
    <sheet name="Sheet8" sheetId="10" r:id="rId8"/>
    <sheet name="Sheet9" sheetId="11" r:id="rId9"/>
    <sheet name="Sheet10" sheetId="3" r:id="rId10"/>
  </sheets>
  <definedNames>
    <definedName name="_xlnm.Print_Area" localSheetId="0">'1958'!$A$1:$AJ$43</definedName>
  </definedNames>
  <calcPr calcId="124519"/>
</workbook>
</file>

<file path=xl/calcChain.xml><?xml version="1.0" encoding="utf-8"?>
<calcChain xmlns="http://schemas.openxmlformats.org/spreadsheetml/2006/main">
  <c r="AP46" i="7"/>
  <c r="G46"/>
  <c r="F46"/>
  <c r="N46" s="1"/>
  <c r="O46" s="1"/>
  <c r="AP45"/>
  <c r="G45"/>
  <c r="F45"/>
  <c r="N45" s="1"/>
  <c r="O45" s="1"/>
  <c r="A45"/>
  <c r="A46" s="1"/>
  <c r="AP47" i="6"/>
  <c r="G47"/>
  <c r="F47"/>
  <c r="N47" s="1"/>
  <c r="O47" s="1"/>
  <c r="AP46"/>
  <c r="G46"/>
  <c r="F46"/>
  <c r="N46" s="1"/>
  <c r="O46" s="1"/>
  <c r="AP45"/>
  <c r="G45"/>
  <c r="F45"/>
  <c r="N45" s="1"/>
  <c r="O45" s="1"/>
  <c r="A45"/>
  <c r="A46" s="1"/>
  <c r="AP45" i="4"/>
  <c r="G45"/>
  <c r="F45"/>
  <c r="N45" s="1"/>
  <c r="O45" s="1"/>
  <c r="A45"/>
  <c r="AM45" s="1"/>
  <c r="AP46" i="2"/>
  <c r="G46"/>
  <c r="F46"/>
  <c r="N46" s="1"/>
  <c r="O46" s="1"/>
  <c r="AP45"/>
  <c r="G45"/>
  <c r="F45"/>
  <c r="N45" s="1"/>
  <c r="O45" s="1"/>
  <c r="A45"/>
  <c r="A46" s="1"/>
  <c r="AP44"/>
  <c r="AP43"/>
  <c r="AP42"/>
  <c r="AP44" i="11"/>
  <c r="F42"/>
  <c r="AN42"/>
  <c r="F43"/>
  <c r="AN43"/>
  <c r="F44"/>
  <c r="AN44"/>
  <c r="G44"/>
  <c r="AO44"/>
  <c r="A43"/>
  <c r="A44"/>
  <c r="AM44"/>
  <c r="D41"/>
  <c r="AK41"/>
  <c r="C41"/>
  <c r="F41"/>
  <c r="G41"/>
  <c r="M41"/>
  <c r="H41"/>
  <c r="J41"/>
  <c r="L41"/>
  <c r="R41"/>
  <c r="S41"/>
  <c r="I41"/>
  <c r="K41"/>
  <c r="W41"/>
  <c r="X41"/>
  <c r="Y41"/>
  <c r="AB41"/>
  <c r="AG41"/>
  <c r="AK42"/>
  <c r="G42"/>
  <c r="M42"/>
  <c r="H42"/>
  <c r="J42"/>
  <c r="L42"/>
  <c r="R42"/>
  <c r="S42"/>
  <c r="I42"/>
  <c r="K42"/>
  <c r="W42"/>
  <c r="X42"/>
  <c r="Y42"/>
  <c r="AB42"/>
  <c r="G43"/>
  <c r="M43"/>
  <c r="H43"/>
  <c r="J43"/>
  <c r="L43"/>
  <c r="R43"/>
  <c r="S43"/>
  <c r="I43"/>
  <c r="K43"/>
  <c r="W43"/>
  <c r="X43"/>
  <c r="Y43"/>
  <c r="AB43"/>
  <c r="M44"/>
  <c r="H44"/>
  <c r="J44"/>
  <c r="L44"/>
  <c r="R44"/>
  <c r="S44"/>
  <c r="I44"/>
  <c r="K44"/>
  <c r="W44"/>
  <c r="X44"/>
  <c r="Y44"/>
  <c r="AB44"/>
  <c r="AB40"/>
  <c r="M40"/>
  <c r="AE42"/>
  <c r="AG42"/>
  <c r="AK43"/>
  <c r="AE43"/>
  <c r="AG43"/>
  <c r="AK44"/>
  <c r="AJ41"/>
  <c r="AA41"/>
  <c r="AF41"/>
  <c r="AJ42"/>
  <c r="AA42"/>
  <c r="AA43"/>
  <c r="AA44"/>
  <c r="AA40"/>
  <c r="AD42"/>
  <c r="AF42"/>
  <c r="AJ43"/>
  <c r="AD43"/>
  <c r="AF43"/>
  <c r="AJ44"/>
  <c r="AI44"/>
  <c r="AE44"/>
  <c r="AG44"/>
  <c r="AD44"/>
  <c r="AF44"/>
  <c r="U44"/>
  <c r="T44"/>
  <c r="N44"/>
  <c r="O44"/>
  <c r="P44"/>
  <c r="Q44"/>
  <c r="AP43"/>
  <c r="AO43"/>
  <c r="AM43"/>
  <c r="AI43"/>
  <c r="U43"/>
  <c r="T43"/>
  <c r="N43"/>
  <c r="O43"/>
  <c r="P43"/>
  <c r="Q43"/>
  <c r="AP42"/>
  <c r="AO42"/>
  <c r="AM42"/>
  <c r="AI42"/>
  <c r="U42"/>
  <c r="T42"/>
  <c r="N42"/>
  <c r="O42"/>
  <c r="P42"/>
  <c r="Q42"/>
  <c r="A41"/>
  <c r="AM41"/>
  <c r="AI41"/>
  <c r="U41"/>
  <c r="T41"/>
  <c r="N41"/>
  <c r="O41"/>
  <c r="P41"/>
  <c r="Q41"/>
  <c r="AK40"/>
  <c r="AJ40"/>
  <c r="AG40"/>
  <c r="AF40"/>
  <c r="AE40"/>
  <c r="AD40"/>
  <c r="B32"/>
  <c r="B33"/>
  <c r="B35"/>
  <c r="B34"/>
  <c r="C28"/>
  <c r="C29"/>
  <c r="AP44" i="10"/>
  <c r="F42"/>
  <c r="AN42"/>
  <c r="F43"/>
  <c r="AN43"/>
  <c r="F44"/>
  <c r="AN44"/>
  <c r="G44"/>
  <c r="AO44"/>
  <c r="A43"/>
  <c r="A44"/>
  <c r="AM44"/>
  <c r="D41"/>
  <c r="AK41"/>
  <c r="C41"/>
  <c r="F41"/>
  <c r="G41"/>
  <c r="M41"/>
  <c r="H41"/>
  <c r="J41"/>
  <c r="L41"/>
  <c r="R41"/>
  <c r="S41"/>
  <c r="I41"/>
  <c r="K41"/>
  <c r="W41"/>
  <c r="X41"/>
  <c r="Y41"/>
  <c r="AB41"/>
  <c r="AG41"/>
  <c r="AK42"/>
  <c r="G42"/>
  <c r="M42"/>
  <c r="H42"/>
  <c r="J42"/>
  <c r="L42"/>
  <c r="R42"/>
  <c r="S42"/>
  <c r="I42"/>
  <c r="K42"/>
  <c r="W42"/>
  <c r="X42"/>
  <c r="Y42"/>
  <c r="AB42"/>
  <c r="G43"/>
  <c r="M43"/>
  <c r="H43"/>
  <c r="J43"/>
  <c r="L43"/>
  <c r="R43"/>
  <c r="S43"/>
  <c r="I43"/>
  <c r="K43"/>
  <c r="W43"/>
  <c r="X43"/>
  <c r="Y43"/>
  <c r="AB43"/>
  <c r="M44"/>
  <c r="H44"/>
  <c r="J44"/>
  <c r="L44"/>
  <c r="R44"/>
  <c r="S44"/>
  <c r="I44"/>
  <c r="K44"/>
  <c r="W44"/>
  <c r="X44"/>
  <c r="Y44"/>
  <c r="AB44"/>
  <c r="AB40"/>
  <c r="M40"/>
  <c r="AE42"/>
  <c r="AG42"/>
  <c r="AK43"/>
  <c r="AE43"/>
  <c r="AG43"/>
  <c r="AK44"/>
  <c r="AJ41"/>
  <c r="AA41"/>
  <c r="AF41"/>
  <c r="AJ42"/>
  <c r="AA42"/>
  <c r="AA43"/>
  <c r="AA44"/>
  <c r="AA40"/>
  <c r="AD42"/>
  <c r="AF42"/>
  <c r="AJ43"/>
  <c r="AD43"/>
  <c r="AF43"/>
  <c r="AJ44"/>
  <c r="AI44"/>
  <c r="AE44"/>
  <c r="AG44"/>
  <c r="AD44"/>
  <c r="AF44"/>
  <c r="U44"/>
  <c r="T44"/>
  <c r="N44"/>
  <c r="O44"/>
  <c r="P44"/>
  <c r="Q44"/>
  <c r="AP43"/>
  <c r="AO43"/>
  <c r="AM43"/>
  <c r="AI43"/>
  <c r="U43"/>
  <c r="T43"/>
  <c r="N43"/>
  <c r="O43"/>
  <c r="P43"/>
  <c r="Q43"/>
  <c r="AP42"/>
  <c r="AO42"/>
  <c r="AM42"/>
  <c r="AI42"/>
  <c r="U42"/>
  <c r="T42"/>
  <c r="N42"/>
  <c r="O42"/>
  <c r="P42"/>
  <c r="Q42"/>
  <c r="A41"/>
  <c r="AM41"/>
  <c r="AI41"/>
  <c r="U41"/>
  <c r="T41"/>
  <c r="N41"/>
  <c r="O41"/>
  <c r="P41"/>
  <c r="Q41"/>
  <c r="AK40"/>
  <c r="AJ40"/>
  <c r="AG40"/>
  <c r="AF40"/>
  <c r="AE40"/>
  <c r="AD40"/>
  <c r="B32"/>
  <c r="B33"/>
  <c r="B35"/>
  <c r="B34"/>
  <c r="C28"/>
  <c r="C29"/>
  <c r="AP44" i="9"/>
  <c r="F42"/>
  <c r="AN42"/>
  <c r="F43"/>
  <c r="AN43"/>
  <c r="F44"/>
  <c r="AN44"/>
  <c r="G44"/>
  <c r="AO44"/>
  <c r="A43"/>
  <c r="A44"/>
  <c r="AM44"/>
  <c r="D41"/>
  <c r="AK41"/>
  <c r="C41"/>
  <c r="F41"/>
  <c r="G41"/>
  <c r="M41"/>
  <c r="H41"/>
  <c r="J41"/>
  <c r="L41"/>
  <c r="R41"/>
  <c r="S41"/>
  <c r="I41"/>
  <c r="K41"/>
  <c r="W41"/>
  <c r="X41"/>
  <c r="Y41"/>
  <c r="AB41"/>
  <c r="AG41"/>
  <c r="AK42"/>
  <c r="G42"/>
  <c r="M42"/>
  <c r="H42"/>
  <c r="J42"/>
  <c r="L42"/>
  <c r="R42"/>
  <c r="S42"/>
  <c r="I42"/>
  <c r="K42"/>
  <c r="W42"/>
  <c r="X42"/>
  <c r="Y42"/>
  <c r="AB42"/>
  <c r="G43"/>
  <c r="M43"/>
  <c r="H43"/>
  <c r="J43"/>
  <c r="L43"/>
  <c r="R43"/>
  <c r="S43"/>
  <c r="I43"/>
  <c r="K43"/>
  <c r="W43"/>
  <c r="X43"/>
  <c r="Y43"/>
  <c r="AB43"/>
  <c r="M44"/>
  <c r="H44"/>
  <c r="J44"/>
  <c r="L44"/>
  <c r="R44"/>
  <c r="S44"/>
  <c r="I44"/>
  <c r="K44"/>
  <c r="W44"/>
  <c r="X44"/>
  <c r="Y44"/>
  <c r="AB44"/>
  <c r="AB40"/>
  <c r="M40"/>
  <c r="AE42"/>
  <c r="AG42"/>
  <c r="AK43"/>
  <c r="AE43"/>
  <c r="AG43"/>
  <c r="AK44"/>
  <c r="AJ41"/>
  <c r="AA41"/>
  <c r="AF41"/>
  <c r="AJ42"/>
  <c r="AA42"/>
  <c r="AA43"/>
  <c r="AA44"/>
  <c r="AA40"/>
  <c r="AD42"/>
  <c r="AF42"/>
  <c r="AJ43"/>
  <c r="AD43"/>
  <c r="AF43"/>
  <c r="AJ44"/>
  <c r="AI44"/>
  <c r="AE44"/>
  <c r="AG44"/>
  <c r="AD44"/>
  <c r="AF44"/>
  <c r="U44"/>
  <c r="T44"/>
  <c r="N44"/>
  <c r="O44"/>
  <c r="P44"/>
  <c r="Q44"/>
  <c r="AP43"/>
  <c r="AO43"/>
  <c r="AM43"/>
  <c r="AI43"/>
  <c r="U43"/>
  <c r="T43"/>
  <c r="N43"/>
  <c r="O43"/>
  <c r="P43"/>
  <c r="Q43"/>
  <c r="AP42"/>
  <c r="AO42"/>
  <c r="AM42"/>
  <c r="AI42"/>
  <c r="U42"/>
  <c r="T42"/>
  <c r="N42"/>
  <c r="O42"/>
  <c r="P42"/>
  <c r="Q42"/>
  <c r="A41"/>
  <c r="AM41"/>
  <c r="AI41"/>
  <c r="U41"/>
  <c r="T41"/>
  <c r="N41"/>
  <c r="O41"/>
  <c r="P41"/>
  <c r="Q41"/>
  <c r="AK40"/>
  <c r="AJ40"/>
  <c r="AG40"/>
  <c r="AF40"/>
  <c r="AE40"/>
  <c r="AD40"/>
  <c r="B32"/>
  <c r="B33"/>
  <c r="B35"/>
  <c r="B34"/>
  <c r="C28"/>
  <c r="C29"/>
  <c r="AP44" i="8"/>
  <c r="F42"/>
  <c r="AN42"/>
  <c r="F43"/>
  <c r="AN43"/>
  <c r="F44"/>
  <c r="AN44"/>
  <c r="G44"/>
  <c r="AO44"/>
  <c r="A43"/>
  <c r="A44"/>
  <c r="AM44"/>
  <c r="D41"/>
  <c r="AK41"/>
  <c r="C41"/>
  <c r="F41"/>
  <c r="G41"/>
  <c r="M41"/>
  <c r="H41"/>
  <c r="J41"/>
  <c r="L41"/>
  <c r="R41"/>
  <c r="S41"/>
  <c r="I41"/>
  <c r="K41"/>
  <c r="W41"/>
  <c r="X41"/>
  <c r="Y41"/>
  <c r="AB41"/>
  <c r="AG41"/>
  <c r="AK42"/>
  <c r="G42"/>
  <c r="M42"/>
  <c r="H42"/>
  <c r="J42"/>
  <c r="L42"/>
  <c r="R42"/>
  <c r="S42"/>
  <c r="I42"/>
  <c r="K42"/>
  <c r="W42"/>
  <c r="X42"/>
  <c r="Y42"/>
  <c r="AB42"/>
  <c r="G43"/>
  <c r="M43"/>
  <c r="H43"/>
  <c r="J43"/>
  <c r="L43"/>
  <c r="R43"/>
  <c r="S43"/>
  <c r="I43"/>
  <c r="K43"/>
  <c r="W43"/>
  <c r="X43"/>
  <c r="Y43"/>
  <c r="AB43"/>
  <c r="M44"/>
  <c r="H44"/>
  <c r="J44"/>
  <c r="L44"/>
  <c r="R44"/>
  <c r="S44"/>
  <c r="I44"/>
  <c r="K44"/>
  <c r="W44"/>
  <c r="X44"/>
  <c r="Y44"/>
  <c r="AB44"/>
  <c r="AB40"/>
  <c r="M40"/>
  <c r="AE42"/>
  <c r="AG42"/>
  <c r="AK43"/>
  <c r="AE43"/>
  <c r="AG43"/>
  <c r="AK44"/>
  <c r="AJ41"/>
  <c r="AA41"/>
  <c r="AF41"/>
  <c r="AJ42"/>
  <c r="AA42"/>
  <c r="AA43"/>
  <c r="AA44"/>
  <c r="AA40"/>
  <c r="AD42"/>
  <c r="AF42"/>
  <c r="AJ43"/>
  <c r="AD43"/>
  <c r="AF43"/>
  <c r="AJ44"/>
  <c r="AI44"/>
  <c r="AE44"/>
  <c r="AG44"/>
  <c r="AD44"/>
  <c r="AF44"/>
  <c r="U44"/>
  <c r="T44"/>
  <c r="N44"/>
  <c r="O44"/>
  <c r="P44"/>
  <c r="Q44"/>
  <c r="AP43"/>
  <c r="AO43"/>
  <c r="AM43"/>
  <c r="AI43"/>
  <c r="U43"/>
  <c r="T43"/>
  <c r="N43"/>
  <c r="O43"/>
  <c r="P43"/>
  <c r="Q43"/>
  <c r="AP42"/>
  <c r="AO42"/>
  <c r="AM42"/>
  <c r="AI42"/>
  <c r="U42"/>
  <c r="T42"/>
  <c r="N42"/>
  <c r="O42"/>
  <c r="P42"/>
  <c r="Q42"/>
  <c r="A41"/>
  <c r="AM41"/>
  <c r="AI41"/>
  <c r="U41"/>
  <c r="T41"/>
  <c r="N41"/>
  <c r="O41"/>
  <c r="P41"/>
  <c r="Q41"/>
  <c r="AK40"/>
  <c r="AJ40"/>
  <c r="AG40"/>
  <c r="AF40"/>
  <c r="AE40"/>
  <c r="AD40"/>
  <c r="B32"/>
  <c r="B33"/>
  <c r="B35"/>
  <c r="B34"/>
  <c r="C28"/>
  <c r="C29"/>
  <c r="AP44" i="7"/>
  <c r="F42"/>
  <c r="AN42"/>
  <c r="F43"/>
  <c r="AN43"/>
  <c r="F44"/>
  <c r="AN44"/>
  <c r="AN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4" i="6"/>
  <c r="F42"/>
  <c r="AN42"/>
  <c r="F43"/>
  <c r="AN43"/>
  <c r="F44"/>
  <c r="AN44"/>
  <c r="AN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4" i="5"/>
  <c r="F42"/>
  <c r="AN42"/>
  <c r="F43"/>
  <c r="AN43"/>
  <c r="F44"/>
  <c r="AN44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M40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C28"/>
  <c r="C29"/>
  <c r="AP44" i="4"/>
  <c r="F42"/>
  <c r="AN42"/>
  <c r="F43"/>
  <c r="AN43"/>
  <c r="F44"/>
  <c r="AN44"/>
  <c r="AN45" s="1"/>
  <c r="AO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3" i="3"/>
  <c r="AP44"/>
  <c r="AP42"/>
  <c r="F42"/>
  <c r="AN42"/>
  <c r="F43"/>
  <c r="AN43"/>
  <c r="F44"/>
  <c r="AN44"/>
  <c r="G44"/>
  <c r="AO44"/>
  <c r="A43"/>
  <c r="A44"/>
  <c r="AM44"/>
  <c r="D41"/>
  <c r="AK41"/>
  <c r="C41"/>
  <c r="F41"/>
  <c r="G41"/>
  <c r="M41"/>
  <c r="H41"/>
  <c r="J41"/>
  <c r="L41"/>
  <c r="R41"/>
  <c r="S41"/>
  <c r="I41"/>
  <c r="K41"/>
  <c r="W41"/>
  <c r="X41"/>
  <c r="Y41"/>
  <c r="AB41"/>
  <c r="AG41"/>
  <c r="AK42"/>
  <c r="G42"/>
  <c r="M42"/>
  <c r="H42"/>
  <c r="J42"/>
  <c r="L42"/>
  <c r="R42"/>
  <c r="S42"/>
  <c r="I42"/>
  <c r="K42"/>
  <c r="W42"/>
  <c r="X42"/>
  <c r="Y42"/>
  <c r="AB42"/>
  <c r="G43"/>
  <c r="M43"/>
  <c r="H43"/>
  <c r="J43"/>
  <c r="L43"/>
  <c r="R43"/>
  <c r="S43"/>
  <c r="I43"/>
  <c r="K43"/>
  <c r="W43"/>
  <c r="X43"/>
  <c r="Y43"/>
  <c r="AB43"/>
  <c r="M44"/>
  <c r="H44"/>
  <c r="J44"/>
  <c r="L44"/>
  <c r="R44"/>
  <c r="S44"/>
  <c r="I44"/>
  <c r="K44"/>
  <c r="W44"/>
  <c r="X44"/>
  <c r="Y44"/>
  <c r="AB44"/>
  <c r="AB40"/>
  <c r="M40"/>
  <c r="AE42"/>
  <c r="AG42"/>
  <c r="AK43"/>
  <c r="AE43"/>
  <c r="AG43"/>
  <c r="AK44"/>
  <c r="AJ41"/>
  <c r="AA41"/>
  <c r="AF41"/>
  <c r="AJ42"/>
  <c r="AA42"/>
  <c r="AA43"/>
  <c r="AA44"/>
  <c r="AA40"/>
  <c r="AD42"/>
  <c r="AF42"/>
  <c r="AJ43"/>
  <c r="AD43"/>
  <c r="AF43"/>
  <c r="AJ44"/>
  <c r="AI44"/>
  <c r="AE44"/>
  <c r="AG44"/>
  <c r="AD44"/>
  <c r="AF44"/>
  <c r="U44"/>
  <c r="T44"/>
  <c r="N44"/>
  <c r="O44"/>
  <c r="P44"/>
  <c r="Q44"/>
  <c r="AO43"/>
  <c r="AM43"/>
  <c r="AI43"/>
  <c r="U43"/>
  <c r="T43"/>
  <c r="N43"/>
  <c r="O43"/>
  <c r="P43"/>
  <c r="Q43"/>
  <c r="AO42"/>
  <c r="AM42"/>
  <c r="AI42"/>
  <c r="U42"/>
  <c r="T42"/>
  <c r="N42"/>
  <c r="O42"/>
  <c r="P42"/>
  <c r="Q42"/>
  <c r="A41"/>
  <c r="AM41"/>
  <c r="AI41"/>
  <c r="U41"/>
  <c r="T41"/>
  <c r="N41"/>
  <c r="O41"/>
  <c r="P41"/>
  <c r="Q41"/>
  <c r="AK40"/>
  <c r="AJ40"/>
  <c r="AG40"/>
  <c r="AF40"/>
  <c r="AE40"/>
  <c r="AD40"/>
  <c r="B32"/>
  <c r="B33"/>
  <c r="B35"/>
  <c r="B34"/>
  <c r="C28"/>
  <c r="C29"/>
  <c r="G44" i="2"/>
  <c r="F44"/>
  <c r="M44" s="1"/>
  <c r="H44"/>
  <c r="J44"/>
  <c r="L44"/>
  <c r="R44" s="1"/>
  <c r="K44"/>
  <c r="I44"/>
  <c r="G43"/>
  <c r="F43"/>
  <c r="M43" s="1"/>
  <c r="H43"/>
  <c r="J43"/>
  <c r="L43"/>
  <c r="R43" s="1"/>
  <c r="K43"/>
  <c r="I43"/>
  <c r="G42"/>
  <c r="F42"/>
  <c r="AN42" s="1"/>
  <c r="H42"/>
  <c r="J42"/>
  <c r="L42"/>
  <c r="R42" s="1"/>
  <c r="K42"/>
  <c r="I42"/>
  <c r="D41"/>
  <c r="G41"/>
  <c r="C41"/>
  <c r="F41"/>
  <c r="N41" s="1"/>
  <c r="O41" s="1"/>
  <c r="H41"/>
  <c r="J41"/>
  <c r="L41"/>
  <c r="U41" s="1"/>
  <c r="K41"/>
  <c r="I41"/>
  <c r="M41"/>
  <c r="AK41"/>
  <c r="AJ41"/>
  <c r="A43"/>
  <c r="A44"/>
  <c r="AI44"/>
  <c r="AM44"/>
  <c r="AM43"/>
  <c r="A41"/>
  <c r="AM42"/>
  <c r="AI42"/>
  <c r="AI43"/>
  <c r="AI41"/>
  <c r="AM41"/>
  <c r="T42" i="7" l="1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H45"/>
  <c r="H46"/>
  <c r="AN46"/>
  <c r="AO46" s="1"/>
  <c r="AO45"/>
  <c r="C28" s="1"/>
  <c r="C29" s="1"/>
  <c r="AM46"/>
  <c r="AI46"/>
  <c r="AM45"/>
  <c r="P45"/>
  <c r="Q45" s="1"/>
  <c r="I45"/>
  <c r="P46"/>
  <c r="Q46" s="1"/>
  <c r="I46"/>
  <c r="J45"/>
  <c r="K45" s="1"/>
  <c r="M45"/>
  <c r="AI45"/>
  <c r="J46"/>
  <c r="K46" s="1"/>
  <c r="M46"/>
  <c r="T42" i="6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H45"/>
  <c r="H46"/>
  <c r="H47"/>
  <c r="AN46"/>
  <c r="AO45"/>
  <c r="A47"/>
  <c r="AI46"/>
  <c r="AM45"/>
  <c r="P45"/>
  <c r="Q45" s="1"/>
  <c r="I45"/>
  <c r="P46"/>
  <c r="Q46" s="1"/>
  <c r="I46"/>
  <c r="P47"/>
  <c r="Q47" s="1"/>
  <c r="I47"/>
  <c r="J45"/>
  <c r="K45" s="1"/>
  <c r="M45"/>
  <c r="AI45"/>
  <c r="J46"/>
  <c r="K46" s="1"/>
  <c r="M46"/>
  <c r="J47"/>
  <c r="K47" s="1"/>
  <c r="M47"/>
  <c r="T42" i="5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T42" i="4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C28"/>
  <c r="C29" s="1"/>
  <c r="H45"/>
  <c r="P45"/>
  <c r="Q45" s="1"/>
  <c r="I45"/>
  <c r="J45"/>
  <c r="K45" s="1"/>
  <c r="M45"/>
  <c r="AI45"/>
  <c r="H45" i="2"/>
  <c r="H46"/>
  <c r="AM46"/>
  <c r="AI46"/>
  <c r="AM45"/>
  <c r="P45"/>
  <c r="Q45" s="1"/>
  <c r="I45"/>
  <c r="P46"/>
  <c r="Q46" s="1"/>
  <c r="I46"/>
  <c r="J45"/>
  <c r="K45" s="1"/>
  <c r="M45"/>
  <c r="AI45"/>
  <c r="J46"/>
  <c r="K46" s="1"/>
  <c r="M46"/>
  <c r="P41"/>
  <c r="Q41"/>
  <c r="AN43"/>
  <c r="AO42"/>
  <c r="R41"/>
  <c r="S41"/>
  <c r="T41"/>
  <c r="U44"/>
  <c r="N44"/>
  <c r="O44" s="1"/>
  <c r="U43"/>
  <c r="N43"/>
  <c r="O43" s="1"/>
  <c r="U42"/>
  <c r="N42"/>
  <c r="O42" s="1"/>
  <c r="M42"/>
  <c r="AB42" i="7" l="1"/>
  <c r="AA42"/>
  <c r="AB44"/>
  <c r="AA44"/>
  <c r="AB43"/>
  <c r="AA43"/>
  <c r="AB41"/>
  <c r="AG41" s="1"/>
  <c r="AK42" s="1"/>
  <c r="AA41"/>
  <c r="AF41" s="1"/>
  <c r="AJ42" s="1"/>
  <c r="M40"/>
  <c r="L46"/>
  <c r="L45"/>
  <c r="AB42" i="6"/>
  <c r="AA42"/>
  <c r="AB44"/>
  <c r="AA44"/>
  <c r="AB43"/>
  <c r="AA43"/>
  <c r="AB41"/>
  <c r="AG41" s="1"/>
  <c r="AK42" s="1"/>
  <c r="AA41"/>
  <c r="AF41" s="1"/>
  <c r="AJ42" s="1"/>
  <c r="M40"/>
  <c r="AM47"/>
  <c r="AI47"/>
  <c r="AM46"/>
  <c r="AN47"/>
  <c r="AO47" s="1"/>
  <c r="AO46"/>
  <c r="L47"/>
  <c r="L46"/>
  <c r="L45"/>
  <c r="C28"/>
  <c r="C29" s="1"/>
  <c r="AB42" i="5"/>
  <c r="AA42"/>
  <c r="AB44"/>
  <c r="AA44"/>
  <c r="AB43"/>
  <c r="AA43"/>
  <c r="AB41"/>
  <c r="AG41" s="1"/>
  <c r="AK42" s="1"/>
  <c r="AA41"/>
  <c r="AF41" s="1"/>
  <c r="AJ42" s="1"/>
  <c r="AB42" i="4"/>
  <c r="AA42"/>
  <c r="AB44"/>
  <c r="AA44"/>
  <c r="AB43"/>
  <c r="AA43"/>
  <c r="AB41"/>
  <c r="AG41" s="1"/>
  <c r="AK42" s="1"/>
  <c r="AA41"/>
  <c r="AF41" s="1"/>
  <c r="AJ42" s="1"/>
  <c r="M40"/>
  <c r="L45"/>
  <c r="W41" i="2"/>
  <c r="L46"/>
  <c r="L45"/>
  <c r="M40"/>
  <c r="P42"/>
  <c r="Q42"/>
  <c r="P43"/>
  <c r="Q43"/>
  <c r="P44"/>
  <c r="Q44"/>
  <c r="AN44"/>
  <c r="AO43"/>
  <c r="X41"/>
  <c r="Y41" s="1"/>
  <c r="U45" i="7" l="1"/>
  <c r="T45"/>
  <c r="S45"/>
  <c r="W45" s="1"/>
  <c r="R45"/>
  <c r="X45" s="1"/>
  <c r="Y45" s="1"/>
  <c r="U46"/>
  <c r="T46"/>
  <c r="S46"/>
  <c r="W46" s="1"/>
  <c r="R46"/>
  <c r="X46" s="1"/>
  <c r="Y46" s="1"/>
  <c r="U45" i="6"/>
  <c r="T45"/>
  <c r="S45"/>
  <c r="W45" s="1"/>
  <c r="R45"/>
  <c r="X45" s="1"/>
  <c r="Y45" s="1"/>
  <c r="U46"/>
  <c r="T46"/>
  <c r="S46"/>
  <c r="W46" s="1"/>
  <c r="R46"/>
  <c r="X46" s="1"/>
  <c r="Y46" s="1"/>
  <c r="U47"/>
  <c r="T47"/>
  <c r="S47"/>
  <c r="W47" s="1"/>
  <c r="R47"/>
  <c r="X47" s="1"/>
  <c r="Y47" s="1"/>
  <c r="AA40" i="5"/>
  <c r="AB40"/>
  <c r="U45" i="4"/>
  <c r="T45"/>
  <c r="S45"/>
  <c r="W45" s="1"/>
  <c r="R45"/>
  <c r="X45" s="1"/>
  <c r="Y45" s="1"/>
  <c r="T42" i="2"/>
  <c r="S42"/>
  <c r="W42" s="1"/>
  <c r="X42" s="1"/>
  <c r="Y42" s="1"/>
  <c r="T44"/>
  <c r="S44"/>
  <c r="W44" s="1"/>
  <c r="X44" s="1"/>
  <c r="Y44" s="1"/>
  <c r="T43"/>
  <c r="S43"/>
  <c r="W43" s="1"/>
  <c r="X43" s="1"/>
  <c r="Y43" s="1"/>
  <c r="AO44"/>
  <c r="AN45"/>
  <c r="U45"/>
  <c r="T45"/>
  <c r="S45"/>
  <c r="W45" s="1"/>
  <c r="R45"/>
  <c r="X45" s="1"/>
  <c r="Y45" s="1"/>
  <c r="U46"/>
  <c r="T46"/>
  <c r="S46"/>
  <c r="W46" s="1"/>
  <c r="R46"/>
  <c r="X46" s="1"/>
  <c r="Y46" s="1"/>
  <c r="AB41"/>
  <c r="AG41" s="1"/>
  <c r="AK42" s="1"/>
  <c r="AA41"/>
  <c r="AF41" s="1"/>
  <c r="AJ42" s="1"/>
  <c r="AB46" i="7" l="1"/>
  <c r="AA46"/>
  <c r="AB45"/>
  <c r="AA45"/>
  <c r="AB47" i="6"/>
  <c r="AA47"/>
  <c r="AB46"/>
  <c r="AA46"/>
  <c r="AB45"/>
  <c r="AA45"/>
  <c r="AE42" i="5"/>
  <c r="AE43"/>
  <c r="AG43" s="1"/>
  <c r="AE44"/>
  <c r="AG44" s="1"/>
  <c r="AD42"/>
  <c r="AD43"/>
  <c r="AF43" s="1"/>
  <c r="AD44"/>
  <c r="AF44" s="1"/>
  <c r="B32"/>
  <c r="B33" s="1"/>
  <c r="B35" s="1"/>
  <c r="B34" s="1"/>
  <c r="AB45" i="4"/>
  <c r="AA45"/>
  <c r="AB42" i="2"/>
  <c r="AA42"/>
  <c r="AB43"/>
  <c r="AA43"/>
  <c r="AB44"/>
  <c r="AA44"/>
  <c r="AB46"/>
  <c r="AA46"/>
  <c r="AB45"/>
  <c r="AA45"/>
  <c r="AN46"/>
  <c r="AO46" s="1"/>
  <c r="AO45"/>
  <c r="C28"/>
  <c r="C29" s="1"/>
  <c r="AA40" i="7" l="1"/>
  <c r="AB40"/>
  <c r="AA40" i="6"/>
  <c r="AB40"/>
  <c r="AF42" i="5"/>
  <c r="AD40"/>
  <c r="AG42"/>
  <c r="AE40"/>
  <c r="AA40" i="4"/>
  <c r="AB40"/>
  <c r="AA40" i="2"/>
  <c r="AB40"/>
  <c r="AE46" i="7" l="1"/>
  <c r="AG46" s="1"/>
  <c r="AE45"/>
  <c r="AG45" s="1"/>
  <c r="AE42"/>
  <c r="AE43"/>
  <c r="AG43" s="1"/>
  <c r="AE44"/>
  <c r="AG44" s="1"/>
  <c r="AD46"/>
  <c r="AF46" s="1"/>
  <c r="AD45"/>
  <c r="AF45" s="1"/>
  <c r="AD42"/>
  <c r="AD43"/>
  <c r="AF43" s="1"/>
  <c r="AD44"/>
  <c r="AF44" s="1"/>
  <c r="B32"/>
  <c r="B33" s="1"/>
  <c r="B35" s="1"/>
  <c r="B34" s="1"/>
  <c r="AE47" i="6"/>
  <c r="AG47" s="1"/>
  <c r="AE46"/>
  <c r="AG46" s="1"/>
  <c r="AE45"/>
  <c r="AG45" s="1"/>
  <c r="AE42"/>
  <c r="AE43"/>
  <c r="AG43" s="1"/>
  <c r="AE44"/>
  <c r="AG44" s="1"/>
  <c r="AD47"/>
  <c r="AF47" s="1"/>
  <c r="AD46"/>
  <c r="AF46" s="1"/>
  <c r="AD45"/>
  <c r="AF45" s="1"/>
  <c r="AD42"/>
  <c r="AD43"/>
  <c r="AF43" s="1"/>
  <c r="AD44"/>
  <c r="AF44" s="1"/>
  <c r="B32"/>
  <c r="B33" s="1"/>
  <c r="B35" s="1"/>
  <c r="B34" s="1"/>
  <c r="AG40" i="5"/>
  <c r="AK43"/>
  <c r="AK44" s="1"/>
  <c r="AK40" s="1"/>
  <c r="AF40"/>
  <c r="AJ43"/>
  <c r="AJ44" s="1"/>
  <c r="AJ40" s="1"/>
  <c r="AE45" i="4"/>
  <c r="AG45" s="1"/>
  <c r="AE42"/>
  <c r="AE43"/>
  <c r="AG43" s="1"/>
  <c r="AE44"/>
  <c r="AG44" s="1"/>
  <c r="AD45"/>
  <c r="AF45" s="1"/>
  <c r="AD42"/>
  <c r="AD43"/>
  <c r="AF43" s="1"/>
  <c r="AD44"/>
  <c r="AF44" s="1"/>
  <c r="B32"/>
  <c r="B33" s="1"/>
  <c r="B35" s="1"/>
  <c r="B34" s="1"/>
  <c r="AE46" i="2"/>
  <c r="AG46" s="1"/>
  <c r="AE45"/>
  <c r="AG45" s="1"/>
  <c r="AE42"/>
  <c r="AE43"/>
  <c r="AG43" s="1"/>
  <c r="AE44"/>
  <c r="AG44" s="1"/>
  <c r="AD46"/>
  <c r="AF46" s="1"/>
  <c r="AD45"/>
  <c r="AF45" s="1"/>
  <c r="AD42"/>
  <c r="AD43"/>
  <c r="AF43" s="1"/>
  <c r="AD44"/>
  <c r="AF44" s="1"/>
  <c r="B32"/>
  <c r="B33" s="1"/>
  <c r="B35" s="1"/>
  <c r="B34" s="1"/>
  <c r="AF42" i="7" l="1"/>
  <c r="AD40"/>
  <c r="AG42"/>
  <c r="AE40"/>
  <c r="AF42" i="6"/>
  <c r="AD40"/>
  <c r="AG42"/>
  <c r="AE40"/>
  <c r="AF42" i="4"/>
  <c r="AD40"/>
  <c r="AG42"/>
  <c r="AE40"/>
  <c r="AD40" i="2"/>
  <c r="AF42"/>
  <c r="AE40"/>
  <c r="AG42"/>
  <c r="AK43" i="7" l="1"/>
  <c r="AK44" s="1"/>
  <c r="AG40"/>
  <c r="AJ43"/>
  <c r="AJ44" s="1"/>
  <c r="AF40"/>
  <c r="AK43" i="6"/>
  <c r="AK44" s="1"/>
  <c r="AG40"/>
  <c r="AJ43"/>
  <c r="AJ44" s="1"/>
  <c r="AF40"/>
  <c r="AK43" i="4"/>
  <c r="AK44" s="1"/>
  <c r="AG40"/>
  <c r="AJ43"/>
  <c r="AJ44" s="1"/>
  <c r="AF40"/>
  <c r="AG40" i="2"/>
  <c r="AK43"/>
  <c r="AK44" s="1"/>
  <c r="AF40"/>
  <c r="AJ43"/>
  <c r="AJ44" s="1"/>
  <c r="AJ45" i="7" l="1"/>
  <c r="AJ46" s="1"/>
  <c r="AJ40"/>
  <c r="AK45"/>
  <c r="AK46" s="1"/>
  <c r="AK40"/>
  <c r="AJ45" i="6"/>
  <c r="AJ46" s="1"/>
  <c r="AJ47" s="1"/>
  <c r="AJ40"/>
  <c r="AK45"/>
  <c r="AK46" s="1"/>
  <c r="AK47" s="1"/>
  <c r="AK40"/>
  <c r="AJ45" i="4"/>
  <c r="AJ40"/>
  <c r="AK45"/>
  <c r="AK40"/>
  <c r="AJ40" i="2"/>
  <c r="AJ45"/>
  <c r="AJ46" s="1"/>
  <c r="AK40"/>
  <c r="AK45"/>
  <c r="AK46" s="1"/>
</calcChain>
</file>

<file path=xl/sharedStrings.xml><?xml version="1.0" encoding="utf-8"?>
<sst xmlns="http://schemas.openxmlformats.org/spreadsheetml/2006/main" count="870" uniqueCount="88">
  <si>
    <t>Lot No.</t>
  </si>
  <si>
    <t>=</t>
  </si>
  <si>
    <t>Owner</t>
  </si>
  <si>
    <t>Barrio</t>
  </si>
  <si>
    <t>Mun / City</t>
  </si>
  <si>
    <t>Province</t>
  </si>
  <si>
    <t>Island</t>
  </si>
  <si>
    <t>COORDINATES</t>
  </si>
  <si>
    <t>TECHNICAL DESCRIPTION</t>
  </si>
  <si>
    <t>STATIONS</t>
  </si>
  <si>
    <t>NORTHINGS</t>
  </si>
  <si>
    <t>EASTINGS</t>
  </si>
  <si>
    <t>DISTANCES</t>
  </si>
  <si>
    <t>LINE</t>
  </si>
  <si>
    <t>DMD</t>
  </si>
  <si>
    <t>DPA</t>
  </si>
  <si>
    <t>DOUBLE AREA</t>
  </si>
  <si>
    <t>AREA</t>
  </si>
  <si>
    <t>AREA COMPUTATION</t>
  </si>
  <si>
    <t>INSTRUCTIONS:</t>
  </si>
  <si>
    <t>1.  Enter required data in the yellow colored cells.</t>
  </si>
  <si>
    <t>COMPUTATIONS</t>
  </si>
  <si>
    <t>ERROR CHECKING:</t>
  </si>
  <si>
    <t>2.  Compare declared area with computed area for error checking.</t>
  </si>
  <si>
    <t>BEARINGS</t>
  </si>
  <si>
    <t>ERROR CHECK</t>
  </si>
  <si>
    <t>N/S</t>
  </si>
  <si>
    <t>DEG</t>
  </si>
  <si>
    <t>MIN</t>
  </si>
  <si>
    <t>E/W</t>
  </si>
  <si>
    <t>LAT</t>
  </si>
  <si>
    <t>DEP</t>
  </si>
  <si>
    <t>CORR</t>
  </si>
  <si>
    <t>AZIMUTH</t>
  </si>
  <si>
    <t>RAD</t>
  </si>
  <si>
    <t>STA</t>
  </si>
  <si>
    <t>NO</t>
  </si>
  <si>
    <t>ADJ</t>
  </si>
  <si>
    <t>TIE POINT DATA:</t>
  </si>
  <si>
    <t>N</t>
  </si>
  <si>
    <t>E</t>
  </si>
  <si>
    <t>ACCURACY STANDARDS:</t>
  </si>
  <si>
    <t>L.E.C.</t>
  </si>
  <si>
    <t>R.E.C.</t>
  </si>
  <si>
    <t>ACC</t>
  </si>
  <si>
    <t>NO.OF CORNERS:</t>
  </si>
  <si>
    <t>CHANGE IN</t>
  </si>
  <si>
    <t>Cad Survey No.</t>
  </si>
  <si>
    <t>LOT DATA COMPUTATION</t>
  </si>
  <si>
    <t>Geodetic Engr.</t>
  </si>
  <si>
    <t>Date Surveyed</t>
  </si>
  <si>
    <t>CM Quadrangle</t>
  </si>
  <si>
    <t>Declared Area</t>
  </si>
  <si>
    <t>Surv. Sym. &amp; No.</t>
  </si>
  <si>
    <t>L.R.C. No.</t>
  </si>
  <si>
    <t>COORDINATES FROM TD</t>
  </si>
  <si>
    <t>For Plotting</t>
  </si>
  <si>
    <t>1958</t>
  </si>
  <si>
    <t>Tabacug, Andresito</t>
  </si>
  <si>
    <t>409 C-2</t>
  </si>
  <si>
    <t>6 29 N. 124 37 E.</t>
  </si>
  <si>
    <t>Panay (Bo.9)</t>
  </si>
  <si>
    <t>Norala</t>
  </si>
  <si>
    <t>South Cotabato</t>
  </si>
  <si>
    <t>Mindanao</t>
  </si>
  <si>
    <t>M.R. Malate</t>
  </si>
  <si>
    <t>5-15-70</t>
  </si>
  <si>
    <t>955</t>
  </si>
  <si>
    <t>BLLM 1</t>
  </si>
  <si>
    <t>1959</t>
  </si>
  <si>
    <t>Frias, Regalado</t>
  </si>
  <si>
    <t>5 - 15-70</t>
  </si>
  <si>
    <t>815</t>
  </si>
  <si>
    <t>BLLM</t>
  </si>
  <si>
    <t>1960</t>
  </si>
  <si>
    <t>Samson, Lolita</t>
  </si>
  <si>
    <t>Panay (Bo.9 )</t>
  </si>
  <si>
    <t>485</t>
  </si>
  <si>
    <t>1961</t>
  </si>
  <si>
    <t>Panadero, Rosario</t>
  </si>
  <si>
    <t xml:space="preserve">6 29 N. 124 37 E. </t>
  </si>
  <si>
    <t>Panay (Bo. 9)</t>
  </si>
  <si>
    <t>May 15, 1970</t>
  </si>
  <si>
    <t>992.83</t>
  </si>
  <si>
    <t>1962</t>
  </si>
  <si>
    <t>Sajo, Flor</t>
  </si>
  <si>
    <t>6 29 N. 124 29 E.</t>
  </si>
  <si>
    <t>798.97</t>
  </si>
</sst>
</file>

<file path=xl/styles.xml><?xml version="1.0" encoding="utf-8"?>
<styleSheet xmlns="http://schemas.openxmlformats.org/spreadsheetml/2006/main">
  <numFmts count="2">
    <numFmt numFmtId="164" formatCode="#,##0.000"/>
    <numFmt numFmtId="165" formatCode="00"/>
  </numFmts>
  <fonts count="8">
    <font>
      <sz val="10"/>
      <name val="Arial"/>
    </font>
    <font>
      <b/>
      <sz val="12"/>
      <color indexed="9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8"/>
      <name val="Arial"/>
    </font>
    <font>
      <b/>
      <i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9">
    <xf numFmtId="0" fontId="0" fillId="0" borderId="0" xfId="0"/>
    <xf numFmtId="0" fontId="1" fillId="0" borderId="0" xfId="0" applyFont="1" applyFill="1" applyAlignment="1"/>
    <xf numFmtId="0" fontId="1" fillId="0" borderId="0" xfId="0" applyFont="1" applyFill="1" applyAlignment="1">
      <alignment horizontal="center"/>
    </xf>
    <xf numFmtId="0" fontId="2" fillId="0" borderId="0" xfId="0" applyFont="1"/>
    <xf numFmtId="2" fontId="2" fillId="0" borderId="0" xfId="0" applyNumberFormat="1" applyFont="1"/>
    <xf numFmtId="4" fontId="0" fillId="0" borderId="0" xfId="0" applyNumberFormat="1"/>
    <xf numFmtId="2" fontId="0" fillId="0" borderId="0" xfId="0" applyNumberFormat="1"/>
    <xf numFmtId="2" fontId="0" fillId="0" borderId="0" xfId="0" applyNumberFormat="1" applyAlignment="1">
      <alignment horizontal="center"/>
    </xf>
    <xf numFmtId="4" fontId="0" fillId="0" borderId="0" xfId="0" applyNumberFormat="1" applyFill="1"/>
    <xf numFmtId="0" fontId="0" fillId="2" borderId="1" xfId="0" applyFill="1" applyBorder="1"/>
    <xf numFmtId="49" fontId="0" fillId="0" borderId="0" xfId="0" applyNumberFormat="1" applyFill="1" applyBorder="1" applyAlignment="1"/>
    <xf numFmtId="0" fontId="3" fillId="0" borderId="0" xfId="0" applyFont="1"/>
    <xf numFmtId="2" fontId="3" fillId="0" borderId="0" xfId="0" applyNumberFormat="1" applyFont="1"/>
    <xf numFmtId="2" fontId="3" fillId="0" borderId="0" xfId="0" applyNumberFormat="1" applyFont="1" applyAlignment="1">
      <alignment horizontal="center"/>
    </xf>
    <xf numFmtId="4" fontId="3" fillId="0" borderId="0" xfId="0" applyNumberFormat="1" applyFont="1"/>
    <xf numFmtId="4" fontId="3" fillId="0" borderId="0" xfId="0" applyNumberFormat="1" applyFont="1" applyFill="1"/>
    <xf numFmtId="4" fontId="3" fillId="2" borderId="1" xfId="0" applyNumberFormat="1" applyFont="1" applyFill="1" applyBorder="1" applyAlignment="1">
      <alignment horizontal="center"/>
    </xf>
    <xf numFmtId="2" fontId="3" fillId="2" borderId="1" xfId="0" applyNumberFormat="1" applyFont="1" applyFill="1" applyBorder="1" applyAlignment="1">
      <alignment horizontal="center"/>
    </xf>
    <xf numFmtId="4" fontId="0" fillId="2" borderId="1" xfId="0" applyNumberFormat="1" applyFill="1" applyBorder="1"/>
    <xf numFmtId="0" fontId="3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Fill="1" applyBorder="1"/>
    <xf numFmtId="2" fontId="0" fillId="4" borderId="1" xfId="0" applyNumberFormat="1" applyFill="1" applyBorder="1"/>
    <xf numFmtId="2" fontId="0" fillId="4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5" fontId="0" fillId="0" borderId="0" xfId="0" applyNumberFormat="1"/>
    <xf numFmtId="0" fontId="0" fillId="0" borderId="0" xfId="0" applyNumberFormat="1" applyAlignment="1">
      <alignment horizontal="center"/>
    </xf>
    <xf numFmtId="0" fontId="4" fillId="0" borderId="0" xfId="0" applyFont="1"/>
    <xf numFmtId="0" fontId="3" fillId="5" borderId="1" xfId="0" applyFont="1" applyFill="1" applyBorder="1" applyAlignment="1">
      <alignment horizontal="center"/>
    </xf>
    <xf numFmtId="4" fontId="3" fillId="5" borderId="1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4" fontId="0" fillId="3" borderId="2" xfId="0" applyNumberFormat="1" applyFill="1" applyBorder="1"/>
    <xf numFmtId="2" fontId="0" fillId="4" borderId="2" xfId="0" applyNumberFormat="1" applyFill="1" applyBorder="1"/>
    <xf numFmtId="0" fontId="0" fillId="4" borderId="2" xfId="0" applyFill="1" applyBorder="1" applyAlignment="1">
      <alignment horizontal="center"/>
    </xf>
    <xf numFmtId="1" fontId="0" fillId="4" borderId="2" xfId="0" applyNumberFormat="1" applyFill="1" applyBorder="1" applyAlignment="1">
      <alignment horizontal="center"/>
    </xf>
    <xf numFmtId="2" fontId="0" fillId="4" borderId="2" xfId="0" applyNumberFormat="1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2" borderId="2" xfId="0" applyFill="1" applyBorder="1"/>
    <xf numFmtId="4" fontId="0" fillId="2" borderId="2" xfId="0" applyNumberFormat="1" applyFill="1" applyBorder="1"/>
    <xf numFmtId="0" fontId="0" fillId="6" borderId="1" xfId="0" applyFill="1" applyBorder="1" applyAlignment="1">
      <alignment horizontal="center"/>
    </xf>
    <xf numFmtId="2" fontId="3" fillId="2" borderId="4" xfId="0" applyNumberFormat="1" applyFont="1" applyFill="1" applyBorder="1" applyAlignment="1">
      <alignment horizontal="center"/>
    </xf>
    <xf numFmtId="0" fontId="0" fillId="0" borderId="0" xfId="0" applyFill="1" applyBorder="1"/>
    <xf numFmtId="4" fontId="0" fillId="0" borderId="0" xfId="0" applyNumberFormat="1" applyFill="1" applyBorder="1"/>
    <xf numFmtId="2" fontId="0" fillId="0" borderId="0" xfId="0" applyNumberFormat="1" applyFill="1" applyBorder="1"/>
    <xf numFmtId="1" fontId="0" fillId="0" borderId="0" xfId="0" applyNumberFormat="1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2" fontId="3" fillId="5" borderId="2" xfId="0" applyNumberFormat="1" applyFont="1" applyFill="1" applyBorder="1" applyAlignment="1">
      <alignment horizontal="center"/>
    </xf>
    <xf numFmtId="4" fontId="3" fillId="5" borderId="2" xfId="0" applyNumberFormat="1" applyFont="1" applyFill="1" applyBorder="1" applyAlignment="1">
      <alignment horizontal="center"/>
    </xf>
    <xf numFmtId="2" fontId="3" fillId="5" borderId="1" xfId="0" applyNumberFormat="1" applyFont="1" applyFill="1" applyBorder="1" applyAlignment="1">
      <alignment horizontal="center"/>
    </xf>
    <xf numFmtId="2" fontId="3" fillId="5" borderId="3" xfId="0" applyNumberFormat="1" applyFont="1" applyFill="1" applyBorder="1" applyAlignment="1">
      <alignment horizontal="center"/>
    </xf>
    <xf numFmtId="2" fontId="3" fillId="5" borderId="5" xfId="0" applyNumberFormat="1" applyFont="1" applyFill="1" applyBorder="1" applyAlignment="1">
      <alignment horizontal="center"/>
    </xf>
    <xf numFmtId="2" fontId="3" fillId="5" borderId="6" xfId="0" applyNumberFormat="1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2" fontId="0" fillId="2" borderId="1" xfId="0" applyNumberFormat="1" applyFill="1" applyBorder="1"/>
    <xf numFmtId="2" fontId="3" fillId="2" borderId="1" xfId="0" applyNumberFormat="1" applyFont="1" applyFill="1" applyBorder="1" applyAlignment="1">
      <alignment horizontal="center" vertical="center"/>
    </xf>
    <xf numFmtId="164" fontId="0" fillId="3" borderId="1" xfId="0" applyNumberFormat="1" applyFill="1" applyBorder="1"/>
    <xf numFmtId="2" fontId="3" fillId="6" borderId="4" xfId="0" applyNumberFormat="1" applyFont="1" applyFill="1" applyBorder="1" applyAlignment="1">
      <alignment horizontal="center"/>
    </xf>
    <xf numFmtId="2" fontId="3" fillId="6" borderId="1" xfId="0" applyNumberFormat="1" applyFont="1" applyFill="1" applyBorder="1" applyAlignment="1">
      <alignment horizontal="center"/>
    </xf>
    <xf numFmtId="2" fontId="0" fillId="6" borderId="2" xfId="0" applyNumberFormat="1" applyFill="1" applyBorder="1"/>
    <xf numFmtId="2" fontId="0" fillId="6" borderId="1" xfId="0" applyNumberFormat="1" applyFill="1" applyBorder="1"/>
    <xf numFmtId="2" fontId="3" fillId="6" borderId="7" xfId="0" applyNumberFormat="1" applyFont="1" applyFill="1" applyBorder="1" applyAlignment="1">
      <alignment horizontal="center"/>
    </xf>
    <xf numFmtId="2" fontId="4" fillId="6" borderId="1" xfId="0" applyNumberFormat="1" applyFont="1" applyFill="1" applyBorder="1"/>
    <xf numFmtId="0" fontId="3" fillId="3" borderId="1" xfId="0" applyFont="1" applyFill="1" applyBorder="1" applyAlignment="1">
      <alignment horizontal="center"/>
    </xf>
    <xf numFmtId="164" fontId="3" fillId="3" borderId="1" xfId="0" applyNumberFormat="1" applyFont="1" applyFill="1" applyBorder="1" applyAlignment="1"/>
    <xf numFmtId="0" fontId="3" fillId="0" borderId="1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4" fontId="3" fillId="5" borderId="1" xfId="0" applyNumberFormat="1" applyFont="1" applyFill="1" applyBorder="1"/>
    <xf numFmtId="4" fontId="0" fillId="4" borderId="1" xfId="0" applyNumberFormat="1" applyFill="1" applyBorder="1"/>
    <xf numFmtId="0" fontId="3" fillId="3" borderId="1" xfId="0" applyFont="1" applyFill="1" applyBorder="1"/>
    <xf numFmtId="0" fontId="3" fillId="6" borderId="1" xfId="0" applyFont="1" applyFill="1" applyBorder="1" applyAlignment="1">
      <alignment horizontal="center"/>
    </xf>
    <xf numFmtId="4" fontId="0" fillId="6" borderId="2" xfId="0" applyNumberFormat="1" applyFill="1" applyBorder="1"/>
    <xf numFmtId="4" fontId="0" fillId="6" borderId="1" xfId="0" applyNumberFormat="1" applyFill="1" applyBorder="1"/>
    <xf numFmtId="4" fontId="3" fillId="6" borderId="1" xfId="0" applyNumberFormat="1" applyFont="1" applyFill="1" applyBorder="1" applyAlignment="1">
      <alignment horizontal="center"/>
    </xf>
    <xf numFmtId="164" fontId="0" fillId="6" borderId="2" xfId="0" applyNumberFormat="1" applyFill="1" applyBorder="1"/>
    <xf numFmtId="164" fontId="0" fillId="6" borderId="1" xfId="0" applyNumberFormat="1" applyFill="1" applyBorder="1"/>
    <xf numFmtId="2" fontId="3" fillId="6" borderId="2" xfId="0" applyNumberFormat="1" applyFont="1" applyFill="1" applyBorder="1" applyAlignment="1">
      <alignment horizontal="center" vertical="center"/>
    </xf>
    <xf numFmtId="2" fontId="3" fillId="6" borderId="8" xfId="0" applyNumberFormat="1" applyFont="1" applyFill="1" applyBorder="1" applyAlignment="1">
      <alignment horizontal="center" vertical="center"/>
    </xf>
    <xf numFmtId="2" fontId="4" fillId="4" borderId="1" xfId="0" applyNumberFormat="1" applyFont="1" applyFill="1" applyBorder="1"/>
    <xf numFmtId="0" fontId="0" fillId="0" borderId="1" xfId="0" applyFill="1" applyBorder="1" applyAlignment="1">
      <alignment horizontal="center"/>
    </xf>
    <xf numFmtId="0" fontId="0" fillId="0" borderId="1" xfId="0" quotePrefix="1" applyFill="1" applyBorder="1" applyAlignment="1">
      <alignment horizontal="center"/>
    </xf>
    <xf numFmtId="49" fontId="3" fillId="3" borderId="4" xfId="0" applyNumberFormat="1" applyFont="1" applyFill="1" applyBorder="1" applyAlignment="1">
      <alignment horizontal="center"/>
    </xf>
    <xf numFmtId="49" fontId="3" fillId="3" borderId="7" xfId="0" applyNumberFormat="1" applyFont="1" applyFill="1" applyBorder="1" applyAlignment="1">
      <alignment horizontal="center"/>
    </xf>
    <xf numFmtId="2" fontId="3" fillId="5" borderId="1" xfId="0" applyNumberFormat="1" applyFont="1" applyFill="1" applyBorder="1"/>
    <xf numFmtId="0" fontId="0" fillId="6" borderId="1" xfId="0" applyFill="1" applyBorder="1"/>
    <xf numFmtId="0" fontId="0" fillId="6" borderId="2" xfId="0" applyFill="1" applyBorder="1" applyAlignment="1">
      <alignment horizontal="center"/>
    </xf>
    <xf numFmtId="2" fontId="3" fillId="5" borderId="9" xfId="0" applyNumberFormat="1" applyFont="1" applyFill="1" applyBorder="1" applyAlignment="1">
      <alignment horizontal="center"/>
    </xf>
    <xf numFmtId="2" fontId="7" fillId="5" borderId="1" xfId="0" applyNumberFormat="1" applyFont="1" applyFill="1" applyBorder="1"/>
    <xf numFmtId="2" fontId="7" fillId="5" borderId="2" xfId="0" applyNumberFormat="1" applyFont="1" applyFill="1" applyBorder="1"/>
    <xf numFmtId="1" fontId="7" fillId="5" borderId="2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left"/>
    </xf>
    <xf numFmtId="0" fontId="0" fillId="5" borderId="1" xfId="0" applyFill="1" applyBorder="1" applyAlignment="1">
      <alignment horizontal="center"/>
    </xf>
    <xf numFmtId="2" fontId="3" fillId="2" borderId="10" xfId="0" applyNumberFormat="1" applyFont="1" applyFill="1" applyBorder="1" applyAlignment="1">
      <alignment horizontal="center"/>
    </xf>
    <xf numFmtId="2" fontId="3" fillId="2" borderId="7" xfId="0" applyNumberFormat="1" applyFont="1" applyFill="1" applyBorder="1" applyAlignment="1">
      <alignment horizontal="center"/>
    </xf>
    <xf numFmtId="2" fontId="3" fillId="6" borderId="2" xfId="0" applyNumberFormat="1" applyFont="1" applyFill="1" applyBorder="1" applyAlignment="1">
      <alignment horizontal="center"/>
    </xf>
    <xf numFmtId="2" fontId="3" fillId="6" borderId="8" xfId="0" applyNumberFormat="1" applyFont="1" applyFill="1" applyBorder="1" applyAlignment="1">
      <alignment horizontal="center"/>
    </xf>
    <xf numFmtId="2" fontId="3" fillId="2" borderId="2" xfId="0" applyNumberFormat="1" applyFont="1" applyFill="1" applyBorder="1" applyAlignment="1">
      <alignment horizontal="center" vertical="center"/>
    </xf>
    <xf numFmtId="2" fontId="3" fillId="2" borderId="8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3" fillId="5" borderId="1" xfId="0" applyFont="1" applyFill="1" applyBorder="1"/>
    <xf numFmtId="3" fontId="3" fillId="0" borderId="5" xfId="0" applyNumberFormat="1" applyFont="1" applyBorder="1" applyAlignment="1">
      <alignment horizontal="center"/>
    </xf>
    <xf numFmtId="2" fontId="3" fillId="5" borderId="4" xfId="0" applyNumberFormat="1" applyFont="1" applyFill="1" applyBorder="1" applyAlignment="1">
      <alignment horizontal="center"/>
    </xf>
    <xf numFmtId="2" fontId="3" fillId="5" borderId="10" xfId="0" applyNumberFormat="1" applyFont="1" applyFill="1" applyBorder="1" applyAlignment="1">
      <alignment horizontal="center"/>
    </xf>
    <xf numFmtId="2" fontId="3" fillId="5" borderId="7" xfId="0" applyNumberFormat="1" applyFont="1" applyFill="1" applyBorder="1" applyAlignment="1">
      <alignment horizontal="center"/>
    </xf>
    <xf numFmtId="3" fontId="3" fillId="5" borderId="1" xfId="0" applyNumberFormat="1" applyFont="1" applyFill="1" applyBorder="1" applyAlignment="1">
      <alignment horizontal="center"/>
    </xf>
    <xf numFmtId="49" fontId="3" fillId="3" borderId="4" xfId="0" applyNumberFormat="1" applyFont="1" applyFill="1" applyBorder="1" applyAlignment="1">
      <alignment horizontal="center"/>
    </xf>
    <xf numFmtId="49" fontId="3" fillId="3" borderId="7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left"/>
    </xf>
    <xf numFmtId="0" fontId="0" fillId="5" borderId="1" xfId="0" applyFill="1" applyBorder="1" applyAlignment="1">
      <alignment horizontal="center"/>
    </xf>
    <xf numFmtId="2" fontId="3" fillId="2" borderId="4" xfId="0" applyNumberFormat="1" applyFont="1" applyFill="1" applyBorder="1" applyAlignment="1">
      <alignment horizontal="center"/>
    </xf>
    <xf numFmtId="2" fontId="3" fillId="2" borderId="10" xfId="0" applyNumberFormat="1" applyFont="1" applyFill="1" applyBorder="1" applyAlignment="1">
      <alignment horizontal="center"/>
    </xf>
    <xf numFmtId="2" fontId="3" fillId="2" borderId="7" xfId="0" applyNumberFormat="1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2" fontId="3" fillId="2" borderId="2" xfId="0" applyNumberFormat="1" applyFont="1" applyFill="1" applyBorder="1" applyAlignment="1">
      <alignment horizontal="center" vertical="center"/>
    </xf>
    <xf numFmtId="2" fontId="3" fillId="2" borderId="8" xfId="0" applyNumberFormat="1" applyFont="1" applyFill="1" applyBorder="1" applyAlignment="1">
      <alignment horizontal="center" vertical="center"/>
    </xf>
    <xf numFmtId="3" fontId="3" fillId="0" borderId="5" xfId="0" applyNumberFormat="1" applyFont="1" applyBorder="1" applyAlignment="1">
      <alignment horizontal="center"/>
    </xf>
    <xf numFmtId="3" fontId="3" fillId="5" borderId="1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 vertical="center"/>
    </xf>
    <xf numFmtId="2" fontId="3" fillId="5" borderId="4" xfId="0" applyNumberFormat="1" applyFont="1" applyFill="1" applyBorder="1" applyAlignment="1">
      <alignment horizontal="center"/>
    </xf>
    <xf numFmtId="2" fontId="3" fillId="5" borderId="10" xfId="0" applyNumberFormat="1" applyFont="1" applyFill="1" applyBorder="1" applyAlignment="1">
      <alignment horizontal="center"/>
    </xf>
    <xf numFmtId="2" fontId="3" fillId="5" borderId="7" xfId="0" applyNumberFormat="1" applyFont="1" applyFill="1" applyBorder="1" applyAlignment="1">
      <alignment horizontal="center"/>
    </xf>
    <xf numFmtId="4" fontId="3" fillId="2" borderId="1" xfId="0" applyNumberFormat="1" applyFont="1" applyFill="1" applyBorder="1" applyAlignment="1">
      <alignment horizontal="center"/>
    </xf>
    <xf numFmtId="2" fontId="3" fillId="2" borderId="1" xfId="0" applyNumberFormat="1" applyFont="1" applyFill="1" applyBorder="1" applyAlignment="1">
      <alignment horizontal="center"/>
    </xf>
    <xf numFmtId="2" fontId="3" fillId="6" borderId="2" xfId="0" applyNumberFormat="1" applyFont="1" applyFill="1" applyBorder="1" applyAlignment="1">
      <alignment horizontal="center"/>
    </xf>
    <xf numFmtId="2" fontId="3" fillId="6" borderId="8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AS47"/>
  <sheetViews>
    <sheetView topLeftCell="A19" workbookViewId="0">
      <selection activeCell="D47" sqref="D47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11" t="s">
        <v>48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  <c r="Q1" s="111"/>
      <c r="R1" s="111"/>
      <c r="S1" s="111"/>
      <c r="T1" s="111"/>
      <c r="U1" s="111"/>
      <c r="V1" s="111"/>
      <c r="W1" s="111"/>
      <c r="X1" s="111"/>
      <c r="Y1" s="111"/>
      <c r="Z1" s="111"/>
      <c r="AA1" s="111"/>
      <c r="AB1" s="111"/>
      <c r="AC1" s="111"/>
      <c r="AD1" s="111"/>
      <c r="AE1" s="111"/>
      <c r="AF1" s="111"/>
      <c r="AG1" s="111"/>
      <c r="AH1" s="111"/>
      <c r="AI1" s="111"/>
      <c r="AJ1" s="111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09" t="s">
        <v>57</v>
      </c>
      <c r="D7" s="110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09" t="s">
        <v>58</v>
      </c>
      <c r="D8" s="110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09" t="s">
        <v>59</v>
      </c>
      <c r="D9" s="110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09" t="s">
        <v>60</v>
      </c>
      <c r="D10" s="110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09" t="s">
        <v>61</v>
      </c>
      <c r="D11" s="110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09" t="s">
        <v>62</v>
      </c>
      <c r="D12" s="110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09" t="s">
        <v>63</v>
      </c>
      <c r="D13" s="110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09" t="s">
        <v>64</v>
      </c>
      <c r="D14" s="110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09" t="s">
        <v>65</v>
      </c>
      <c r="D15" s="110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09" t="s">
        <v>66</v>
      </c>
      <c r="D16" s="110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09" t="s">
        <v>67</v>
      </c>
      <c r="D19" s="110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5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12" t="s">
        <v>16</v>
      </c>
      <c r="B28" s="112"/>
      <c r="C28" s="33">
        <f>ABS(SUM(AO42:AO65536))</f>
        <v>1909.4570000014664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16" t="s">
        <v>17</v>
      </c>
      <c r="B29" s="116"/>
      <c r="C29" s="32">
        <f>ABS(C28/2)</f>
        <v>954.72850000073322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16">
        <f>SQRT(AA40^2+AB40^2)</f>
        <v>4.867218728902889E-3</v>
      </c>
      <c r="C32" s="116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0">
        <f>M40/B32</f>
        <v>29113.30684898984</v>
      </c>
      <c r="C33" s="120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16" t="str">
        <f>"1 : "&amp;TEXT(B35,"00")</f>
        <v>1 : 29000</v>
      </c>
      <c r="C34" s="116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19">
        <f>ROUND(B33,2-LEN(INT(B33)))</f>
        <v>29000</v>
      </c>
      <c r="C35" s="119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7" t="s">
        <v>9</v>
      </c>
      <c r="B38" s="88"/>
      <c r="C38" s="125" t="s">
        <v>7</v>
      </c>
      <c r="D38" s="125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6" t="s">
        <v>8</v>
      </c>
      <c r="N38" s="126"/>
      <c r="O38" s="126"/>
      <c r="P38" s="126"/>
      <c r="Q38" s="126"/>
      <c r="R38" s="126"/>
      <c r="S38" s="126"/>
      <c r="T38" s="126"/>
      <c r="U38" s="126"/>
      <c r="V38" s="127"/>
      <c r="W38" s="59"/>
      <c r="X38" s="59" t="s">
        <v>33</v>
      </c>
      <c r="Y38" s="59" t="s">
        <v>34</v>
      </c>
      <c r="Z38" s="80"/>
      <c r="AA38" s="117" t="s">
        <v>30</v>
      </c>
      <c r="AB38" s="117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3" t="s">
        <v>55</v>
      </c>
      <c r="AK38" s="115"/>
      <c r="AL38" s="65"/>
      <c r="AM38" s="113" t="s">
        <v>18</v>
      </c>
      <c r="AN38" s="114"/>
      <c r="AO38" s="115"/>
      <c r="AP38" s="121" t="s">
        <v>56</v>
      </c>
    </row>
    <row r="39" spans="1:44">
      <c r="A39" s="118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3" t="s">
        <v>21</v>
      </c>
      <c r="O39" s="114"/>
      <c r="P39" s="114"/>
      <c r="Q39" s="115"/>
      <c r="R39" s="113" t="s">
        <v>24</v>
      </c>
      <c r="S39" s="114"/>
      <c r="T39" s="114"/>
      <c r="U39" s="115"/>
      <c r="V39" s="128"/>
      <c r="W39" s="59"/>
      <c r="X39" s="59"/>
      <c r="Y39" s="59"/>
      <c r="Z39" s="81"/>
      <c r="AA39" s="118"/>
      <c r="AB39" s="118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21"/>
    </row>
    <row r="40" spans="1:44" s="11" customFormat="1">
      <c r="A40" s="122" t="s">
        <v>25</v>
      </c>
      <c r="B40" s="123"/>
      <c r="C40" s="123"/>
      <c r="D40" s="123"/>
      <c r="E40" s="123"/>
      <c r="F40" s="123"/>
      <c r="G40" s="123"/>
      <c r="H40" s="123"/>
      <c r="I40" s="123"/>
      <c r="J40" s="123"/>
      <c r="K40" s="123"/>
      <c r="L40" s="124"/>
      <c r="M40" s="51">
        <f>SUM(M42:M65536)</f>
        <v>141.7008323557001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-1.5319444003569771E-3</v>
      </c>
      <c r="AB40" s="91">
        <f>SUM(AB42:AB65536)</f>
        <v>4.6198446412404337E-3</v>
      </c>
      <c r="AC40" s="91"/>
      <c r="AD40" s="91">
        <f>SUM(AD42:AD65536)</f>
        <v>-1.5319444003569767E-3</v>
      </c>
      <c r="AE40" s="91">
        <f>SUM(AE42:AE65536)</f>
        <v>4.6198446412404337E-3</v>
      </c>
      <c r="AF40" s="91">
        <f>SUM(AF42:AF65536)</f>
        <v>0</v>
      </c>
      <c r="AG40" s="91">
        <f>SUM(AG42:AG65536)</f>
        <v>0</v>
      </c>
      <c r="AH40" s="92"/>
      <c r="AI40" s="93">
        <v>1</v>
      </c>
      <c r="AJ40" s="92">
        <f>AJ44+AF44</f>
        <v>717575.88621454791</v>
      </c>
      <c r="AK40" s="92">
        <f>AK44+AG44</f>
        <v>458831.61167934758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3636.0999999999767</v>
      </c>
      <c r="G41" s="72">
        <f>IF(D42=0,D41-$D$41,D41-D42)</f>
        <v>3572.8299999999581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5097.6796112446627</v>
      </c>
      <c r="N41" s="36">
        <f>IF(F41=0,,ATAN(G41/F41))</f>
        <v>0.7766217741782071</v>
      </c>
      <c r="O41" s="36">
        <f>ABS(DEGREES(N41))</f>
        <v>44.497149938373362</v>
      </c>
      <c r="P41" s="37" t="str">
        <f>TEXT(INT(O41),"00")</f>
        <v>44</v>
      </c>
      <c r="Q41" s="38" t="str">
        <f>TEXT((O41-P41)*60,"00")</f>
        <v>30</v>
      </c>
      <c r="R41" s="39" t="str">
        <f>IF(L41="",IF(F41&gt;0,"S","N"),"")</f>
        <v>S</v>
      </c>
      <c r="S41" s="25" t="str">
        <f>IF(L41="",IF(INT(Q41)=60,INT(P41+1),P41),"due")</f>
        <v>44</v>
      </c>
      <c r="T41" s="38" t="str">
        <f>IF(L41="",IF(INT(Q41)=60,"00",Q41),L41)</f>
        <v>30</v>
      </c>
      <c r="U41" s="40" t="str">
        <f>IF(L41="",IF(G41&gt;0,"W","E"),"")</f>
        <v>W</v>
      </c>
      <c r="V41" s="41"/>
      <c r="W41" s="22">
        <f>IF(S41="due",90*(I41+K41),S41+T41/60)</f>
        <v>44.5</v>
      </c>
      <c r="X41" s="22">
        <f>IF(R41="",W41,IF(R41="N",IF(U41="E",180+W41,180-W41),IF(U41="E",360-W41,W41)))</f>
        <v>44.5</v>
      </c>
      <c r="Y41" s="22">
        <f>RADIANS(X41)</f>
        <v>0.77667151713747662</v>
      </c>
      <c r="Z41" s="64"/>
      <c r="AA41" s="58">
        <f>-M41*COS(Y41)</f>
        <v>-3635.9222723643693</v>
      </c>
      <c r="AB41" s="58">
        <f>-M41*SIN(Y41)</f>
        <v>-3573.0108659538464</v>
      </c>
      <c r="AC41" s="64"/>
      <c r="AD41" s="22">
        <v>0</v>
      </c>
      <c r="AE41" s="22">
        <v>0</v>
      </c>
      <c r="AF41" s="22">
        <f t="shared" ref="AF41:AG43" si="0">AA41-AD41</f>
        <v>-3635.9222723643693</v>
      </c>
      <c r="AG41" s="22">
        <f t="shared" si="0"/>
        <v>-3573.0108659538464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717592.52</v>
      </c>
      <c r="D42" s="60">
        <v>458877.39</v>
      </c>
      <c r="E42" s="79"/>
      <c r="F42" s="72">
        <f>IF(C43=0,C42-$C$42,C42-C43)</f>
        <v>35.550000000046566</v>
      </c>
      <c r="G42" s="72">
        <f>IF(D43=0,D42-$D$42,D42-D43)</f>
        <v>39.350000000034925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53.030415800803027</v>
      </c>
      <c r="N42" s="36">
        <f>IF(F42=0,,ATAN(G42/F42))</f>
        <v>0.83608901337626396</v>
      </c>
      <c r="O42" s="36">
        <f>ABS(DEGREES(N42))</f>
        <v>47.904371763716959</v>
      </c>
      <c r="P42" s="37" t="str">
        <f>TEXT(INT(O42),"00")</f>
        <v>47</v>
      </c>
      <c r="Q42" s="38" t="str">
        <f>TEXT((O42-P42)*60,"00")</f>
        <v>54</v>
      </c>
      <c r="R42" s="39" t="str">
        <f>IF(L42="",IF(F42&gt;0,"S","N"),"")</f>
        <v>S</v>
      </c>
      <c r="S42" s="25" t="str">
        <f>IF(L42="",IF(INT(Q42)=60,INT(P42+1),P42),"due")</f>
        <v>47</v>
      </c>
      <c r="T42" s="38" t="str">
        <f>IF(L42="",IF(INT(Q42)=60,"00",Q42),L42)</f>
        <v>54</v>
      </c>
      <c r="U42" s="40" t="str">
        <f>IF(L42="",IF(G42&gt;0,"W","E"),"")</f>
        <v>W</v>
      </c>
      <c r="V42" s="44"/>
      <c r="W42" s="22">
        <f>IF(S42="due",90*(I42+K42),S42+T42/60)</f>
        <v>47.9</v>
      </c>
      <c r="X42" s="22">
        <f>IF(R42="",W42,IF(R42="N",IF(U42="E",180+W42,180-W42),IF(U42="E",360-W42,W42)))</f>
        <v>47.9</v>
      </c>
      <c r="Y42" s="22">
        <f>RADIANS(X42)</f>
        <v>0.8360127117052838</v>
      </c>
      <c r="Z42" s="64"/>
      <c r="AA42" s="58">
        <f>-M42*COS(Y42)</f>
        <v>-35.553002367311656</v>
      </c>
      <c r="AB42" s="58">
        <f>-M42*SIN(Y42)</f>
        <v>-39.347287361087439</v>
      </c>
      <c r="AC42" s="64"/>
      <c r="AD42" s="82">
        <f>$AA$40/$M$40*M42</f>
        <v>-5.7331807572388177E-4</v>
      </c>
      <c r="AE42" s="82">
        <f>$AB$40/$M$40*M42</f>
        <v>1.7289403187492056E-3</v>
      </c>
      <c r="AF42" s="22">
        <f t="shared" si="0"/>
        <v>-35.552429049235933</v>
      </c>
      <c r="AG42" s="22">
        <f t="shared" si="0"/>
        <v>-39.349016301406188</v>
      </c>
      <c r="AH42" s="63"/>
      <c r="AI42" s="38">
        <f>A42</f>
        <v>1</v>
      </c>
      <c r="AJ42" s="82">
        <f t="shared" ref="AJ42:AK44" si="1">AJ41+AF41</f>
        <v>717592.69772763562</v>
      </c>
      <c r="AK42" s="82">
        <f t="shared" si="1"/>
        <v>458877.2091340461</v>
      </c>
      <c r="AL42" s="66"/>
      <c r="AM42" s="9" t="str">
        <f>IF(A43=0,A42&amp;" - 1",A42&amp;" - "&amp;A43)</f>
        <v>1 - 2</v>
      </c>
      <c r="AN42" s="18">
        <f>F42</f>
        <v>35.550000000046566</v>
      </c>
      <c r="AO42" s="18">
        <f>AN42*G42</f>
        <v>1398.892500003074</v>
      </c>
      <c r="AP42" s="9" t="str">
        <f>D42&amp;","&amp;C42</f>
        <v>458877.39,717592.52</v>
      </c>
    </row>
    <row r="43" spans="1:44">
      <c r="A43" s="20">
        <f>A42+1</f>
        <v>2</v>
      </c>
      <c r="B43" s="44"/>
      <c r="C43" s="60">
        <v>717556.97</v>
      </c>
      <c r="D43" s="60">
        <v>458838.04</v>
      </c>
      <c r="E43" s="79"/>
      <c r="F43" s="72">
        <f>IF(C44=0,C43-$C$42,C43-C44)</f>
        <v>-2.0000000018626451E-2</v>
      </c>
      <c r="G43" s="72">
        <f>IF(D44=0,D43-$D$42,D43-D44)</f>
        <v>6.4599999999627471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6.4600309596409398</v>
      </c>
      <c r="N43" s="36">
        <f>IF(F43=0,,ATAN(G43/F43))</f>
        <v>-1.567700361451446</v>
      </c>
      <c r="O43" s="36">
        <f>ABS(DEGREES(N43))</f>
        <v>89.822614252301506</v>
      </c>
      <c r="P43" s="37" t="str">
        <f>TEXT(INT(O43),"00")</f>
        <v>89</v>
      </c>
      <c r="Q43" s="38" t="str">
        <f>TEXT((O43-P43)*60,"00")</f>
        <v>49</v>
      </c>
      <c r="R43" s="39" t="str">
        <f>IF(L43="",IF(F43&gt;0,"S","N"),"")</f>
        <v>N</v>
      </c>
      <c r="S43" s="25" t="str">
        <f>IF(L43="",IF(INT(Q43)=60,INT(P43+1),P43),"due")</f>
        <v>89</v>
      </c>
      <c r="T43" s="38" t="str">
        <f>IF(L43="",IF(INT(Q43)=60,"00",Q43),L43)</f>
        <v>49</v>
      </c>
      <c r="U43" s="40" t="str">
        <f>IF(L43="",IF(G43&gt;0,"W","E"),"")</f>
        <v>W</v>
      </c>
      <c r="V43" s="44"/>
      <c r="W43" s="22">
        <f>IF(S43="due",90*(I43+K43),S43+T43/60)</f>
        <v>89.816666666666663</v>
      </c>
      <c r="X43" s="22">
        <f>IF(R43="",W43,IF(R43="N",IF(U43="E",180+W43,180-W43),IF(U43="E",360-W43,W43)))</f>
        <v>90.183333333333337</v>
      </c>
      <c r="Y43" s="22">
        <f>RADIANS(X43)</f>
        <v>1.5739960970902196</v>
      </c>
      <c r="Z43" s="64"/>
      <c r="AA43" s="58">
        <f>-M43*COS(Y43)</f>
        <v>2.0670579898758503E-2</v>
      </c>
      <c r="AB43" s="58">
        <f>-M43*SIN(Y43)</f>
        <v>-6.4599978890589496</v>
      </c>
      <c r="AC43" s="64"/>
      <c r="AD43" s="82">
        <f>$AA$40/$M$40*M43</f>
        <v>-6.9840156124930132E-5</v>
      </c>
      <c r="AE43" s="82">
        <f>$AB$40/$M$40*M43</f>
        <v>2.1061513129456199E-4</v>
      </c>
      <c r="AF43" s="22">
        <f t="shared" si="0"/>
        <v>2.0740420054883434E-2</v>
      </c>
      <c r="AG43" s="22">
        <f t="shared" si="0"/>
        <v>-6.4602085041902439</v>
      </c>
      <c r="AH43" s="64"/>
      <c r="AI43" s="25">
        <f>A43</f>
        <v>2</v>
      </c>
      <c r="AJ43" s="82">
        <f t="shared" si="1"/>
        <v>717557.14529858634</v>
      </c>
      <c r="AK43" s="82">
        <f t="shared" si="1"/>
        <v>458837.86011774471</v>
      </c>
      <c r="AL43" s="66"/>
      <c r="AM43" s="9" t="str">
        <f>IF(A44=0,A43&amp;" - 1",A43&amp;" - "&amp;A44)</f>
        <v>2 - 3</v>
      </c>
      <c r="AN43" s="18">
        <f>AN42+F42+F43</f>
        <v>71.080000000074506</v>
      </c>
      <c r="AO43" s="18">
        <f>AN43*G43</f>
        <v>459.17679999783337</v>
      </c>
      <c r="AP43" s="9" t="str">
        <f>D43&amp;","&amp;C43</f>
        <v>458838.04,717556.97</v>
      </c>
    </row>
    <row r="44" spans="1:44" s="46" customFormat="1">
      <c r="A44" s="20">
        <f>A43+1</f>
        <v>3</v>
      </c>
      <c r="B44" s="44"/>
      <c r="C44" s="60">
        <v>717556.99</v>
      </c>
      <c r="D44" s="60">
        <v>458831.58</v>
      </c>
      <c r="E44" s="79"/>
      <c r="F44" s="72">
        <f>IF(C45=0,C44-$C$42,C44-C45)</f>
        <v>-18.71999999997206</v>
      </c>
      <c r="G44" s="72">
        <f>IF(D45=0,D44-$D$42,D44-D45)</f>
        <v>-0.2099999999627471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18.72117784753241</v>
      </c>
      <c r="N44" s="22">
        <f>IF(F44=0,,ATAN(G44/F44))</f>
        <v>1.1217478187072083E-2</v>
      </c>
      <c r="O44" s="22">
        <f>ABS(DEGREES(N44))</f>
        <v>0.64271415689929245</v>
      </c>
      <c r="P44" s="24" t="str">
        <f>TEXT(INT(O44),"00")</f>
        <v>00</v>
      </c>
      <c r="Q44" s="25" t="str">
        <f>TEXT((O44-P44)*60,"00")</f>
        <v>39</v>
      </c>
      <c r="R44" s="23" t="str">
        <f>IF(L44="",IF(F44&gt;0,"S","N"),"")</f>
        <v>N</v>
      </c>
      <c r="S44" s="25" t="str">
        <f>IF(L44="",IF(INT(Q44)=60,INT(P44+1),P44),"due")</f>
        <v>00</v>
      </c>
      <c r="T44" s="25" t="str">
        <f>IF(L44="",IF(INT(Q44)=60,"00",Q44),L44)</f>
        <v>39</v>
      </c>
      <c r="U44" s="24" t="str">
        <f>IF(L44="",IF(G44&gt;0,"W","E"),"")</f>
        <v>E</v>
      </c>
      <c r="V44" s="44"/>
      <c r="W44" s="22">
        <f>IF(S44="due",90*(I44+K44),S44+T44/60)</f>
        <v>0.65</v>
      </c>
      <c r="X44" s="22">
        <f>IF(R44="",W44,IF(R44="N",IF(U44="E",180+W44,180-W44),IF(U44="E",360-W44,W44)))</f>
        <v>180.65</v>
      </c>
      <c r="Y44" s="22">
        <f>RADIANS(X44)</f>
        <v>3.1529372937277564</v>
      </c>
      <c r="Z44" s="64"/>
      <c r="AA44" s="58">
        <f>-M44*COS(Y44)</f>
        <v>18.719973144609732</v>
      </c>
      <c r="AB44" s="58">
        <f>-M44*SIN(Y44)</f>
        <v>0.21238046997914284</v>
      </c>
      <c r="AC44" s="64"/>
      <c r="AD44" s="82">
        <f>$AA$40/$M$40*M44</f>
        <v>-2.0239686030652082E-4</v>
      </c>
      <c r="AE44" s="82">
        <f>$AB$40/$M$40*M44</f>
        <v>6.1036291543810817E-4</v>
      </c>
      <c r="AF44" s="22">
        <f>AA44-AD44</f>
        <v>18.720175541470038</v>
      </c>
      <c r="AG44" s="22">
        <f>AB44-AE44</f>
        <v>0.21177010706370472</v>
      </c>
      <c r="AH44" s="64"/>
      <c r="AI44" s="25">
        <f>A44</f>
        <v>3</v>
      </c>
      <c r="AJ44" s="82">
        <f t="shared" si="1"/>
        <v>717557.16603900644</v>
      </c>
      <c r="AK44" s="82">
        <f t="shared" si="1"/>
        <v>458831.39990924054</v>
      </c>
      <c r="AL44" s="66"/>
      <c r="AM44" s="9" t="str">
        <f>IF(A45=0,A44&amp;" - 1",A44&amp;" - "&amp;A45)</f>
        <v>3 - 4</v>
      </c>
      <c r="AN44" s="18">
        <f>AN43+F43+F44</f>
        <v>52.340000000083819</v>
      </c>
      <c r="AO44" s="18">
        <f>AN44*G44</f>
        <v>-10.991399998067784</v>
      </c>
      <c r="AP44" s="9" t="str">
        <f>D44&amp;","&amp;C44</f>
        <v>458831.58,717556.99</v>
      </c>
    </row>
    <row r="45" spans="1:44" s="46" customFormat="1">
      <c r="A45" s="20">
        <f t="shared" ref="A45:A46" si="2">A44+1</f>
        <v>4</v>
      </c>
      <c r="B45" s="44"/>
      <c r="C45" s="60">
        <v>717575.71</v>
      </c>
      <c r="D45" s="60">
        <v>458831.79</v>
      </c>
      <c r="E45" s="79"/>
      <c r="F45" s="72">
        <f t="shared" ref="F45:F46" si="3">IF(C46=0,C45-$C$42,C45-C46)</f>
        <v>-30.450000000069849</v>
      </c>
      <c r="G45" s="72">
        <f t="shared" ref="G45:G46" si="4">IF(D46=0,D45-$D$42,D45-D46)</f>
        <v>-33.290000000037253</v>
      </c>
      <c r="H45" s="76" t="str">
        <f t="shared" ref="H45:H46" si="5">IF(G45=0,IF(F45&gt;0,"South","North"),"")</f>
        <v/>
      </c>
      <c r="I45" s="76">
        <f t="shared" ref="I45:I46" si="6">IF(H45="North",2,IF(H45="",0,0))</f>
        <v>0</v>
      </c>
      <c r="J45" s="76" t="str">
        <f t="shared" ref="J45:J46" si="7">IF(F45=0,IF(G45&gt;0,"West","East"),"")</f>
        <v/>
      </c>
      <c r="K45" s="76">
        <f t="shared" ref="K45:K46" si="8">IF(J45="West",1,IF(J45="",0,3))</f>
        <v>0</v>
      </c>
      <c r="L45" s="76" t="str">
        <f t="shared" ref="L45:L46" si="9">H45&amp;J45</f>
        <v/>
      </c>
      <c r="M45" s="22">
        <f t="shared" ref="M45:M46" si="10">SQRT(F45^2+G45^2)</f>
        <v>45.115702366324015</v>
      </c>
      <c r="N45" s="22">
        <f t="shared" ref="N45:N46" si="11">IF(F45=0,,ATAN(G45/F45))</f>
        <v>0.82992472249400184</v>
      </c>
      <c r="O45" s="22">
        <f t="shared" ref="O45:O46" si="12">ABS(DEGREES(N45))</f>
        <v>47.551183912472361</v>
      </c>
      <c r="P45" s="24" t="str">
        <f t="shared" ref="P45:P46" si="13">TEXT(INT(O45),"00")</f>
        <v>47</v>
      </c>
      <c r="Q45" s="25" t="str">
        <f t="shared" ref="Q45:Q46" si="14">TEXT((O45-P45)*60,"00")</f>
        <v>33</v>
      </c>
      <c r="R45" s="23" t="str">
        <f t="shared" ref="R45:R46" si="15">IF(L45="",IF(F45&gt;0,"S","N"),"")</f>
        <v>N</v>
      </c>
      <c r="S45" s="25" t="str">
        <f t="shared" ref="S45:S46" si="16">IF(L45="",IF(INT(Q45)=60,INT(P45+1),P45),"due")</f>
        <v>47</v>
      </c>
      <c r="T45" s="25" t="str">
        <f t="shared" ref="T45:T46" si="17">IF(L45="",IF(INT(Q45)=60,"00",Q45),L45)</f>
        <v>33</v>
      </c>
      <c r="U45" s="24" t="str">
        <f t="shared" ref="U45:U46" si="18">IF(L45="",IF(G45&gt;0,"W","E"),"")</f>
        <v>E</v>
      </c>
      <c r="V45" s="44"/>
      <c r="W45" s="22">
        <f t="shared" ref="W45:W46" si="19">IF(S45="due",90*(I45+K45),S45+T45/60)</f>
        <v>47.55</v>
      </c>
      <c r="X45" s="22">
        <f t="shared" ref="X45:X46" si="20">IF(R45="",W45,IF(R45="N",IF(U45="E",180+W45,180-W45),IF(U45="E",360-W45,W45)))</f>
        <v>227.55</v>
      </c>
      <c r="Y45" s="22">
        <f t="shared" ref="Y45:Y46" si="21">RADIANS(X45)</f>
        <v>3.9714967129130971</v>
      </c>
      <c r="Z45" s="64"/>
      <c r="AA45" s="58">
        <f t="shared" ref="AA45:AA46" si="22">-M45*COS(Y45)</f>
        <v>30.450687870521772</v>
      </c>
      <c r="AB45" s="58">
        <f t="shared" ref="AB45:AB46" si="23">-M45*SIN(Y45)</f>
        <v>33.289370799382688</v>
      </c>
      <c r="AC45" s="64"/>
      <c r="AD45" s="82">
        <f t="shared" ref="AD45:AD46" si="24">$AA$40/$M$40*M45</f>
        <v>-4.8775117590536766E-4</v>
      </c>
      <c r="AE45" s="82">
        <f t="shared" ref="AE45:AE46" si="25">$AB$40/$M$40*M45</f>
        <v>1.4708984580250146E-3</v>
      </c>
      <c r="AF45" s="22">
        <f t="shared" ref="AF45:AF46" si="26">AA45-AD45</f>
        <v>30.451175621697679</v>
      </c>
      <c r="AG45" s="22">
        <f t="shared" ref="AG45:AG46" si="27">AB45-AE45</f>
        <v>33.287899900924664</v>
      </c>
      <c r="AH45" s="64"/>
      <c r="AI45" s="25">
        <f t="shared" ref="AI45:AI46" si="28">A45</f>
        <v>4</v>
      </c>
      <c r="AJ45" s="82">
        <f t="shared" ref="AJ45:AJ46" si="29">AJ44+AF44</f>
        <v>717575.88621454791</v>
      </c>
      <c r="AK45" s="82">
        <f t="shared" ref="AK45:AK46" si="30">AK44+AG44</f>
        <v>458831.61167934758</v>
      </c>
      <c r="AL45" s="66"/>
      <c r="AM45" s="9" t="str">
        <f t="shared" ref="AM45:AM46" si="31">IF(A46=0,A45&amp;" - 1",A45&amp;" - "&amp;A46)</f>
        <v>4 - 5</v>
      </c>
      <c r="AN45" s="18">
        <f t="shared" ref="AN45:AN46" si="32">AN44+F44+F45</f>
        <v>3.1700000000419095</v>
      </c>
      <c r="AO45" s="18">
        <f t="shared" ref="AO45:AO46" si="33">AN45*G45</f>
        <v>-105.52930000151326</v>
      </c>
      <c r="AP45" s="9" t="str">
        <f t="shared" ref="AP45:AP46" si="34">D45&amp;","&amp;C45</f>
        <v>458831.79,717575.71</v>
      </c>
    </row>
    <row r="46" spans="1:44" s="46" customFormat="1">
      <c r="A46" s="20">
        <f t="shared" si="2"/>
        <v>5</v>
      </c>
      <c r="B46" s="44"/>
      <c r="C46" s="60">
        <v>717606.16</v>
      </c>
      <c r="D46" s="60">
        <v>458865.08</v>
      </c>
      <c r="E46" s="79"/>
      <c r="F46" s="72">
        <f t="shared" si="3"/>
        <v>13.64000000001397</v>
      </c>
      <c r="G46" s="72">
        <f t="shared" si="4"/>
        <v>-12.309999999997672</v>
      </c>
      <c r="H46" s="76" t="str">
        <f t="shared" si="5"/>
        <v/>
      </c>
      <c r="I46" s="76">
        <f t="shared" si="6"/>
        <v>0</v>
      </c>
      <c r="J46" s="76" t="str">
        <f t="shared" si="7"/>
        <v/>
      </c>
      <c r="K46" s="76">
        <f t="shared" si="8"/>
        <v>0</v>
      </c>
      <c r="L46" s="76" t="str">
        <f t="shared" si="9"/>
        <v/>
      </c>
      <c r="M46" s="22">
        <f t="shared" si="10"/>
        <v>18.373505381399699</v>
      </c>
      <c r="N46" s="22">
        <f t="shared" si="11"/>
        <v>-0.73419056109083436</v>
      </c>
      <c r="O46" s="22">
        <f t="shared" si="12"/>
        <v>42.066020508846641</v>
      </c>
      <c r="P46" s="24" t="str">
        <f t="shared" si="13"/>
        <v>42</v>
      </c>
      <c r="Q46" s="25" t="str">
        <f t="shared" si="14"/>
        <v>04</v>
      </c>
      <c r="R46" s="23" t="str">
        <f t="shared" si="15"/>
        <v>S</v>
      </c>
      <c r="S46" s="25" t="str">
        <f t="shared" si="16"/>
        <v>42</v>
      </c>
      <c r="T46" s="25" t="str">
        <f t="shared" si="17"/>
        <v>04</v>
      </c>
      <c r="U46" s="24" t="str">
        <f t="shared" si="18"/>
        <v>E</v>
      </c>
      <c r="V46" s="44"/>
      <c r="W46" s="22">
        <f t="shared" si="19"/>
        <v>42.06666666666667</v>
      </c>
      <c r="X46" s="22">
        <f t="shared" si="20"/>
        <v>317.93333333333334</v>
      </c>
      <c r="Y46" s="22">
        <f t="shared" si="21"/>
        <v>5.5489834685073047</v>
      </c>
      <c r="Z46" s="64"/>
      <c r="AA46" s="58">
        <f t="shared" si="22"/>
        <v>-13.639861172118961</v>
      </c>
      <c r="AB46" s="58">
        <f t="shared" si="23"/>
        <v>12.310153825425793</v>
      </c>
      <c r="AC46" s="64"/>
      <c r="AD46" s="82">
        <f t="shared" si="24"/>
        <v>-1.9863813229627648E-4</v>
      </c>
      <c r="AE46" s="82">
        <f t="shared" si="25"/>
        <v>5.9902781773354312E-4</v>
      </c>
      <c r="AF46" s="22">
        <f t="shared" si="26"/>
        <v>-13.639662533986664</v>
      </c>
      <c r="AG46" s="22">
        <f t="shared" si="27"/>
        <v>12.30955479760806</v>
      </c>
      <c r="AH46" s="64"/>
      <c r="AI46" s="25">
        <f t="shared" si="28"/>
        <v>5</v>
      </c>
      <c r="AJ46" s="82">
        <f t="shared" si="29"/>
        <v>717606.33739016962</v>
      </c>
      <c r="AK46" s="82">
        <f t="shared" si="30"/>
        <v>458864.89957924851</v>
      </c>
      <c r="AL46" s="66"/>
      <c r="AM46" s="9" t="str">
        <f t="shared" si="31"/>
        <v>5 - 1</v>
      </c>
      <c r="AN46" s="18">
        <f t="shared" si="32"/>
        <v>-13.64000000001397</v>
      </c>
      <c r="AO46" s="18">
        <f t="shared" si="33"/>
        <v>167.9084000001402</v>
      </c>
      <c r="AP46" s="9" t="str">
        <f t="shared" si="34"/>
        <v>458865.08,717606.16</v>
      </c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P38:AP39"/>
    <mergeCell ref="A40:L40"/>
    <mergeCell ref="AJ38:AK38"/>
    <mergeCell ref="AA38:AA39"/>
    <mergeCell ref="AB38:AB39"/>
    <mergeCell ref="C38:D38"/>
    <mergeCell ref="AM38:AO38"/>
    <mergeCell ref="M38:U38"/>
    <mergeCell ref="V38:V39"/>
    <mergeCell ref="A28:B28"/>
    <mergeCell ref="N39:Q39"/>
    <mergeCell ref="R39:U39"/>
    <mergeCell ref="C7:D7"/>
    <mergeCell ref="C8:D8"/>
    <mergeCell ref="C9:D9"/>
    <mergeCell ref="C13:D13"/>
    <mergeCell ref="C14:D14"/>
    <mergeCell ref="C15:D15"/>
    <mergeCell ref="C16:D16"/>
    <mergeCell ref="A29:B29"/>
    <mergeCell ref="A38:A39"/>
    <mergeCell ref="B35:C35"/>
    <mergeCell ref="B32:C32"/>
    <mergeCell ref="B33:C33"/>
    <mergeCell ref="B34:C34"/>
    <mergeCell ref="C19:D19"/>
    <mergeCell ref="A1:AJ1"/>
    <mergeCell ref="C10:D10"/>
    <mergeCell ref="C11:D11"/>
    <mergeCell ref="C12:D12"/>
  </mergeCells>
  <phoneticPr fontId="0" type="noConversion"/>
  <printOptions verticalCentered="1"/>
  <pageMargins left="0.75" right="0.75" top="1" bottom="1" header="0.5" footer="0.5"/>
  <pageSetup orientation="landscape" horizontalDpi="4294967293" verticalDpi="2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10"/>
  <dimension ref="A1:AS47"/>
  <sheetViews>
    <sheetView workbookViewId="0">
      <selection activeCell="C7" sqref="C7:D7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94" t="s">
        <v>48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  <c r="Z1" s="94"/>
      <c r="AA1" s="94"/>
      <c r="AB1" s="94"/>
      <c r="AC1" s="94"/>
      <c r="AD1" s="94"/>
      <c r="AE1" s="94"/>
      <c r="AF1" s="94"/>
      <c r="AG1" s="94"/>
      <c r="AH1" s="94"/>
      <c r="AI1" s="94"/>
      <c r="AJ1" s="94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09"/>
      <c r="D7" s="110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85"/>
      <c r="D8" s="86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85"/>
      <c r="D9" s="86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85"/>
      <c r="D10" s="86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85"/>
      <c r="D11" s="86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85"/>
      <c r="D12" s="86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85"/>
      <c r="D13" s="86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85"/>
      <c r="D14" s="86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85"/>
      <c r="D15" s="86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85"/>
      <c r="D16" s="86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85"/>
      <c r="D19" s="86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/>
      <c r="B22" s="67" t="s">
        <v>1</v>
      </c>
      <c r="C22" s="68"/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/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/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95" t="s">
        <v>16</v>
      </c>
      <c r="B28" s="95"/>
      <c r="C28" s="33">
        <f>ABS(SUM(AO42:AO65536))</f>
        <v>0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32" t="s">
        <v>17</v>
      </c>
      <c r="B29" s="32"/>
      <c r="C29" s="32">
        <f>ABS(C28/2)</f>
        <v>0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32">
        <f>SQRT(AA40^2+AB40^2)</f>
        <v>0</v>
      </c>
      <c r="C32" s="32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08" t="e">
        <f>M40/B32</f>
        <v>#DIV/0!</v>
      </c>
      <c r="C33" s="108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32" t="e">
        <f>"1 : "&amp;TEXT(B35,"00")</f>
        <v>#DIV/0!</v>
      </c>
      <c r="C34" s="32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t="12.75" hidden="1" customHeight="1">
      <c r="A35" s="70"/>
      <c r="B35" s="104" t="e">
        <f>ROUND(B33,2-LEN(INT(B33)))</f>
        <v>#DIV/0!</v>
      </c>
      <c r="C35" s="104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00" t="s">
        <v>9</v>
      </c>
      <c r="B38" s="88"/>
      <c r="C38" s="16" t="s">
        <v>7</v>
      </c>
      <c r="D38" s="16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7" t="s">
        <v>8</v>
      </c>
      <c r="N38" s="17"/>
      <c r="O38" s="17"/>
      <c r="P38" s="17"/>
      <c r="Q38" s="17"/>
      <c r="R38" s="17"/>
      <c r="S38" s="17"/>
      <c r="T38" s="17"/>
      <c r="U38" s="17"/>
      <c r="V38" s="98"/>
      <c r="W38" s="59"/>
      <c r="X38" s="59" t="s">
        <v>33</v>
      </c>
      <c r="Y38" s="59" t="s">
        <v>34</v>
      </c>
      <c r="Z38" s="80"/>
      <c r="AA38" s="100" t="s">
        <v>30</v>
      </c>
      <c r="AB38" s="100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45" t="s">
        <v>55</v>
      </c>
      <c r="AK38" s="97"/>
      <c r="AL38" s="65"/>
      <c r="AM38" s="45" t="s">
        <v>18</v>
      </c>
      <c r="AN38" s="96"/>
      <c r="AO38" s="97"/>
      <c r="AP38" s="102" t="s">
        <v>56</v>
      </c>
    </row>
    <row r="39" spans="1:44">
      <c r="A39" s="101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45" t="s">
        <v>21</v>
      </c>
      <c r="O39" s="96"/>
      <c r="P39" s="96"/>
      <c r="Q39" s="97"/>
      <c r="R39" s="45" t="s">
        <v>24</v>
      </c>
      <c r="S39" s="96"/>
      <c r="T39" s="96"/>
      <c r="U39" s="97"/>
      <c r="V39" s="99"/>
      <c r="W39" s="59"/>
      <c r="X39" s="59"/>
      <c r="Y39" s="59"/>
      <c r="Z39" s="81"/>
      <c r="AA39" s="101"/>
      <c r="AB39" s="101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02"/>
    </row>
    <row r="40" spans="1:44" s="11" customFormat="1">
      <c r="A40" s="105" t="s">
        <v>25</v>
      </c>
      <c r="B40" s="106"/>
      <c r="C40" s="106"/>
      <c r="D40" s="106"/>
      <c r="E40" s="106"/>
      <c r="F40" s="106"/>
      <c r="G40" s="106"/>
      <c r="H40" s="106"/>
      <c r="I40" s="106"/>
      <c r="J40" s="106"/>
      <c r="K40" s="106"/>
      <c r="L40" s="107"/>
      <c r="M40" s="51">
        <f>SUM(M42:M65536)</f>
        <v>0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0</v>
      </c>
      <c r="AB40" s="91">
        <f>SUM(AB42:AB65536)</f>
        <v>0</v>
      </c>
      <c r="AC40" s="91"/>
      <c r="AD40" s="91" t="e">
        <f>SUM(AD42:AD65536)</f>
        <v>#DIV/0!</v>
      </c>
      <c r="AE40" s="91" t="e">
        <f>SUM(AE42:AE65536)</f>
        <v>#DIV/0!</v>
      </c>
      <c r="AF40" s="91" t="e">
        <f>SUM(AF42:AF65536)</f>
        <v>#DIV/0!</v>
      </c>
      <c r="AG40" s="91" t="e">
        <f>SUM(AG42:AG65536)</f>
        <v>#DIV/0!</v>
      </c>
      <c r="AH40" s="92"/>
      <c r="AI40" s="93">
        <v>1</v>
      </c>
      <c r="AJ40" s="92" t="e">
        <f>AJ44+AF44</f>
        <v>#DIV/0!</v>
      </c>
      <c r="AK40" s="92" t="e">
        <f>AK44+AG44</f>
        <v>#DIV/0!</v>
      </c>
      <c r="AL40" s="92"/>
      <c r="AM40" s="51"/>
      <c r="AN40" s="57"/>
      <c r="AO40" s="52"/>
      <c r="AP40" s="103"/>
    </row>
    <row r="41" spans="1:44">
      <c r="A41" s="34" t="str">
        <f>IF(A22=0, " ",  A22)</f>
        <v xml:space="preserve"> </v>
      </c>
      <c r="B41" s="89"/>
      <c r="C41" s="35">
        <f>C22</f>
        <v>0</v>
      </c>
      <c r="D41" s="35">
        <f>C23</f>
        <v>0</v>
      </c>
      <c r="E41" s="78"/>
      <c r="F41" s="72">
        <f>IF(C42=0,C41-$C$41,C41-C42)</f>
        <v>0</v>
      </c>
      <c r="G41" s="72">
        <f>IF(D42=0,D41-$D$41,D41-D42)</f>
        <v>0</v>
      </c>
      <c r="H41" s="75" t="str">
        <f>IF(G41=0,IF(F41&gt;0,"South","North"),"")</f>
        <v>North</v>
      </c>
      <c r="I41" s="75">
        <f>IF(H41="North",2,IF(H41="",0,0))</f>
        <v>2</v>
      </c>
      <c r="J41" s="75" t="str">
        <f>IF(F41=0,IF(G41&gt;0,"West","East"),"")</f>
        <v>East</v>
      </c>
      <c r="K41" s="75">
        <f>IF(J41="West",1,IF(J41="",0,3))</f>
        <v>3</v>
      </c>
      <c r="L41" s="75" t="str">
        <f>H41&amp;J41</f>
        <v>NorthEast</v>
      </c>
      <c r="M41" s="36">
        <f>SQRT(F41^2+G41^2)</f>
        <v>0</v>
      </c>
      <c r="N41" s="36">
        <f>IF(F41=0,,ATAN(G41/F41))</f>
        <v>0</v>
      </c>
      <c r="O41" s="36">
        <f>ABS(DEGREES(N41))</f>
        <v>0</v>
      </c>
      <c r="P41" s="37" t="str">
        <f>TEXT(INT(O41),"00")</f>
        <v>00</v>
      </c>
      <c r="Q41" s="38" t="str">
        <f>TEXT((O41-P41)*60,"00")</f>
        <v>00</v>
      </c>
      <c r="R41" s="39" t="str">
        <f>IF(L41="",IF(F41&gt;0,"S","N"),"")</f>
        <v/>
      </c>
      <c r="S41" s="25" t="str">
        <f>IF(L41="",IF(INT(Q41)=60,INT(P41+1),P41),"due")</f>
        <v>due</v>
      </c>
      <c r="T41" s="38" t="str">
        <f>IF(L41="",IF(INT(Q41)=60,"00",Q41),L41)</f>
        <v>NorthEast</v>
      </c>
      <c r="U41" s="40" t="str">
        <f>IF(L41="",IF(G41&gt;0,"W","E"),"")</f>
        <v/>
      </c>
      <c r="V41" s="41"/>
      <c r="W41" s="22">
        <f>IF(S41="due",90*(I41+K41),S41+T41/60)</f>
        <v>450</v>
      </c>
      <c r="X41" s="22">
        <f>IF(R41="",W41,IF(R41="N",IF(U41="E",180+W41,180-W41),IF(U41="E",360-W41,W41)))</f>
        <v>450</v>
      </c>
      <c r="Y41" s="22">
        <f>RADIANS(X41)</f>
        <v>7.8539816339744828</v>
      </c>
      <c r="Z41" s="64"/>
      <c r="AA41" s="58">
        <f>-M41*COS(Y41)</f>
        <v>0</v>
      </c>
      <c r="AB41" s="58">
        <f>-M41*SIN(Y41)</f>
        <v>0</v>
      </c>
      <c r="AC41" s="64"/>
      <c r="AD41" s="22">
        <v>0</v>
      </c>
      <c r="AE41" s="22">
        <v>0</v>
      </c>
      <c r="AF41" s="22">
        <f t="shared" ref="AF41:AG43" si="0">AA41-AD41</f>
        <v>0</v>
      </c>
      <c r="AG41" s="22">
        <f t="shared" si="0"/>
        <v>0</v>
      </c>
      <c r="AH41" s="63"/>
      <c r="AI41" s="36" t="str">
        <f>A41</f>
        <v xml:space="preserve"> </v>
      </c>
      <c r="AJ41" s="36">
        <f>C41</f>
        <v>0</v>
      </c>
      <c r="AK41" s="36">
        <f>D41</f>
        <v>0</v>
      </c>
      <c r="AL41" s="63"/>
      <c r="AM41" s="42" t="str">
        <f>IF(A42=0,A41&amp;" - 1",A41&amp;" - "&amp;A42)</f>
        <v xml:space="preserve">  - 1</v>
      </c>
      <c r="AN41" s="42"/>
      <c r="AO41" s="43"/>
      <c r="AP41" s="9"/>
    </row>
    <row r="42" spans="1:44">
      <c r="A42" s="20">
        <v>1</v>
      </c>
      <c r="B42" s="44"/>
      <c r="C42" s="60"/>
      <c r="D42" s="60"/>
      <c r="E42" s="79"/>
      <c r="F42" s="72">
        <f>IF(C43=0,C42-$C$42,C42-C43)</f>
        <v>0</v>
      </c>
      <c r="G42" s="72">
        <f>IF(D43=0,D42-$D$42,D42-D43)</f>
        <v>0</v>
      </c>
      <c r="H42" s="75" t="str">
        <f>IF(G42=0,IF(F42&gt;0,"South","North"),"")</f>
        <v>North</v>
      </c>
      <c r="I42" s="75">
        <f>IF(H42="North",2,IF(H42="",0,0))</f>
        <v>2</v>
      </c>
      <c r="J42" s="75" t="str">
        <f>IF(F42=0,IF(G42&gt;0,"West","East"),"")</f>
        <v>East</v>
      </c>
      <c r="K42" s="75">
        <f>IF(J42="West",1,IF(J42="",0,3))</f>
        <v>3</v>
      </c>
      <c r="L42" s="75" t="str">
        <f>H42&amp;J42</f>
        <v>NorthEast</v>
      </c>
      <c r="M42" s="36">
        <f>SQRT(F42^2+G42^2)</f>
        <v>0</v>
      </c>
      <c r="N42" s="36">
        <f>IF(F42=0,,ATAN(G42/F42))</f>
        <v>0</v>
      </c>
      <c r="O42" s="36">
        <f>ABS(DEGREES(N42))</f>
        <v>0</v>
      </c>
      <c r="P42" s="37" t="str">
        <f>TEXT(INT(O42),"00")</f>
        <v>00</v>
      </c>
      <c r="Q42" s="38" t="str">
        <f>TEXT((O42-P42)*60,"00")</f>
        <v>00</v>
      </c>
      <c r="R42" s="39" t="str">
        <f>IF(L42="",IF(F42&gt;0,"S","N"),"")</f>
        <v/>
      </c>
      <c r="S42" s="25" t="str">
        <f>IF(L42="",IF(INT(Q42)=60,INT(P42+1),P42),"due")</f>
        <v>due</v>
      </c>
      <c r="T42" s="38" t="str">
        <f>IF(L42="",IF(INT(Q42)=60,"00",Q42),L42)</f>
        <v>NorthEast</v>
      </c>
      <c r="U42" s="40" t="str">
        <f>IF(L42="",IF(G42&gt;0,"W","E"),"")</f>
        <v/>
      </c>
      <c r="V42" s="44"/>
      <c r="W42" s="22">
        <f>IF(S42="due",90*(I42+K42),S42+T42/60)</f>
        <v>450</v>
      </c>
      <c r="X42" s="22">
        <f>IF(R42="",W42,IF(R42="N",IF(U42="E",180+W42,180-W42),IF(U42="E",360-W42,W42)))</f>
        <v>450</v>
      </c>
      <c r="Y42" s="22">
        <f>RADIANS(X42)</f>
        <v>7.8539816339744828</v>
      </c>
      <c r="Z42" s="64"/>
      <c r="AA42" s="58">
        <f>-M42*COS(Y42)</f>
        <v>0</v>
      </c>
      <c r="AB42" s="58">
        <f>-M42*SIN(Y42)</f>
        <v>0</v>
      </c>
      <c r="AC42" s="64"/>
      <c r="AD42" s="82" t="e">
        <f>$AA$40/$M$40*M42</f>
        <v>#DIV/0!</v>
      </c>
      <c r="AE42" s="82" t="e">
        <f>$AB$40/$M$40*M42</f>
        <v>#DIV/0!</v>
      </c>
      <c r="AF42" s="22" t="e">
        <f t="shared" si="0"/>
        <v>#DIV/0!</v>
      </c>
      <c r="AG42" s="22" t="e">
        <f t="shared" si="0"/>
        <v>#DIV/0!</v>
      </c>
      <c r="AH42" s="63"/>
      <c r="AI42" s="38">
        <f>A42</f>
        <v>1</v>
      </c>
      <c r="AJ42" s="82">
        <f t="shared" ref="AJ42:AK44" si="1">AJ41+AF41</f>
        <v>0</v>
      </c>
      <c r="AK42" s="82">
        <f t="shared" si="1"/>
        <v>0</v>
      </c>
      <c r="AL42" s="66"/>
      <c r="AM42" s="9" t="str">
        <f>IF(A43=0,A42&amp;" - 1",A42&amp;" - "&amp;A43)</f>
        <v>1 - 2</v>
      </c>
      <c r="AN42" s="18">
        <f>F42</f>
        <v>0</v>
      </c>
      <c r="AO42" s="18">
        <f>AN42*G42</f>
        <v>0</v>
      </c>
      <c r="AP42" s="9" t="str">
        <f>D42&amp;","&amp;C42</f>
        <v>,</v>
      </c>
    </row>
    <row r="43" spans="1:44">
      <c r="A43" s="20">
        <f>A42+1</f>
        <v>2</v>
      </c>
      <c r="B43" s="44"/>
      <c r="C43" s="60"/>
      <c r="D43" s="60"/>
      <c r="E43" s="79"/>
      <c r="F43" s="72">
        <f>IF(C44=0,C43-$C$42,C43-C44)</f>
        <v>0</v>
      </c>
      <c r="G43" s="72">
        <f>IF(D44=0,D43-$D$42,D43-D44)</f>
        <v>0</v>
      </c>
      <c r="H43" s="75" t="str">
        <f>IF(G43=0,IF(F43&gt;0,"South","North"),"")</f>
        <v>North</v>
      </c>
      <c r="I43" s="75">
        <f>IF(H43="North",2,IF(H43="",0,0))</f>
        <v>2</v>
      </c>
      <c r="J43" s="75" t="str">
        <f>IF(F43=0,IF(G43&gt;0,"West","East"),"")</f>
        <v>East</v>
      </c>
      <c r="K43" s="75">
        <f>IF(J43="West",1,IF(J43="",0,3))</f>
        <v>3</v>
      </c>
      <c r="L43" s="75" t="str">
        <f>H43&amp;J43</f>
        <v>NorthEast</v>
      </c>
      <c r="M43" s="36">
        <f>SQRT(F43^2+G43^2)</f>
        <v>0</v>
      </c>
      <c r="N43" s="36">
        <f>IF(F43=0,,ATAN(G43/F43))</f>
        <v>0</v>
      </c>
      <c r="O43" s="36">
        <f>ABS(DEGREES(N43))</f>
        <v>0</v>
      </c>
      <c r="P43" s="37" t="str">
        <f>TEXT(INT(O43),"00")</f>
        <v>00</v>
      </c>
      <c r="Q43" s="38" t="str">
        <f>TEXT((O43-P43)*60,"00")</f>
        <v>00</v>
      </c>
      <c r="R43" s="39" t="str">
        <f>IF(L43="",IF(F43&gt;0,"S","N"),"")</f>
        <v/>
      </c>
      <c r="S43" s="25" t="str">
        <f>IF(L43="",IF(INT(Q43)=60,INT(P43+1),P43),"due")</f>
        <v>due</v>
      </c>
      <c r="T43" s="38" t="str">
        <f>IF(L43="",IF(INT(Q43)=60,"00",Q43),L43)</f>
        <v>NorthEast</v>
      </c>
      <c r="U43" s="40" t="str">
        <f>IF(L43="",IF(G43&gt;0,"W","E"),"")</f>
        <v/>
      </c>
      <c r="V43" s="44"/>
      <c r="W43" s="22">
        <f>IF(S43="due",90*(I43+K43),S43+T43/60)</f>
        <v>450</v>
      </c>
      <c r="X43" s="22">
        <f>IF(R43="",W43,IF(R43="N",IF(U43="E",180+W43,180-W43),IF(U43="E",360-W43,W43)))</f>
        <v>450</v>
      </c>
      <c r="Y43" s="22">
        <f>RADIANS(X43)</f>
        <v>7.8539816339744828</v>
      </c>
      <c r="Z43" s="64"/>
      <c r="AA43" s="58">
        <f>-M43*COS(Y43)</f>
        <v>0</v>
      </c>
      <c r="AB43" s="58">
        <f>-M43*SIN(Y43)</f>
        <v>0</v>
      </c>
      <c r="AC43" s="64"/>
      <c r="AD43" s="82" t="e">
        <f>$AA$40/$M$40*M43</f>
        <v>#DIV/0!</v>
      </c>
      <c r="AE43" s="82" t="e">
        <f>$AB$40/$M$40*M43</f>
        <v>#DIV/0!</v>
      </c>
      <c r="AF43" s="22" t="e">
        <f t="shared" si="0"/>
        <v>#DIV/0!</v>
      </c>
      <c r="AG43" s="22" t="e">
        <f t="shared" si="0"/>
        <v>#DIV/0!</v>
      </c>
      <c r="AH43" s="64"/>
      <c r="AI43" s="25">
        <f>A43</f>
        <v>2</v>
      </c>
      <c r="AJ43" s="82" t="e">
        <f t="shared" si="1"/>
        <v>#DIV/0!</v>
      </c>
      <c r="AK43" s="82" t="e">
        <f t="shared" si="1"/>
        <v>#DIV/0!</v>
      </c>
      <c r="AL43" s="66"/>
      <c r="AM43" s="9" t="str">
        <f>IF(A44=0,A43&amp;" - 1",A43&amp;" - "&amp;A44)</f>
        <v>2 - 3</v>
      </c>
      <c r="AN43" s="18">
        <f>AN42+F42+F43</f>
        <v>0</v>
      </c>
      <c r="AO43" s="18">
        <f>AN43*G43</f>
        <v>0</v>
      </c>
      <c r="AP43" s="9" t="str">
        <f>D43&amp;","&amp;C43</f>
        <v>,</v>
      </c>
    </row>
    <row r="44" spans="1:44" s="46" customFormat="1">
      <c r="A44" s="20">
        <f>A43+1</f>
        <v>3</v>
      </c>
      <c r="B44" s="44"/>
      <c r="C44" s="60"/>
      <c r="D44" s="60"/>
      <c r="E44" s="79"/>
      <c r="F44" s="72">
        <f>IF(C45=0,C44-$C$42,C44-C45)</f>
        <v>0</v>
      </c>
      <c r="G44" s="72">
        <f>IF(D45=0,D44-$D$42,D44-D45)</f>
        <v>0</v>
      </c>
      <c r="H44" s="76" t="str">
        <f>IF(G44=0,IF(F44&gt;0,"South","North"),"")</f>
        <v>North</v>
      </c>
      <c r="I44" s="76">
        <f>IF(H44="North",2,IF(H44="",0,0))</f>
        <v>2</v>
      </c>
      <c r="J44" s="76" t="str">
        <f>IF(F44=0,IF(G44&gt;0,"West","East"),"")</f>
        <v>East</v>
      </c>
      <c r="K44" s="76">
        <f>IF(J44="West",1,IF(J44="",0,3))</f>
        <v>3</v>
      </c>
      <c r="L44" s="76" t="str">
        <f>H44&amp;J44</f>
        <v>NorthEast</v>
      </c>
      <c r="M44" s="22">
        <f>SQRT(F44^2+G44^2)</f>
        <v>0</v>
      </c>
      <c r="N44" s="22">
        <f>IF(F44=0,,ATAN(G44/F44))</f>
        <v>0</v>
      </c>
      <c r="O44" s="22">
        <f>ABS(DEGREES(N44))</f>
        <v>0</v>
      </c>
      <c r="P44" s="24" t="str">
        <f>TEXT(INT(O44),"00")</f>
        <v>00</v>
      </c>
      <c r="Q44" s="25" t="str">
        <f>TEXT((O44-P44)*60,"00")</f>
        <v>00</v>
      </c>
      <c r="R44" s="23" t="str">
        <f>IF(L44="",IF(F44&gt;0,"S","N"),"")</f>
        <v/>
      </c>
      <c r="S44" s="25" t="str">
        <f>IF(L44="",IF(INT(Q44)=60,INT(P44+1),P44),"due")</f>
        <v>due</v>
      </c>
      <c r="T44" s="25" t="str">
        <f>IF(L44="",IF(INT(Q44)=60,"00",Q44),L44)</f>
        <v>NorthEast</v>
      </c>
      <c r="U44" s="24" t="str">
        <f>IF(L44="",IF(G44&gt;0,"W","E"),"")</f>
        <v/>
      </c>
      <c r="V44" s="44"/>
      <c r="W44" s="22">
        <f>IF(S44="due",90*(I44+K44),S44+T44/60)</f>
        <v>450</v>
      </c>
      <c r="X44" s="22">
        <f>IF(R44="",W44,IF(R44="N",IF(U44="E",180+W44,180-W44),IF(U44="E",360-W44,W44)))</f>
        <v>450</v>
      </c>
      <c r="Y44" s="22">
        <f>RADIANS(X44)</f>
        <v>7.8539816339744828</v>
      </c>
      <c r="Z44" s="64"/>
      <c r="AA44" s="58">
        <f>-M44*COS(Y44)</f>
        <v>0</v>
      </c>
      <c r="AB44" s="58">
        <f>-M44*SIN(Y44)</f>
        <v>0</v>
      </c>
      <c r="AC44" s="64"/>
      <c r="AD44" s="82" t="e">
        <f>$AA$40/$M$40*M44</f>
        <v>#DIV/0!</v>
      </c>
      <c r="AE44" s="82" t="e">
        <f>$AB$40/$M$40*M44</f>
        <v>#DIV/0!</v>
      </c>
      <c r="AF44" s="22" t="e">
        <f>AA44-AD44</f>
        <v>#DIV/0!</v>
      </c>
      <c r="AG44" s="22" t="e">
        <f>AB44-AE44</f>
        <v>#DIV/0!</v>
      </c>
      <c r="AH44" s="64"/>
      <c r="AI44" s="25">
        <f>A44</f>
        <v>3</v>
      </c>
      <c r="AJ44" s="82" t="e">
        <f t="shared" si="1"/>
        <v>#DIV/0!</v>
      </c>
      <c r="AK44" s="82" t="e">
        <f t="shared" si="1"/>
        <v>#DIV/0!</v>
      </c>
      <c r="AL44" s="66"/>
      <c r="AM44" s="9" t="str">
        <f>IF(A45=0,A44&amp;" - 1",A44&amp;" - "&amp;A45)</f>
        <v>3 - 1</v>
      </c>
      <c r="AN44" s="18">
        <f>AN43+F43+F44</f>
        <v>0</v>
      </c>
      <c r="AO44" s="18">
        <f>AN44*G44</f>
        <v>0</v>
      </c>
      <c r="AP44" s="9" t="str">
        <f>D44&amp;","&amp;C44</f>
        <v>,</v>
      </c>
    </row>
    <row r="45" spans="1:44" s="46" customFormat="1">
      <c r="A45" s="28"/>
      <c r="B45" s="28"/>
      <c r="F45" s="47"/>
      <c r="G45" s="47"/>
      <c r="H45" s="47"/>
      <c r="I45" s="48"/>
      <c r="J45" s="48"/>
      <c r="K45" s="48"/>
      <c r="L45" s="28"/>
      <c r="M45" s="50"/>
      <c r="N45" s="48"/>
      <c r="O45" s="49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I45" s="47"/>
      <c r="AJ45" s="47"/>
    </row>
    <row r="46" spans="1:44" s="46" customFormat="1">
      <c r="A46" s="28"/>
      <c r="B46" s="28"/>
      <c r="F46" s="47"/>
      <c r="G46" s="47"/>
      <c r="H46" s="47"/>
      <c r="I46" s="48"/>
      <c r="J46" s="48"/>
      <c r="K46" s="48"/>
      <c r="L46" s="28"/>
      <c r="M46" s="50"/>
      <c r="N46" s="48"/>
      <c r="O46" s="49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I46" s="47"/>
      <c r="AJ46" s="47"/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1">
    <mergeCell ref="C7:D7"/>
  </mergeCells>
  <phoneticPr fontId="6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AS47"/>
  <sheetViews>
    <sheetView topLeftCell="A18" workbookViewId="0">
      <selection activeCell="D18" sqref="D18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11" t="s">
        <v>48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  <c r="Q1" s="111"/>
      <c r="R1" s="111"/>
      <c r="S1" s="111"/>
      <c r="T1" s="111"/>
      <c r="U1" s="111"/>
      <c r="V1" s="111"/>
      <c r="W1" s="111"/>
      <c r="X1" s="111"/>
      <c r="Y1" s="111"/>
      <c r="Z1" s="111"/>
      <c r="AA1" s="111"/>
      <c r="AB1" s="111"/>
      <c r="AC1" s="111"/>
      <c r="AD1" s="111"/>
      <c r="AE1" s="111"/>
      <c r="AF1" s="111"/>
      <c r="AG1" s="111"/>
      <c r="AH1" s="111"/>
      <c r="AI1" s="111"/>
      <c r="AJ1" s="111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09" t="s">
        <v>69</v>
      </c>
      <c r="D7" s="110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09" t="s">
        <v>70</v>
      </c>
      <c r="D8" s="110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09" t="s">
        <v>59</v>
      </c>
      <c r="D9" s="110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09" t="s">
        <v>60</v>
      </c>
      <c r="D10" s="110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09" t="s">
        <v>61</v>
      </c>
      <c r="D11" s="110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09" t="s">
        <v>62</v>
      </c>
      <c r="D12" s="110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09" t="s">
        <v>63</v>
      </c>
      <c r="D13" s="110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09" t="s">
        <v>64</v>
      </c>
      <c r="D14" s="110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09" t="s">
        <v>65</v>
      </c>
      <c r="D15" s="110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09" t="s">
        <v>71</v>
      </c>
      <c r="D16" s="110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09" t="s">
        <v>72</v>
      </c>
      <c r="D19" s="110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73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4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12" t="s">
        <v>16</v>
      </c>
      <c r="B28" s="112"/>
      <c r="C28" s="33">
        <f>ABS(SUM(AO42:AO65536))</f>
        <v>1629.9499999997706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16" t="s">
        <v>17</v>
      </c>
      <c r="B29" s="116"/>
      <c r="C29" s="32">
        <f>ABS(C28/2)</f>
        <v>814.97499999988531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16">
        <f>SQRT(AA40^2+AB40^2)</f>
        <v>3.2620818155629262E-3</v>
      </c>
      <c r="C32" s="116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0">
        <f>M40/B32</f>
        <v>40623.499362409413</v>
      </c>
      <c r="C33" s="120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16" t="str">
        <f>"1 : "&amp;TEXT(B35,"00")</f>
        <v>1 : 41000</v>
      </c>
      <c r="C34" s="116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19">
        <f>ROUND(B33,2-LEN(INT(B33)))</f>
        <v>41000</v>
      </c>
      <c r="C35" s="119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7" t="s">
        <v>9</v>
      </c>
      <c r="B38" s="88"/>
      <c r="C38" s="125" t="s">
        <v>7</v>
      </c>
      <c r="D38" s="125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6" t="s">
        <v>8</v>
      </c>
      <c r="N38" s="126"/>
      <c r="O38" s="126"/>
      <c r="P38" s="126"/>
      <c r="Q38" s="126"/>
      <c r="R38" s="126"/>
      <c r="S38" s="126"/>
      <c r="T38" s="126"/>
      <c r="U38" s="126"/>
      <c r="V38" s="127"/>
      <c r="W38" s="59"/>
      <c r="X38" s="59" t="s">
        <v>33</v>
      </c>
      <c r="Y38" s="59" t="s">
        <v>34</v>
      </c>
      <c r="Z38" s="80"/>
      <c r="AA38" s="117" t="s">
        <v>30</v>
      </c>
      <c r="AB38" s="117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3" t="s">
        <v>55</v>
      </c>
      <c r="AK38" s="115"/>
      <c r="AL38" s="65"/>
      <c r="AM38" s="113" t="s">
        <v>18</v>
      </c>
      <c r="AN38" s="114"/>
      <c r="AO38" s="115"/>
      <c r="AP38" s="121" t="s">
        <v>56</v>
      </c>
    </row>
    <row r="39" spans="1:44">
      <c r="A39" s="118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3" t="s">
        <v>21</v>
      </c>
      <c r="O39" s="114"/>
      <c r="P39" s="114"/>
      <c r="Q39" s="115"/>
      <c r="R39" s="113" t="s">
        <v>24</v>
      </c>
      <c r="S39" s="114"/>
      <c r="T39" s="114"/>
      <c r="U39" s="115"/>
      <c r="V39" s="128"/>
      <c r="W39" s="59"/>
      <c r="X39" s="59"/>
      <c r="Y39" s="59"/>
      <c r="Z39" s="81"/>
      <c r="AA39" s="118"/>
      <c r="AB39" s="118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21"/>
    </row>
    <row r="40" spans="1:44" s="11" customFormat="1">
      <c r="A40" s="122" t="s">
        <v>25</v>
      </c>
      <c r="B40" s="123"/>
      <c r="C40" s="123"/>
      <c r="D40" s="123"/>
      <c r="E40" s="123"/>
      <c r="F40" s="123"/>
      <c r="G40" s="123"/>
      <c r="H40" s="123"/>
      <c r="I40" s="123"/>
      <c r="J40" s="123"/>
      <c r="K40" s="123"/>
      <c r="L40" s="124"/>
      <c r="M40" s="51">
        <f>SUM(M42:M65536)</f>
        <v>132.51717855464787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3.2178920859351479E-3</v>
      </c>
      <c r="AB40" s="91">
        <f>SUM(AB42:AB65536)</f>
        <v>5.3511521628735181E-4</v>
      </c>
      <c r="AC40" s="91"/>
      <c r="AD40" s="91">
        <f>SUM(AD42:AD65536)</f>
        <v>3.2178920859351479E-3</v>
      </c>
      <c r="AE40" s="91">
        <f>SUM(AE42:AE65536)</f>
        <v>5.3511521628735181E-4</v>
      </c>
      <c r="AF40" s="91">
        <f>SUM(AF42:AF65536)</f>
        <v>0</v>
      </c>
      <c r="AG40" s="91">
        <f>SUM(AG42:AG65536)</f>
        <v>0</v>
      </c>
      <c r="AH40" s="92"/>
      <c r="AI40" s="93">
        <v>1</v>
      </c>
      <c r="AJ40" s="92">
        <f>AJ44+AF44</f>
        <v>717557.15101197863</v>
      </c>
      <c r="AK40" s="92">
        <f>AK44+AG44</f>
        <v>458837.86697331205</v>
      </c>
      <c r="AL40" s="92"/>
      <c r="AM40" s="51"/>
      <c r="AN40" s="57"/>
      <c r="AO40" s="52"/>
      <c r="AP40" s="103"/>
    </row>
    <row r="41" spans="1:44">
      <c r="A41" s="34" t="str">
        <f>IF(A22=0, " ",  A22)</f>
        <v>BLLM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3636.0999999999767</v>
      </c>
      <c r="G41" s="72">
        <f>IF(D42=0,D41-$D$41,D41-D42)</f>
        <v>3572.8199999999488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5097.6726025118041</v>
      </c>
      <c r="N41" s="36">
        <f>IF(F41=0,,ATAN(G41/F41))</f>
        <v>0.77662037494100644</v>
      </c>
      <c r="O41" s="36">
        <f>ABS(DEGREES(N41))</f>
        <v>44.497069767987227</v>
      </c>
      <c r="P41" s="37" t="str">
        <f>TEXT(INT(O41),"00")</f>
        <v>44</v>
      </c>
      <c r="Q41" s="38" t="str">
        <f>TEXT((O41-P41)*60,"00")</f>
        <v>30</v>
      </c>
      <c r="R41" s="39" t="str">
        <f>IF(L41="",IF(F41&gt;0,"S","N"),"")</f>
        <v>S</v>
      </c>
      <c r="S41" s="25" t="str">
        <f>IF(L41="",IF(INT(Q41)=60,INT(P41+1),P41),"due")</f>
        <v>44</v>
      </c>
      <c r="T41" s="38" t="str">
        <f>IF(L41="",IF(INT(Q41)=60,"00",Q41),L41)</f>
        <v>30</v>
      </c>
      <c r="U41" s="40" t="str">
        <f>IF(L41="",IF(G41&gt;0,"W","E"),"")</f>
        <v>W</v>
      </c>
      <c r="V41" s="41"/>
      <c r="W41" s="22">
        <f>IF(S41="due",90*(I41+K41),S41+T41/60)</f>
        <v>44.5</v>
      </c>
      <c r="X41" s="22">
        <f>IF(R41="",W41,IF(R41="N",IF(U41="E",180+W41,180-W41),IF(U41="E",360-W41,W41)))</f>
        <v>44.5</v>
      </c>
      <c r="Y41" s="22">
        <f>RADIANS(X41)</f>
        <v>0.77667151713747662</v>
      </c>
      <c r="Z41" s="64"/>
      <c r="AA41" s="58">
        <f>-M41*COS(Y41)</f>
        <v>-3635.9172733825098</v>
      </c>
      <c r="AB41" s="58">
        <f>-M41*SIN(Y41)</f>
        <v>-3573.0059534680549</v>
      </c>
      <c r="AC41" s="64"/>
      <c r="AD41" s="22">
        <v>0</v>
      </c>
      <c r="AE41" s="22">
        <v>0</v>
      </c>
      <c r="AF41" s="22">
        <f t="shared" ref="AF41:AG43" si="0">AA41-AD41</f>
        <v>-3635.9172733825098</v>
      </c>
      <c r="AG41" s="22">
        <f t="shared" si="0"/>
        <v>-3573.0059534680549</v>
      </c>
      <c r="AH41" s="63"/>
      <c r="AI41" s="36" t="str">
        <f>A41</f>
        <v>BLLM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- 1</v>
      </c>
      <c r="AN41" s="42"/>
      <c r="AO41" s="43"/>
      <c r="AP41" s="9"/>
    </row>
    <row r="42" spans="1:44">
      <c r="A42" s="20">
        <v>1</v>
      </c>
      <c r="B42" s="44"/>
      <c r="C42" s="60">
        <v>717592.52</v>
      </c>
      <c r="D42" s="60">
        <v>458877.4</v>
      </c>
      <c r="E42" s="79"/>
      <c r="F42" s="72">
        <f>IF(C43=0,C42-$C$42,C42-C43)</f>
        <v>14.17000000004191</v>
      </c>
      <c r="G42" s="72">
        <f>IF(D43=0,D42-$D$42,D42-D43)</f>
        <v>-12.690000000002328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19.021698136634566</v>
      </c>
      <c r="N42" s="36">
        <f>IF(F42=0,,ATAN(G42/F42))</f>
        <v>-0.73035330378073149</v>
      </c>
      <c r="O42" s="36">
        <f>ABS(DEGREES(N42))</f>
        <v>41.846161860072023</v>
      </c>
      <c r="P42" s="37" t="str">
        <f>TEXT(INT(O42),"00")</f>
        <v>41</v>
      </c>
      <c r="Q42" s="38" t="str">
        <f>TEXT((O42-P42)*60,"00")</f>
        <v>51</v>
      </c>
      <c r="R42" s="39" t="str">
        <f>IF(L42="",IF(F42&gt;0,"S","N"),"")</f>
        <v>S</v>
      </c>
      <c r="S42" s="25" t="str">
        <f>IF(L42="",IF(INT(Q42)=60,INT(P42+1),P42),"due")</f>
        <v>41</v>
      </c>
      <c r="T42" s="38" t="str">
        <f>IF(L42="",IF(INT(Q42)=60,"00",Q42),L42)</f>
        <v>51</v>
      </c>
      <c r="U42" s="40" t="str">
        <f>IF(L42="",IF(G42&gt;0,"W","E"),"")</f>
        <v>E</v>
      </c>
      <c r="V42" s="44"/>
      <c r="W42" s="22">
        <f>IF(S42="due",90*(I42+K42),S42+T42/60)</f>
        <v>41.85</v>
      </c>
      <c r="X42" s="22">
        <f>IF(R42="",W42,IF(R42="N",IF(U42="E",180+W42,180-W42),IF(U42="E",360-W42,W42)))</f>
        <v>318.14999999999998</v>
      </c>
      <c r="Y42" s="22">
        <f>RADIANS(X42)</f>
        <v>5.5527650152199595</v>
      </c>
      <c r="Z42" s="64"/>
      <c r="AA42" s="58">
        <f>-M42*COS(Y42)</f>
        <v>-14.169149888259019</v>
      </c>
      <c r="AB42" s="58">
        <f>-M42*SIN(Y42)</f>
        <v>12.690949194023919</v>
      </c>
      <c r="AC42" s="64"/>
      <c r="AD42" s="82">
        <f>$AA$40/$M$40*M42</f>
        <v>4.6190065742821284E-4</v>
      </c>
      <c r="AE42" s="82">
        <f>$AB$40/$M$40*M42</f>
        <v>7.6811174396837582E-5</v>
      </c>
      <c r="AF42" s="22">
        <f t="shared" si="0"/>
        <v>-14.169611788916447</v>
      </c>
      <c r="AG42" s="22">
        <f t="shared" si="0"/>
        <v>12.690872382849522</v>
      </c>
      <c r="AH42" s="63"/>
      <c r="AI42" s="38">
        <f>A42</f>
        <v>1</v>
      </c>
      <c r="AJ42" s="82">
        <f t="shared" ref="AJ42:AK44" si="1">AJ41+AF41</f>
        <v>717592.70272661746</v>
      </c>
      <c r="AK42" s="82">
        <f t="shared" si="1"/>
        <v>458877.21404653194</v>
      </c>
      <c r="AL42" s="66"/>
      <c r="AM42" s="9" t="str">
        <f>IF(A43=0,A42&amp;" - 1",A42&amp;" - "&amp;A43)</f>
        <v>1 - 2</v>
      </c>
      <c r="AN42" s="18">
        <f>F42</f>
        <v>14.17000000004191</v>
      </c>
      <c r="AO42" s="18">
        <f>AN42*G42</f>
        <v>-179.81730000056481</v>
      </c>
      <c r="AP42" s="9" t="str">
        <f>D42&amp;","&amp;C42</f>
        <v>458877.4,717592.52</v>
      </c>
    </row>
    <row r="43" spans="1:44">
      <c r="A43" s="20">
        <f>A42+1</f>
        <v>2</v>
      </c>
      <c r="B43" s="44"/>
      <c r="C43" s="60">
        <v>717578.35</v>
      </c>
      <c r="D43" s="60">
        <v>458890.09</v>
      </c>
      <c r="E43" s="79"/>
      <c r="F43" s="72">
        <f>IF(C44=0,C43-$C$42,C43-C44)</f>
        <v>21.809999999939464</v>
      </c>
      <c r="G43" s="72">
        <f>IF(D44=0,D43-$D$42,D43-D44)</f>
        <v>24.03000000002794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32.451764204719325</v>
      </c>
      <c r="N43" s="36">
        <f>IF(F43=0,,ATAN(G43/F43))</f>
        <v>0.83378967393763592</v>
      </c>
      <c r="O43" s="36">
        <f>ABS(DEGREES(N43))</f>
        <v>47.772629318215593</v>
      </c>
      <c r="P43" s="37" t="str">
        <f>TEXT(INT(O43),"00")</f>
        <v>47</v>
      </c>
      <c r="Q43" s="38" t="str">
        <f>TEXT((O43-P43)*60,"00")</f>
        <v>46</v>
      </c>
      <c r="R43" s="39" t="str">
        <f>IF(L43="",IF(F43&gt;0,"S","N"),"")</f>
        <v>S</v>
      </c>
      <c r="S43" s="25" t="str">
        <f>IF(L43="",IF(INT(Q43)=60,INT(P43+1),P43),"due")</f>
        <v>47</v>
      </c>
      <c r="T43" s="38" t="str">
        <f>IF(L43="",IF(INT(Q43)=60,"00",Q43),L43)</f>
        <v>46</v>
      </c>
      <c r="U43" s="40" t="str">
        <f>IF(L43="",IF(G43&gt;0,"W","E"),"")</f>
        <v>W</v>
      </c>
      <c r="V43" s="44"/>
      <c r="W43" s="22">
        <f>IF(S43="due",90*(I43+K43),S43+T43/60)</f>
        <v>47.766666666666666</v>
      </c>
      <c r="X43" s="22">
        <f>IF(R43="",W43,IF(R43="N",IF(U43="E",180+W43,180-W43),IF(U43="E",360-W43,W43)))</f>
        <v>47.766666666666666</v>
      </c>
      <c r="Y43" s="22">
        <f>RADIANS(X43)</f>
        <v>0.83368560603595809</v>
      </c>
      <c r="Z43" s="64"/>
      <c r="AA43" s="58">
        <f>-M43*COS(Y43)</f>
        <v>-21.812500633509728</v>
      </c>
      <c r="AB43" s="58">
        <f>-M43*SIN(Y43)</f>
        <v>-24.027730148972463</v>
      </c>
      <c r="AC43" s="64"/>
      <c r="AD43" s="82">
        <f>$AA$40/$M$40*M43</f>
        <v>7.8802066530518676E-4</v>
      </c>
      <c r="AE43" s="82">
        <f>$AB$40/$M$40*M43</f>
        <v>1.3104288070963803E-4</v>
      </c>
      <c r="AF43" s="22">
        <f t="shared" si="0"/>
        <v>-21.813288654175032</v>
      </c>
      <c r="AG43" s="22">
        <f t="shared" si="0"/>
        <v>-24.027861191853173</v>
      </c>
      <c r="AH43" s="64"/>
      <c r="AI43" s="25">
        <f>A43</f>
        <v>2</v>
      </c>
      <c r="AJ43" s="82">
        <f t="shared" si="1"/>
        <v>717578.53311482852</v>
      </c>
      <c r="AK43" s="82">
        <f t="shared" si="1"/>
        <v>458889.90491891478</v>
      </c>
      <c r="AL43" s="66"/>
      <c r="AM43" s="9" t="str">
        <f>IF(A44=0,A43&amp;" - 1",A43&amp;" - "&amp;A44)</f>
        <v>2 - 3</v>
      </c>
      <c r="AN43" s="18">
        <f>AN42+F42+F43</f>
        <v>50.150000000023283</v>
      </c>
      <c r="AO43" s="18">
        <f>AN43*G43</f>
        <v>1205.1045000019606</v>
      </c>
      <c r="AP43" s="9" t="str">
        <f>D43&amp;","&amp;C43</f>
        <v>458890.09,717578.35</v>
      </c>
    </row>
    <row r="44" spans="1:44" s="46" customFormat="1">
      <c r="A44" s="20">
        <f>A43+1</f>
        <v>3</v>
      </c>
      <c r="B44" s="44"/>
      <c r="C44" s="60">
        <v>717556.54</v>
      </c>
      <c r="D44" s="60">
        <v>458866.06</v>
      </c>
      <c r="E44" s="79"/>
      <c r="F44" s="72">
        <f>IF(C45=0,C44-$C$42,C44-C45)</f>
        <v>-0.42999999993480742</v>
      </c>
      <c r="G44" s="72">
        <f>IF(D45=0,D44-$D$42,D44-D45)</f>
        <v>28.010000000009313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28.013300412490949</v>
      </c>
      <c r="N44" s="22">
        <f>IF(F44=0,,ATAN(G44/F44))</f>
        <v>-1.5554458724983358</v>
      </c>
      <c r="O44" s="22">
        <f>ABS(DEGREES(N44))</f>
        <v>89.120483755198606</v>
      </c>
      <c r="P44" s="24" t="str">
        <f>TEXT(INT(O44),"00")</f>
        <v>89</v>
      </c>
      <c r="Q44" s="25" t="str">
        <f>TEXT((O44-P44)*60,"00")</f>
        <v>07</v>
      </c>
      <c r="R44" s="23" t="str">
        <f>IF(L44="",IF(F44&gt;0,"S","N"),"")</f>
        <v>N</v>
      </c>
      <c r="S44" s="25" t="str">
        <f>IF(L44="",IF(INT(Q44)=60,INT(P44+1),P44),"due")</f>
        <v>89</v>
      </c>
      <c r="T44" s="25" t="str">
        <f>IF(L44="",IF(INT(Q44)=60,"00",Q44),L44)</f>
        <v>07</v>
      </c>
      <c r="U44" s="24" t="str">
        <f>IF(L44="",IF(G44&gt;0,"W","E"),"")</f>
        <v>W</v>
      </c>
      <c r="V44" s="44"/>
      <c r="W44" s="22">
        <f>IF(S44="due",90*(I44+K44),S44+T44/60)</f>
        <v>89.11666666666666</v>
      </c>
      <c r="X44" s="22">
        <f>IF(R44="",W44,IF(R44="N",IF(U44="E",180+W44,180-W44),IF(U44="E",360-W44,W44)))</f>
        <v>90.88333333333334</v>
      </c>
      <c r="Y44" s="22">
        <f>RADIANS(X44)</f>
        <v>1.58621340185418</v>
      </c>
      <c r="Z44" s="64"/>
      <c r="AA44" s="58">
        <f>-M44*COS(Y44)</f>
        <v>0.43186604654304517</v>
      </c>
      <c r="AB44" s="58">
        <f>-M44*SIN(Y44)</f>
        <v>-28.009971290922611</v>
      </c>
      <c r="AC44" s="64"/>
      <c r="AD44" s="82">
        <f>$AA$40/$M$40*M44</f>
        <v>6.8024220468220018E-4</v>
      </c>
      <c r="AE44" s="82">
        <f>$AB$40/$M$40*M44</f>
        <v>1.1312000053616362E-4</v>
      </c>
      <c r="AF44" s="22">
        <f>AA44-AD44</f>
        <v>0.43118580433836295</v>
      </c>
      <c r="AG44" s="22">
        <f>AB44-AE44</f>
        <v>-28.010084410923145</v>
      </c>
      <c r="AH44" s="64"/>
      <c r="AI44" s="25">
        <f>A44</f>
        <v>3</v>
      </c>
      <c r="AJ44" s="82">
        <f t="shared" si="1"/>
        <v>717556.71982617432</v>
      </c>
      <c r="AK44" s="82">
        <f t="shared" si="1"/>
        <v>458865.87705772294</v>
      </c>
      <c r="AL44" s="66"/>
      <c r="AM44" s="9" t="str">
        <f>IF(A45=0,A44&amp;" - 1",A44&amp;" - "&amp;A45)</f>
        <v>3 - 4</v>
      </c>
      <c r="AN44" s="18">
        <f>AN43+F43+F44</f>
        <v>71.53000000002794</v>
      </c>
      <c r="AO44" s="18">
        <f>AN44*G44</f>
        <v>2003.5553000014488</v>
      </c>
      <c r="AP44" s="9" t="str">
        <f>D44&amp;","&amp;C44</f>
        <v>458866.06,717556.54</v>
      </c>
    </row>
    <row r="45" spans="1:44" s="46" customFormat="1">
      <c r="A45" s="20">
        <f>A44+1</f>
        <v>4</v>
      </c>
      <c r="B45" s="44"/>
      <c r="C45" s="60">
        <v>717556.97</v>
      </c>
      <c r="D45" s="60">
        <v>458838.05</v>
      </c>
      <c r="E45" s="79"/>
      <c r="F45" s="72">
        <f>IF(C46=0,C45-$C$42,C45-C46)</f>
        <v>-35.550000000046566</v>
      </c>
      <c r="G45" s="72">
        <f>IF(D46=0,D45-$D$42,D45-D46)</f>
        <v>-39.350000000034925</v>
      </c>
      <c r="H45" s="76" t="str">
        <f>IF(G45=0,IF(F45&gt;0,"South","North"),"")</f>
        <v/>
      </c>
      <c r="I45" s="76">
        <f>IF(H45="North",2,IF(H45="",0,0))</f>
        <v>0</v>
      </c>
      <c r="J45" s="76" t="str">
        <f>IF(F45=0,IF(G45&gt;0,"West","East"),"")</f>
        <v/>
      </c>
      <c r="K45" s="76">
        <f>IF(J45="West",1,IF(J45="",0,3))</f>
        <v>0</v>
      </c>
      <c r="L45" s="76" t="str">
        <f>H45&amp;J45</f>
        <v/>
      </c>
      <c r="M45" s="22">
        <f>SQRT(F45^2+G45^2)</f>
        <v>53.030415800803027</v>
      </c>
      <c r="N45" s="22">
        <f>IF(F45=0,,ATAN(G45/F45))</f>
        <v>0.83608901337626396</v>
      </c>
      <c r="O45" s="22">
        <f>ABS(DEGREES(N45))</f>
        <v>47.904371763716959</v>
      </c>
      <c r="P45" s="24" t="str">
        <f>TEXT(INT(O45),"00")</f>
        <v>47</v>
      </c>
      <c r="Q45" s="25" t="str">
        <f>TEXT((O45-P45)*60,"00")</f>
        <v>54</v>
      </c>
      <c r="R45" s="23" t="str">
        <f>IF(L45="",IF(F45&gt;0,"S","N"),"")</f>
        <v>N</v>
      </c>
      <c r="S45" s="25" t="str">
        <f>IF(L45="",IF(INT(Q45)=60,INT(P45+1),P45),"due")</f>
        <v>47</v>
      </c>
      <c r="T45" s="25" t="str">
        <f>IF(L45="",IF(INT(Q45)=60,"00",Q45),L45)</f>
        <v>54</v>
      </c>
      <c r="U45" s="24" t="str">
        <f>IF(L45="",IF(G45&gt;0,"W","E"),"")</f>
        <v>E</v>
      </c>
      <c r="V45" s="44"/>
      <c r="W45" s="22">
        <f>IF(S45="due",90*(I45+K45),S45+T45/60)</f>
        <v>47.9</v>
      </c>
      <c r="X45" s="22">
        <f>IF(R45="",W45,IF(R45="N",IF(U45="E",180+W45,180-W45),IF(U45="E",360-W45,W45)))</f>
        <v>227.9</v>
      </c>
      <c r="Y45" s="22">
        <f>RADIANS(X45)</f>
        <v>3.9776053652950774</v>
      </c>
      <c r="Z45" s="64"/>
      <c r="AA45" s="58">
        <f>-M45*COS(Y45)</f>
        <v>35.553002367311642</v>
      </c>
      <c r="AB45" s="58">
        <f>-M45*SIN(Y45)</f>
        <v>39.347287361087446</v>
      </c>
      <c r="AC45" s="64"/>
      <c r="AD45" s="82">
        <f>$AA$40/$M$40*M45</f>
        <v>1.2877285585195482E-3</v>
      </c>
      <c r="AE45" s="82">
        <f>$AB$40/$M$40*M45</f>
        <v>2.1414116064471259E-4</v>
      </c>
      <c r="AF45" s="22">
        <f>AA45-AD45</f>
        <v>35.551714638753126</v>
      </c>
      <c r="AG45" s="22">
        <f>AB45-AE45</f>
        <v>39.347073219926799</v>
      </c>
      <c r="AH45" s="64"/>
      <c r="AI45" s="25">
        <f>A45</f>
        <v>4</v>
      </c>
      <c r="AJ45" s="82">
        <f t="shared" ref="AJ45" si="2">AJ44+AF44</f>
        <v>717557.15101197863</v>
      </c>
      <c r="AK45" s="82">
        <f t="shared" ref="AK45" si="3">AK44+AG44</f>
        <v>458837.86697331205</v>
      </c>
      <c r="AL45" s="66"/>
      <c r="AM45" s="9" t="str">
        <f>IF(A46=0,A45&amp;" - 1",A45&amp;" - "&amp;A46)</f>
        <v>4 - 1</v>
      </c>
      <c r="AN45" s="18">
        <f>AN44+F44+F45</f>
        <v>35.550000000046566</v>
      </c>
      <c r="AO45" s="18">
        <f>AN45*G45</f>
        <v>-1398.892500003074</v>
      </c>
      <c r="AP45" s="9" t="str">
        <f>D45&amp;","&amp;C45</f>
        <v>458838.05,717556.97</v>
      </c>
    </row>
    <row r="46" spans="1:44" s="46" customFormat="1">
      <c r="A46" s="28"/>
      <c r="B46" s="28"/>
      <c r="F46" s="47"/>
      <c r="G46" s="47"/>
      <c r="H46" s="47"/>
      <c r="I46" s="48"/>
      <c r="J46" s="48"/>
      <c r="K46" s="48"/>
      <c r="L46" s="28"/>
      <c r="M46" s="50"/>
      <c r="N46" s="48"/>
      <c r="O46" s="49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I46" s="47"/>
      <c r="AJ46" s="47"/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  <mergeCell ref="AP38:AP39"/>
    <mergeCell ref="N39:Q39"/>
    <mergeCell ref="M38:U38"/>
    <mergeCell ref="B34:C34"/>
    <mergeCell ref="B35:C35"/>
    <mergeCell ref="A40:L40"/>
    <mergeCell ref="A28:B28"/>
    <mergeCell ref="A29:B29"/>
    <mergeCell ref="B32:C32"/>
    <mergeCell ref="B33:C33"/>
    <mergeCell ref="AM38:AO38"/>
    <mergeCell ref="R39:U39"/>
    <mergeCell ref="V38:V39"/>
    <mergeCell ref="AA38:AA39"/>
    <mergeCell ref="AB38:AB39"/>
  </mergeCells>
  <phoneticPr fontId="6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AS47"/>
  <sheetViews>
    <sheetView topLeftCell="A17" workbookViewId="0">
      <selection activeCell="D45" sqref="D45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11" t="s">
        <v>48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  <c r="Q1" s="111"/>
      <c r="R1" s="111"/>
      <c r="S1" s="111"/>
      <c r="T1" s="111"/>
      <c r="U1" s="111"/>
      <c r="V1" s="111"/>
      <c r="W1" s="111"/>
      <c r="X1" s="111"/>
      <c r="Y1" s="111"/>
      <c r="Z1" s="111"/>
      <c r="AA1" s="111"/>
      <c r="AB1" s="111"/>
      <c r="AC1" s="111"/>
      <c r="AD1" s="111"/>
      <c r="AE1" s="111"/>
      <c r="AF1" s="111"/>
      <c r="AG1" s="111"/>
      <c r="AH1" s="111"/>
      <c r="AI1" s="111"/>
      <c r="AJ1" s="111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09" t="s">
        <v>74</v>
      </c>
      <c r="D7" s="110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09" t="s">
        <v>75</v>
      </c>
      <c r="D8" s="110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09" t="s">
        <v>59</v>
      </c>
      <c r="D9" s="110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09" t="s">
        <v>60</v>
      </c>
      <c r="D10" s="110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09" t="s">
        <v>76</v>
      </c>
      <c r="D11" s="110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09" t="s">
        <v>62</v>
      </c>
      <c r="D12" s="110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09" t="s">
        <v>63</v>
      </c>
      <c r="D13" s="110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09" t="s">
        <v>64</v>
      </c>
      <c r="D14" s="110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09" t="s">
        <v>65</v>
      </c>
      <c r="D15" s="110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09" t="s">
        <v>66</v>
      </c>
      <c r="D16" s="110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09" t="s">
        <v>77</v>
      </c>
      <c r="D19" s="110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3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12" t="s">
        <v>16</v>
      </c>
      <c r="B28" s="112"/>
      <c r="C28" s="33">
        <f>ABS(SUM(AO42:AO65536))</f>
        <v>970.09829999767146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16" t="s">
        <v>17</v>
      </c>
      <c r="B29" s="116"/>
      <c r="C29" s="32">
        <f>ABS(C28/2)</f>
        <v>485.04914999883573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16">
        <f>SQRT(AA40^2+AB40^2)</f>
        <v>9.4514245698796746E-3</v>
      </c>
      <c r="C32" s="116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0">
        <f>M40/B32</f>
        <v>11268.810176195544</v>
      </c>
      <c r="C33" s="120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16" t="str">
        <f>"1 : "&amp;TEXT(B35,"00")</f>
        <v>1 : 11000</v>
      </c>
      <c r="C34" s="116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19">
        <f>ROUND(B33,2-LEN(INT(B33)))</f>
        <v>11000</v>
      </c>
      <c r="C35" s="119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7" t="s">
        <v>9</v>
      </c>
      <c r="B38" s="88"/>
      <c r="C38" s="125" t="s">
        <v>7</v>
      </c>
      <c r="D38" s="125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6" t="s">
        <v>8</v>
      </c>
      <c r="N38" s="126"/>
      <c r="O38" s="126"/>
      <c r="P38" s="126"/>
      <c r="Q38" s="126"/>
      <c r="R38" s="126"/>
      <c r="S38" s="126"/>
      <c r="T38" s="126"/>
      <c r="U38" s="126"/>
      <c r="V38" s="127"/>
      <c r="W38" s="59"/>
      <c r="X38" s="59" t="s">
        <v>33</v>
      </c>
      <c r="Y38" s="59" t="s">
        <v>34</v>
      </c>
      <c r="Z38" s="80"/>
      <c r="AA38" s="117" t="s">
        <v>30</v>
      </c>
      <c r="AB38" s="117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3" t="s">
        <v>55</v>
      </c>
      <c r="AK38" s="115"/>
      <c r="AL38" s="65"/>
      <c r="AM38" s="113" t="s">
        <v>18</v>
      </c>
      <c r="AN38" s="114"/>
      <c r="AO38" s="115"/>
      <c r="AP38" s="121" t="s">
        <v>56</v>
      </c>
    </row>
    <row r="39" spans="1:44">
      <c r="A39" s="118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3" t="s">
        <v>21</v>
      </c>
      <c r="O39" s="114"/>
      <c r="P39" s="114"/>
      <c r="Q39" s="115"/>
      <c r="R39" s="113" t="s">
        <v>24</v>
      </c>
      <c r="S39" s="114"/>
      <c r="T39" s="114"/>
      <c r="U39" s="115"/>
      <c r="V39" s="128"/>
      <c r="W39" s="59"/>
      <c r="X39" s="59"/>
      <c r="Y39" s="59"/>
      <c r="Z39" s="81"/>
      <c r="AA39" s="118"/>
      <c r="AB39" s="118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21"/>
    </row>
    <row r="40" spans="1:44" s="11" customFormat="1">
      <c r="A40" s="122" t="s">
        <v>25</v>
      </c>
      <c r="B40" s="123"/>
      <c r="C40" s="123"/>
      <c r="D40" s="123"/>
      <c r="E40" s="123"/>
      <c r="F40" s="123"/>
      <c r="G40" s="123"/>
      <c r="H40" s="123"/>
      <c r="I40" s="123"/>
      <c r="J40" s="123"/>
      <c r="K40" s="123"/>
      <c r="L40" s="124"/>
      <c r="M40" s="51">
        <f>SUM(M42:M65536)</f>
        <v>106.50630937260468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9.4316051495511033E-3</v>
      </c>
      <c r="AB40" s="91">
        <f>SUM(AB42:AB65536)</f>
        <v>-6.1176033140952768E-4</v>
      </c>
      <c r="AC40" s="91"/>
      <c r="AD40" s="91">
        <f>SUM(AD42:AD65536)</f>
        <v>9.4316051495511033E-3</v>
      </c>
      <c r="AE40" s="91">
        <f>SUM(AE42:AE65536)</f>
        <v>-6.1176033140952768E-4</v>
      </c>
      <c r="AF40" s="91">
        <f>SUM(AF42:AF65536)</f>
        <v>0</v>
      </c>
      <c r="AG40" s="91">
        <f>SUM(AG42:AG65536)</f>
        <v>0</v>
      </c>
      <c r="AH40" s="92"/>
      <c r="AI40" s="93">
        <v>1</v>
      </c>
      <c r="AJ40" s="92">
        <f>AJ44+AF44</f>
        <v>717578.3234511998</v>
      </c>
      <c r="AK40" s="92">
        <f>AK44+AG44</f>
        <v>458890.11722120031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3650.2700000000186</v>
      </c>
      <c r="G41" s="72">
        <f>IF(D42=0,D41-$D$41,D41-D42)</f>
        <v>3560.1299999999464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5098.92112998424</v>
      </c>
      <c r="N41" s="36">
        <f>IF(F41=0,,ATAN(G41/F41))</f>
        <v>0.77289742770915792</v>
      </c>
      <c r="O41" s="36">
        <f>ABS(DEGREES(N41))</f>
        <v>44.283760604252393</v>
      </c>
      <c r="P41" s="37" t="str">
        <f>TEXT(INT(O41),"00")</f>
        <v>44</v>
      </c>
      <c r="Q41" s="38" t="str">
        <f>TEXT((O41-P41)*60,"00")</f>
        <v>17</v>
      </c>
      <c r="R41" s="39" t="str">
        <f>IF(L41="",IF(F41&gt;0,"S","N"),"")</f>
        <v>S</v>
      </c>
      <c r="S41" s="25" t="str">
        <f>IF(L41="",IF(INT(Q41)=60,INT(P41+1),P41),"due")</f>
        <v>44</v>
      </c>
      <c r="T41" s="38" t="str">
        <f>IF(L41="",IF(INT(Q41)=60,"00",Q41),L41)</f>
        <v>17</v>
      </c>
      <c r="U41" s="40" t="str">
        <f>IF(L41="",IF(G41&gt;0,"W","E"),"")</f>
        <v>W</v>
      </c>
      <c r="V41" s="41"/>
      <c r="W41" s="22">
        <f>IF(S41="due",90*(I41+K41),S41+T41/60)</f>
        <v>44.283333333333331</v>
      </c>
      <c r="X41" s="22">
        <f>IF(R41="",W41,IF(R41="N",IF(U41="E",180+W41,180-W41),IF(U41="E",360-W41,W41)))</f>
        <v>44.283333333333331</v>
      </c>
      <c r="Y41" s="22">
        <f>RADIANS(X41)</f>
        <v>0.77288997042482221</v>
      </c>
      <c r="Z41" s="64"/>
      <c r="AA41" s="58">
        <f>-M41*COS(Y41)</f>
        <v>-3650.2965488002028</v>
      </c>
      <c r="AB41" s="58">
        <f>-M41*SIN(Y41)</f>
        <v>-3560.1027787996636</v>
      </c>
      <c r="AC41" s="64"/>
      <c r="AD41" s="22">
        <v>0</v>
      </c>
      <c r="AE41" s="22">
        <v>0</v>
      </c>
      <c r="AF41" s="22">
        <f t="shared" ref="AF41:AG43" si="0">AA41-AD41</f>
        <v>-3650.2965488002028</v>
      </c>
      <c r="AG41" s="22">
        <f t="shared" si="0"/>
        <v>-3560.1027787996636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717578.35</v>
      </c>
      <c r="D42" s="60">
        <v>458890.09</v>
      </c>
      <c r="E42" s="79"/>
      <c r="F42" s="72">
        <f>IF(C43=0,C42-$C$42,C42-C43)</f>
        <v>22.099999999976717</v>
      </c>
      <c r="G42" s="72">
        <f>IF(D43=0,D42-$D$42,D42-D43)</f>
        <v>-20.129999999946449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29.893592958973915</v>
      </c>
      <c r="N42" s="36">
        <f>IF(F42=0,,ATAN(G42/F42))</f>
        <v>-0.73878265657737241</v>
      </c>
      <c r="O42" s="36">
        <f>ABS(DEGREES(N42))</f>
        <v>42.32912819934635</v>
      </c>
      <c r="P42" s="37" t="str">
        <f>TEXT(INT(O42),"00")</f>
        <v>42</v>
      </c>
      <c r="Q42" s="38" t="str">
        <f>TEXT((O42-P42)*60,"00")</f>
        <v>20</v>
      </c>
      <c r="R42" s="39" t="str">
        <f>IF(L42="",IF(F42&gt;0,"S","N"),"")</f>
        <v>S</v>
      </c>
      <c r="S42" s="25" t="str">
        <f>IF(L42="",IF(INT(Q42)=60,INT(P42+1),P42),"due")</f>
        <v>42</v>
      </c>
      <c r="T42" s="38" t="str">
        <f>IF(L42="",IF(INT(Q42)=60,"00",Q42),L42)</f>
        <v>20</v>
      </c>
      <c r="U42" s="40" t="str">
        <f>IF(L42="",IF(G42&gt;0,"W","E"),"")</f>
        <v>E</v>
      </c>
      <c r="V42" s="44"/>
      <c r="W42" s="22">
        <f>IF(S42="due",90*(I42+K42),S42+T42/60)</f>
        <v>42.333333333333336</v>
      </c>
      <c r="X42" s="22">
        <f>IF(R42="",W42,IF(R42="N",IF(U42="E",180+W42,180-W42),IF(U42="E",360-W42,W42)))</f>
        <v>317.66666666666669</v>
      </c>
      <c r="Y42" s="22">
        <f>RADIANS(X42)</f>
        <v>5.5443292571686538</v>
      </c>
      <c r="Z42" s="64"/>
      <c r="AA42" s="58">
        <f>-M42*COS(Y42)</f>
        <v>-22.098522530638594</v>
      </c>
      <c r="AB42" s="58">
        <f>-M42*SIN(Y42)</f>
        <v>20.131621940610582</v>
      </c>
      <c r="AC42" s="64"/>
      <c r="AD42" s="82">
        <f>$AA$40/$M$40*M42</f>
        <v>2.6472099817493456E-3</v>
      </c>
      <c r="AE42" s="82">
        <f>$AB$40/$M$40*M42</f>
        <v>-1.7170545522918413E-4</v>
      </c>
      <c r="AF42" s="22">
        <f t="shared" si="0"/>
        <v>-22.101169740620342</v>
      </c>
      <c r="AG42" s="22">
        <f t="shared" si="0"/>
        <v>20.131793646065812</v>
      </c>
      <c r="AH42" s="63"/>
      <c r="AI42" s="38">
        <f>A42</f>
        <v>1</v>
      </c>
      <c r="AJ42" s="82">
        <f t="shared" ref="AJ42:AK44" si="1">AJ41+AF41</f>
        <v>717578.3234511998</v>
      </c>
      <c r="AK42" s="82">
        <f t="shared" si="1"/>
        <v>458890.11722120031</v>
      </c>
      <c r="AL42" s="66"/>
      <c r="AM42" s="9" t="str">
        <f>IF(A43=0,A42&amp;" - 1",A42&amp;" - "&amp;A43)</f>
        <v>1 - 2</v>
      </c>
      <c r="AN42" s="18">
        <f>F42</f>
        <v>22.099999999976717</v>
      </c>
      <c r="AO42" s="18">
        <f>AN42*G42</f>
        <v>-444.87299999834784</v>
      </c>
      <c r="AP42" s="9" t="str">
        <f>D42&amp;","&amp;C42</f>
        <v>458890.09,717578.35</v>
      </c>
    </row>
    <row r="43" spans="1:44">
      <c r="A43" s="20">
        <f>A42+1</f>
        <v>2</v>
      </c>
      <c r="B43" s="44"/>
      <c r="C43" s="60">
        <v>717556.25</v>
      </c>
      <c r="D43" s="60">
        <v>458910.22</v>
      </c>
      <c r="E43" s="79"/>
      <c r="F43" s="72">
        <f>IF(C44=0,C43-$C$42,C43-C44)</f>
        <v>-0.2900000000372529</v>
      </c>
      <c r="G43" s="72">
        <f>IF(D44=0,D43-$D$42,D43-D44)</f>
        <v>44.159999999974389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44.160952208911432</v>
      </c>
      <c r="N43" s="36">
        <f>IF(F43=0,,ATAN(G43/F43))</f>
        <v>-1.5642293922090449</v>
      </c>
      <c r="O43" s="36">
        <f>ABS(DEGREES(N43))</f>
        <v>89.623742363892205</v>
      </c>
      <c r="P43" s="37" t="str">
        <f>TEXT(INT(O43),"00")</f>
        <v>89</v>
      </c>
      <c r="Q43" s="38" t="str">
        <f>TEXT((O43-P43)*60,"00")</f>
        <v>37</v>
      </c>
      <c r="R43" s="39" t="str">
        <f>IF(L43="",IF(F43&gt;0,"S","N"),"")</f>
        <v>N</v>
      </c>
      <c r="S43" s="25" t="str">
        <f>IF(L43="",IF(INT(Q43)=60,INT(P43+1),P43),"due")</f>
        <v>89</v>
      </c>
      <c r="T43" s="38" t="str">
        <f>IF(L43="",IF(INT(Q43)=60,"00",Q43),L43)</f>
        <v>37</v>
      </c>
      <c r="U43" s="40" t="str">
        <f>IF(L43="",IF(G43&gt;0,"W","E"),"")</f>
        <v>W</v>
      </c>
      <c r="V43" s="44"/>
      <c r="W43" s="22">
        <f>IF(S43="due",90*(I43+K43),S43+T43/60)</f>
        <v>89.61666666666666</v>
      </c>
      <c r="X43" s="22">
        <f>IF(R43="",W43,IF(R43="N",IF(U43="E",180+W43,180-W43),IF(U43="E",360-W43,W43)))</f>
        <v>90.38333333333334</v>
      </c>
      <c r="Y43" s="22">
        <f>RADIANS(X43)</f>
        <v>1.5774867555942083</v>
      </c>
      <c r="Z43" s="64"/>
      <c r="AA43" s="58">
        <f>-M43*COS(Y43)</f>
        <v>0.29545350227840461</v>
      </c>
      <c r="AB43" s="58">
        <f>-M43*SIN(Y43)</f>
        <v>-44.159963849914448</v>
      </c>
      <c r="AC43" s="64"/>
      <c r="AD43" s="82">
        <f>$AA$40/$M$40*M43</f>
        <v>3.9106477983902677E-3</v>
      </c>
      <c r="AE43" s="82">
        <f>$AB$40/$M$40*M43</f>
        <v>-2.5365557137249699E-4</v>
      </c>
      <c r="AF43" s="22">
        <f t="shared" si="0"/>
        <v>0.29154285448001432</v>
      </c>
      <c r="AG43" s="22">
        <f t="shared" si="0"/>
        <v>-44.159710194343077</v>
      </c>
      <c r="AH43" s="64"/>
      <c r="AI43" s="25">
        <f>A43</f>
        <v>2</v>
      </c>
      <c r="AJ43" s="82">
        <f t="shared" si="1"/>
        <v>717556.22228145914</v>
      </c>
      <c r="AK43" s="82">
        <f t="shared" si="1"/>
        <v>458910.2490148464</v>
      </c>
      <c r="AL43" s="66"/>
      <c r="AM43" s="9" t="str">
        <f>IF(A44=0,A43&amp;" - 1",A43&amp;" - "&amp;A44)</f>
        <v>2 - 3</v>
      </c>
      <c r="AN43" s="18">
        <f>AN42+F42+F43</f>
        <v>43.909999999916181</v>
      </c>
      <c r="AO43" s="18">
        <f>AN43*G43</f>
        <v>1939.0655999951739</v>
      </c>
      <c r="AP43" s="9" t="str">
        <f>D43&amp;","&amp;C43</f>
        <v>458910.22,717556.25</v>
      </c>
    </row>
    <row r="44" spans="1:44" s="46" customFormat="1">
      <c r="A44" s="20">
        <f>A43+1</f>
        <v>3</v>
      </c>
      <c r="B44" s="44"/>
      <c r="C44" s="60">
        <v>717556.54</v>
      </c>
      <c r="D44" s="60">
        <v>458866.06</v>
      </c>
      <c r="E44" s="79"/>
      <c r="F44" s="72">
        <f>IF(C45=0,C44-$C$42,C44-C45)</f>
        <v>-21.809999999939464</v>
      </c>
      <c r="G44" s="72">
        <f>IF(D45=0,D44-$D$42,D44-D45)</f>
        <v>-24.03000000002794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32.451764204719325</v>
      </c>
      <c r="N44" s="22">
        <f>IF(F44=0,,ATAN(G44/F44))</f>
        <v>0.83378967393763592</v>
      </c>
      <c r="O44" s="22">
        <f>ABS(DEGREES(N44))</f>
        <v>47.772629318215593</v>
      </c>
      <c r="P44" s="24" t="str">
        <f>TEXT(INT(O44),"00")</f>
        <v>47</v>
      </c>
      <c r="Q44" s="25" t="str">
        <f>TEXT((O44-P44)*60,"00")</f>
        <v>46</v>
      </c>
      <c r="R44" s="23" t="str">
        <f>IF(L44="",IF(F44&gt;0,"S","N"),"")</f>
        <v>N</v>
      </c>
      <c r="S44" s="25" t="str">
        <f>IF(L44="",IF(INT(Q44)=60,INT(P44+1),P44),"due")</f>
        <v>47</v>
      </c>
      <c r="T44" s="25" t="str">
        <f>IF(L44="",IF(INT(Q44)=60,"00",Q44),L44)</f>
        <v>46</v>
      </c>
      <c r="U44" s="24" t="str">
        <f>IF(L44="",IF(G44&gt;0,"W","E"),"")</f>
        <v>E</v>
      </c>
      <c r="V44" s="44"/>
      <c r="W44" s="22">
        <f>IF(S44="due",90*(I44+K44),S44+T44/60)</f>
        <v>47.766666666666666</v>
      </c>
      <c r="X44" s="22">
        <f>IF(R44="",W44,IF(R44="N",IF(U44="E",180+W44,180-W44),IF(U44="E",360-W44,W44)))</f>
        <v>227.76666666666665</v>
      </c>
      <c r="Y44" s="22">
        <f>RADIANS(X44)</f>
        <v>3.975278259625751</v>
      </c>
      <c r="Z44" s="64"/>
      <c r="AA44" s="58">
        <f>-M44*COS(Y44)</f>
        <v>21.812500633509739</v>
      </c>
      <c r="AB44" s="58">
        <f>-M44*SIN(Y44)</f>
        <v>24.027730148972456</v>
      </c>
      <c r="AC44" s="64"/>
      <c r="AD44" s="82">
        <f>$AA$40/$M$40*M44</f>
        <v>2.8737473694114895E-3</v>
      </c>
      <c r="AE44" s="82">
        <f>$AB$40/$M$40*M44</f>
        <v>-1.8639930480784651E-4</v>
      </c>
      <c r="AF44" s="22">
        <f>AA44-AD44</f>
        <v>21.809626886140329</v>
      </c>
      <c r="AG44" s="22">
        <f>AB44-AE44</f>
        <v>24.027916548277265</v>
      </c>
      <c r="AH44" s="64"/>
      <c r="AI44" s="25">
        <f>A44</f>
        <v>3</v>
      </c>
      <c r="AJ44" s="82">
        <f t="shared" si="1"/>
        <v>717556.51382431365</v>
      </c>
      <c r="AK44" s="82">
        <f t="shared" si="1"/>
        <v>458866.08930465207</v>
      </c>
      <c r="AL44" s="66"/>
      <c r="AM44" s="9" t="str">
        <f>IF(A45=0,A44&amp;" - 1",A44&amp;" - "&amp;A45)</f>
        <v>3 - 1</v>
      </c>
      <c r="AN44" s="18">
        <f>AN43+F43+F44</f>
        <v>21.809999999939464</v>
      </c>
      <c r="AO44" s="18">
        <f>AN44*G44</f>
        <v>-524.09429999915471</v>
      </c>
      <c r="AP44" s="9" t="str">
        <f>D44&amp;","&amp;C44</f>
        <v>458866.06,717556.54</v>
      </c>
    </row>
    <row r="45" spans="1:44" s="46" customFormat="1">
      <c r="A45" s="28"/>
      <c r="B45" s="28"/>
      <c r="F45" s="47"/>
      <c r="G45" s="47"/>
      <c r="H45" s="47"/>
      <c r="I45" s="48"/>
      <c r="J45" s="48"/>
      <c r="K45" s="48"/>
      <c r="L45" s="28"/>
      <c r="M45" s="50"/>
      <c r="N45" s="48"/>
      <c r="O45" s="49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I45" s="47"/>
      <c r="AJ45" s="47"/>
    </row>
    <row r="46" spans="1:44" s="46" customFormat="1">
      <c r="A46" s="28"/>
      <c r="B46" s="28"/>
      <c r="F46" s="47"/>
      <c r="G46" s="47"/>
      <c r="H46" s="47"/>
      <c r="I46" s="48"/>
      <c r="J46" s="48"/>
      <c r="K46" s="48"/>
      <c r="L46" s="28"/>
      <c r="M46" s="50"/>
      <c r="N46" s="48"/>
      <c r="O46" s="49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I46" s="47"/>
      <c r="AJ46" s="47"/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  <mergeCell ref="AP38:AP39"/>
    <mergeCell ref="N39:Q39"/>
    <mergeCell ref="M38:U38"/>
    <mergeCell ref="B34:C34"/>
    <mergeCell ref="B35:C35"/>
    <mergeCell ref="A40:L40"/>
    <mergeCell ref="A28:B28"/>
    <mergeCell ref="A29:B29"/>
    <mergeCell ref="B32:C32"/>
    <mergeCell ref="B33:C33"/>
    <mergeCell ref="AM38:AO38"/>
    <mergeCell ref="R39:U39"/>
    <mergeCell ref="V38:V39"/>
    <mergeCell ref="AA38:AA39"/>
    <mergeCell ref="AB38:AB39"/>
  </mergeCells>
  <phoneticPr fontId="6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A1:AS47"/>
  <sheetViews>
    <sheetView topLeftCell="A5" workbookViewId="0">
      <selection activeCell="D17" sqref="D17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11" t="s">
        <v>48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  <c r="Q1" s="111"/>
      <c r="R1" s="111"/>
      <c r="S1" s="111"/>
      <c r="T1" s="111"/>
      <c r="U1" s="111"/>
      <c r="V1" s="111"/>
      <c r="W1" s="111"/>
      <c r="X1" s="111"/>
      <c r="Y1" s="111"/>
      <c r="Z1" s="111"/>
      <c r="AA1" s="111"/>
      <c r="AB1" s="111"/>
      <c r="AC1" s="111"/>
      <c r="AD1" s="111"/>
      <c r="AE1" s="111"/>
      <c r="AF1" s="111"/>
      <c r="AG1" s="111"/>
      <c r="AH1" s="111"/>
      <c r="AI1" s="111"/>
      <c r="AJ1" s="111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09" t="s">
        <v>78</v>
      </c>
      <c r="D7" s="110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09" t="s">
        <v>79</v>
      </c>
      <c r="D8" s="110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09" t="s">
        <v>59</v>
      </c>
      <c r="D9" s="110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09" t="s">
        <v>80</v>
      </c>
      <c r="D10" s="110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09" t="s">
        <v>81</v>
      </c>
      <c r="D11" s="110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09" t="s">
        <v>62</v>
      </c>
      <c r="D12" s="110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09" t="s">
        <v>63</v>
      </c>
      <c r="D13" s="110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09" t="s">
        <v>64</v>
      </c>
      <c r="D14" s="110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09" t="s">
        <v>65</v>
      </c>
      <c r="D15" s="110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09" t="s">
        <v>82</v>
      </c>
      <c r="D16" s="110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09" t="s">
        <v>83</v>
      </c>
      <c r="D19" s="110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6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12" t="s">
        <v>16</v>
      </c>
      <c r="B28" s="112"/>
      <c r="C28" s="33">
        <f>ABS(SUM(AO42:AO65536))</f>
        <v>1985.6688000052902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16" t="s">
        <v>17</v>
      </c>
      <c r="B29" s="116"/>
      <c r="C29" s="32">
        <f>ABS(C28/2)</f>
        <v>992.83440000264511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16">
        <f>SQRT(AA40^2+AB40^2)</f>
        <v>7.8112355948951381E-3</v>
      </c>
      <c r="C32" s="116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0">
        <f>M40/B32</f>
        <v>16209.977378579575</v>
      </c>
      <c r="C33" s="120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16" t="str">
        <f>"1 : "&amp;TEXT(B35,"00")</f>
        <v>1 : 16000</v>
      </c>
      <c r="C34" s="116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19">
        <f>ROUND(B33,2-LEN(INT(B33)))</f>
        <v>16000</v>
      </c>
      <c r="C35" s="119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7" t="s">
        <v>9</v>
      </c>
      <c r="B38" s="88"/>
      <c r="C38" s="125" t="s">
        <v>7</v>
      </c>
      <c r="D38" s="125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6" t="s">
        <v>8</v>
      </c>
      <c r="N38" s="126"/>
      <c r="O38" s="126"/>
      <c r="P38" s="126"/>
      <c r="Q38" s="126"/>
      <c r="R38" s="126"/>
      <c r="S38" s="126"/>
      <c r="T38" s="126"/>
      <c r="U38" s="126"/>
      <c r="V38" s="127"/>
      <c r="W38" s="59"/>
      <c r="X38" s="59" t="s">
        <v>33</v>
      </c>
      <c r="Y38" s="59" t="s">
        <v>34</v>
      </c>
      <c r="Z38" s="80"/>
      <c r="AA38" s="117" t="s">
        <v>30</v>
      </c>
      <c r="AB38" s="117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3" t="s">
        <v>55</v>
      </c>
      <c r="AK38" s="115"/>
      <c r="AL38" s="65"/>
      <c r="AM38" s="113" t="s">
        <v>18</v>
      </c>
      <c r="AN38" s="114"/>
      <c r="AO38" s="115"/>
      <c r="AP38" s="121" t="s">
        <v>56</v>
      </c>
    </row>
    <row r="39" spans="1:44">
      <c r="A39" s="118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3" t="s">
        <v>21</v>
      </c>
      <c r="O39" s="114"/>
      <c r="P39" s="114"/>
      <c r="Q39" s="115"/>
      <c r="R39" s="113" t="s">
        <v>24</v>
      </c>
      <c r="S39" s="114"/>
      <c r="T39" s="114"/>
      <c r="U39" s="115"/>
      <c r="V39" s="128"/>
      <c r="W39" s="59"/>
      <c r="X39" s="59"/>
      <c r="Y39" s="59"/>
      <c r="Z39" s="81"/>
      <c r="AA39" s="118"/>
      <c r="AB39" s="118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21"/>
    </row>
    <row r="40" spans="1:44" s="11" customFormat="1">
      <c r="A40" s="122" t="s">
        <v>25</v>
      </c>
      <c r="B40" s="123"/>
      <c r="C40" s="123"/>
      <c r="D40" s="123"/>
      <c r="E40" s="123"/>
      <c r="F40" s="123"/>
      <c r="G40" s="123"/>
      <c r="H40" s="123"/>
      <c r="I40" s="123"/>
      <c r="J40" s="123"/>
      <c r="K40" s="123"/>
      <c r="L40" s="124"/>
      <c r="M40" s="51">
        <f>SUM(M42:M65536)</f>
        <v>126.61995229200576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7.7077922699175794E-3</v>
      </c>
      <c r="AB40" s="91">
        <f>SUM(AB42:AB65536)</f>
        <v>-1.2670200640698681E-3</v>
      </c>
      <c r="AC40" s="91"/>
      <c r="AD40" s="91">
        <f>SUM(AD42:AD65536)</f>
        <v>7.7077922699175802E-3</v>
      </c>
      <c r="AE40" s="91">
        <f>SUM(AE42:AE65536)</f>
        <v>-1.2670200640698681E-3</v>
      </c>
      <c r="AF40" s="91">
        <f>SUM(AF42:AF65536)</f>
        <v>1.9984014443252818E-15</v>
      </c>
      <c r="AG40" s="91">
        <f>SUM(AG42:AG65536)</f>
        <v>0</v>
      </c>
      <c r="AH40" s="92"/>
      <c r="AI40" s="93">
        <v>1</v>
      </c>
      <c r="AJ40" s="92">
        <f>AJ44+AF44</f>
        <v>718333.71179553005</v>
      </c>
      <c r="AK40" s="92">
        <f>AK44+AG44</f>
        <v>458864.58944030752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2874.109999999986</v>
      </c>
      <c r="G41" s="72">
        <f>IF(D42=0,D41-$D$41,D41-D42)</f>
        <v>3545.0099999999511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4563.7270067566014</v>
      </c>
      <c r="N41" s="36">
        <f>IF(F41=0,,ATAN(G41/F41))</f>
        <v>0.88953595996579404</v>
      </c>
      <c r="O41" s="36">
        <f>ABS(DEGREES(N41))</f>
        <v>50.966656231158161</v>
      </c>
      <c r="P41" s="37" t="str">
        <f>TEXT(INT(O41),"00")</f>
        <v>50</v>
      </c>
      <c r="Q41" s="38" t="str">
        <f>TEXT((O41-P41)*60,"00")</f>
        <v>58</v>
      </c>
      <c r="R41" s="39" t="str">
        <f>IF(L41="",IF(F41&gt;0,"S","N"),"")</f>
        <v>S</v>
      </c>
      <c r="S41" s="25" t="str">
        <f>IF(L41="",IF(INT(Q41)=60,INT(P41+1),P41),"due")</f>
        <v>50</v>
      </c>
      <c r="T41" s="38" t="str">
        <f>IF(L41="",IF(INT(Q41)=60,"00",Q41),L41)</f>
        <v>58</v>
      </c>
      <c r="U41" s="40" t="str">
        <f>IF(L41="",IF(G41&gt;0,"W","E"),"")</f>
        <v>W</v>
      </c>
      <c r="V41" s="41"/>
      <c r="W41" s="22">
        <f>IF(S41="due",90*(I41+K41),S41+T41/60)</f>
        <v>50.966666666666669</v>
      </c>
      <c r="X41" s="22">
        <f>IF(R41="",W41,IF(R41="N",IF(U41="E",180+W41,180-W41),IF(U41="E",360-W41,W41)))</f>
        <v>50.966666666666669</v>
      </c>
      <c r="Y41" s="22">
        <f>RADIANS(X41)</f>
        <v>0.88953614209977661</v>
      </c>
      <c r="Z41" s="64"/>
      <c r="AA41" s="58">
        <f>-M41*COS(Y41)</f>
        <v>-2874.1093543331485</v>
      </c>
      <c r="AB41" s="58">
        <f>-M41*SIN(Y41)</f>
        <v>-3545.0105234729926</v>
      </c>
      <c r="AC41" s="64"/>
      <c r="AD41" s="22">
        <v>0</v>
      </c>
      <c r="AE41" s="22">
        <v>0</v>
      </c>
      <c r="AF41" s="22">
        <f t="shared" ref="AF41:AG43" si="0">AA41-AD41</f>
        <v>-2874.1093543331485</v>
      </c>
      <c r="AG41" s="22">
        <f t="shared" si="0"/>
        <v>-3545.0105234729926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718354.51</v>
      </c>
      <c r="D42" s="60">
        <v>458905.21</v>
      </c>
      <c r="E42" s="79"/>
      <c r="F42" s="72">
        <f>IF(C43=0,C42-$C$42,C42-C43)</f>
        <v>25.070000000065193</v>
      </c>
      <c r="G42" s="72">
        <f>IF(D43=0,D42-$D$42,D42-D43)</f>
        <v>0.59000000002561137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25.076941599870167</v>
      </c>
      <c r="N42" s="36">
        <f>IF(F42=0,,ATAN(G42/F42))</f>
        <v>2.3529761131711961E-2</v>
      </c>
      <c r="O42" s="36">
        <f>ABS(DEGREES(N42))</f>
        <v>1.3481560057980628</v>
      </c>
      <c r="P42" s="37" t="str">
        <f>TEXT(INT(O42),"00")</f>
        <v>01</v>
      </c>
      <c r="Q42" s="38" t="str">
        <f>TEXT((O42-P42)*60,"00")</f>
        <v>21</v>
      </c>
      <c r="R42" s="39" t="str">
        <f>IF(L42="",IF(F42&gt;0,"S","N"),"")</f>
        <v>S</v>
      </c>
      <c r="S42" s="25" t="str">
        <f>IF(L42="",IF(INT(Q42)=60,INT(P42+1),P42),"due")</f>
        <v>01</v>
      </c>
      <c r="T42" s="38" t="str">
        <f>IF(L42="",IF(INT(Q42)=60,"00",Q42),L42)</f>
        <v>21</v>
      </c>
      <c r="U42" s="40" t="str">
        <f>IF(L42="",IF(G42&gt;0,"W","E"),"")</f>
        <v>W</v>
      </c>
      <c r="V42" s="44"/>
      <c r="W42" s="22">
        <f>IF(S42="due",90*(I42+K42),S42+T42/60)</f>
        <v>1.35</v>
      </c>
      <c r="X42" s="22">
        <f>IF(R42="",W42,IF(R42="N",IF(U42="E",180+W42,180-W42),IF(U42="E",360-W42,W42)))</f>
        <v>1.35</v>
      </c>
      <c r="Y42" s="22">
        <f>RADIANS(X42)</f>
        <v>2.356194490192345E-2</v>
      </c>
      <c r="Z42" s="64"/>
      <c r="AA42" s="58">
        <f>-M42*COS(Y42)</f>
        <v>-25.06998099865708</v>
      </c>
      <c r="AB42" s="58">
        <f>-M42*SIN(Y42)</f>
        <v>-0.59080684683911666</v>
      </c>
      <c r="AC42" s="64"/>
      <c r="AD42" s="82">
        <f>$AA$40/$M$40*M42</f>
        <v>1.5265197397239679E-3</v>
      </c>
      <c r="AE42" s="82">
        <f>$AB$40/$M$40*M42</f>
        <v>-2.5093192326648705E-4</v>
      </c>
      <c r="AF42" s="22">
        <f t="shared" si="0"/>
        <v>-25.071507518396803</v>
      </c>
      <c r="AG42" s="22">
        <f t="shared" si="0"/>
        <v>-0.59055591491585013</v>
      </c>
      <c r="AH42" s="63"/>
      <c r="AI42" s="38">
        <f>A42</f>
        <v>1</v>
      </c>
      <c r="AJ42" s="82">
        <f t="shared" ref="AJ42:AK44" si="1">AJ41+AF41</f>
        <v>718354.51064566686</v>
      </c>
      <c r="AK42" s="82">
        <f t="shared" si="1"/>
        <v>458905.209476527</v>
      </c>
      <c r="AL42" s="66"/>
      <c r="AM42" s="9" t="str">
        <f>IF(A43=0,A42&amp;" - 1",A42&amp;" - "&amp;A43)</f>
        <v>1 - 2</v>
      </c>
      <c r="AN42" s="18">
        <f>F42</f>
        <v>25.070000000065193</v>
      </c>
      <c r="AO42" s="18">
        <f>AN42*G42</f>
        <v>14.791300000680542</v>
      </c>
      <c r="AP42" s="9" t="str">
        <f>D42&amp;","&amp;C42</f>
        <v>458905.21,718354.51</v>
      </c>
    </row>
    <row r="43" spans="1:44">
      <c r="A43" s="20">
        <f>A42+1</f>
        <v>2</v>
      </c>
      <c r="B43" s="44"/>
      <c r="C43" s="60">
        <v>718329.44</v>
      </c>
      <c r="D43" s="60">
        <v>458904.62</v>
      </c>
      <c r="E43" s="79"/>
      <c r="F43" s="72">
        <f>IF(C44=0,C43-$C$42,C43-C44)</f>
        <v>-1.1400000000139698</v>
      </c>
      <c r="G43" s="72">
        <f>IF(D44=0,D43-$D$42,D43-D44)</f>
        <v>37.130000000004657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37.147496550916827</v>
      </c>
      <c r="N43" s="36">
        <f>IF(F43=0,,ATAN(G43/F43))</f>
        <v>-1.5401030332913397</v>
      </c>
      <c r="O43" s="36">
        <f>ABS(DEGREES(N43))</f>
        <v>88.241403822889879</v>
      </c>
      <c r="P43" s="37" t="str">
        <f>TEXT(INT(O43),"00")</f>
        <v>88</v>
      </c>
      <c r="Q43" s="38" t="str">
        <f>TEXT((O43-P43)*60,"00")</f>
        <v>14</v>
      </c>
      <c r="R43" s="39" t="str">
        <f>IF(L43="",IF(F43&gt;0,"S","N"),"")</f>
        <v>N</v>
      </c>
      <c r="S43" s="25" t="str">
        <f>IF(L43="",IF(INT(Q43)=60,INT(P43+1),P43),"due")</f>
        <v>88</v>
      </c>
      <c r="T43" s="38" t="str">
        <f>IF(L43="",IF(INT(Q43)=60,"00",Q43),L43)</f>
        <v>14</v>
      </c>
      <c r="U43" s="40" t="str">
        <f>IF(L43="",IF(G43&gt;0,"W","E"),"")</f>
        <v>W</v>
      </c>
      <c r="V43" s="44"/>
      <c r="W43" s="22">
        <f>IF(S43="due",90*(I43+K43),S43+T43/60)</f>
        <v>88.233333333333334</v>
      </c>
      <c r="X43" s="22">
        <f>IF(R43="",W43,IF(R43="N",IF(U43="E",180+W43,180-W43),IF(U43="E",360-W43,W43)))</f>
        <v>91.766666666666666</v>
      </c>
      <c r="Y43" s="22">
        <f>RADIANS(X43)</f>
        <v>1.6016304769134631</v>
      </c>
      <c r="Z43" s="64"/>
      <c r="AA43" s="58">
        <f>-M43*COS(Y43)</f>
        <v>1.1452299948028486</v>
      </c>
      <c r="AB43" s="58">
        <f>-M43*SIN(Y43)</f>
        <v>-37.129839055123597</v>
      </c>
      <c r="AC43" s="64"/>
      <c r="AD43" s="82">
        <f>$AA$40/$M$40*M43</f>
        <v>2.2612959614898231E-3</v>
      </c>
      <c r="AE43" s="82">
        <f>$AB$40/$M$40*M43</f>
        <v>-3.7171569415406756E-4</v>
      </c>
      <c r="AF43" s="22">
        <f t="shared" si="0"/>
        <v>1.1429686988413588</v>
      </c>
      <c r="AG43" s="22">
        <f t="shared" si="0"/>
        <v>-37.129467339429439</v>
      </c>
      <c r="AH43" s="64"/>
      <c r="AI43" s="25">
        <f>A43</f>
        <v>2</v>
      </c>
      <c r="AJ43" s="82">
        <f t="shared" si="1"/>
        <v>718329.43913814845</v>
      </c>
      <c r="AK43" s="82">
        <f t="shared" si="1"/>
        <v>458904.61892061209</v>
      </c>
      <c r="AL43" s="66"/>
      <c r="AM43" s="9" t="str">
        <f>IF(A44=0,A43&amp;" - 1",A43&amp;" - "&amp;A44)</f>
        <v>2 - 3</v>
      </c>
      <c r="AN43" s="18">
        <f>AN42+F42+F43</f>
        <v>49.000000000116415</v>
      </c>
      <c r="AO43" s="18">
        <f>AN43*G43</f>
        <v>1819.3700000045508</v>
      </c>
      <c r="AP43" s="9" t="str">
        <f>D43&amp;","&amp;C43</f>
        <v>458904.62,718329.44</v>
      </c>
    </row>
    <row r="44" spans="1:44" s="46" customFormat="1">
      <c r="A44" s="20">
        <f>A43+1</f>
        <v>3</v>
      </c>
      <c r="B44" s="44"/>
      <c r="C44" s="60">
        <v>718330.58</v>
      </c>
      <c r="D44" s="60">
        <v>458867.49</v>
      </c>
      <c r="E44" s="79"/>
      <c r="F44" s="72">
        <f>IF(C45=0,C44-$C$42,C44-C45)</f>
        <v>-3.1300000000046566</v>
      </c>
      <c r="G44" s="72">
        <f>IF(D45=0,D44-$D$42,D44-D45)</f>
        <v>2.8999999999650754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4.2669544173598331</v>
      </c>
      <c r="N44" s="22">
        <f>IF(F44=0,,ATAN(G44/F44))</f>
        <v>-0.74727402441282276</v>
      </c>
      <c r="O44" s="22">
        <f>ABS(DEGREES(N44))</f>
        <v>42.815647738610792</v>
      </c>
      <c r="P44" s="24" t="str">
        <f>TEXT(INT(O44),"00")</f>
        <v>42</v>
      </c>
      <c r="Q44" s="25" t="str">
        <f>TEXT((O44-P44)*60,"00")</f>
        <v>49</v>
      </c>
      <c r="R44" s="23" t="str">
        <f>IF(L44="",IF(F44&gt;0,"S","N"),"")</f>
        <v>N</v>
      </c>
      <c r="S44" s="25" t="str">
        <f>IF(L44="",IF(INT(Q44)=60,INT(P44+1),P44),"due")</f>
        <v>42</v>
      </c>
      <c r="T44" s="25" t="str">
        <f>IF(L44="",IF(INT(Q44)=60,"00",Q44),L44)</f>
        <v>49</v>
      </c>
      <c r="U44" s="24" t="str">
        <f>IF(L44="",IF(G44&gt;0,"W","E"),"")</f>
        <v>W</v>
      </c>
      <c r="V44" s="44"/>
      <c r="W44" s="22">
        <f>IF(S44="due",90*(I44+K44),S44+T44/60)</f>
        <v>42.81666666666667</v>
      </c>
      <c r="X44" s="22">
        <f>IF(R44="",W44,IF(R44="N",IF(U44="E",180+W44,180-W44),IF(U44="E",360-W44,W44)))</f>
        <v>137.18333333333334</v>
      </c>
      <c r="Y44" s="22">
        <f>RADIANS(X44)</f>
        <v>2.3943008455275545</v>
      </c>
      <c r="Z44" s="64"/>
      <c r="AA44" s="58">
        <f>-M44*COS(Y44)</f>
        <v>3.12994842692641</v>
      </c>
      <c r="AB44" s="58">
        <f>-M44*SIN(Y44)</f>
        <v>-2.9000556623291702</v>
      </c>
      <c r="AC44" s="64"/>
      <c r="AD44" s="82">
        <f>$AA$40/$M$40*M44</f>
        <v>2.5974420049037762E-4</v>
      </c>
      <c r="AE44" s="82">
        <f>$AB$40/$M$40*M44</f>
        <v>-4.269719551622192E-5</v>
      </c>
      <c r="AF44" s="22">
        <f>AA44-AD44</f>
        <v>3.1296886827259196</v>
      </c>
      <c r="AG44" s="22">
        <f>AB44-AE44</f>
        <v>-2.9000129651336541</v>
      </c>
      <c r="AH44" s="64"/>
      <c r="AI44" s="25">
        <f>A44</f>
        <v>3</v>
      </c>
      <c r="AJ44" s="82">
        <f t="shared" si="1"/>
        <v>718330.58210684732</v>
      </c>
      <c r="AK44" s="82">
        <f t="shared" si="1"/>
        <v>458867.48945327266</v>
      </c>
      <c r="AL44" s="66"/>
      <c r="AM44" s="9" t="str">
        <f>IF(A45=0,A44&amp;" - 1",A44&amp;" - "&amp;A45)</f>
        <v>3 - 4</v>
      </c>
      <c r="AN44" s="18">
        <f>AN43+F43+F44</f>
        <v>44.730000000097789</v>
      </c>
      <c r="AO44" s="18">
        <f>AN44*G44</f>
        <v>129.71699999872141</v>
      </c>
      <c r="AP44" s="9" t="str">
        <f>D44&amp;","&amp;C44</f>
        <v>458867.49,718330.58</v>
      </c>
    </row>
    <row r="45" spans="1:44" s="46" customFormat="1">
      <c r="A45" s="20">
        <f t="shared" ref="A45:A47" si="2">A44+1</f>
        <v>4</v>
      </c>
      <c r="B45" s="44"/>
      <c r="C45" s="60">
        <v>718333.71</v>
      </c>
      <c r="D45" s="60">
        <v>458864.59</v>
      </c>
      <c r="E45" s="79"/>
      <c r="F45" s="72">
        <f t="shared" ref="F45:F47" si="3">IF(C46=0,C45-$C$42,C45-C46)</f>
        <v>-19</v>
      </c>
      <c r="G45" s="72">
        <f t="shared" ref="G45:G47" si="4">IF(D46=0,D45-$D$42,D45-D46)</f>
        <v>-0.56999999994877726</v>
      </c>
      <c r="H45" s="76" t="str">
        <f t="shared" ref="H45:H47" si="5">IF(G45=0,IF(F45&gt;0,"South","North"),"")</f>
        <v/>
      </c>
      <c r="I45" s="76">
        <f t="shared" ref="I45:I47" si="6">IF(H45="North",2,IF(H45="",0,0))</f>
        <v>0</v>
      </c>
      <c r="J45" s="76" t="str">
        <f t="shared" ref="J45:J47" si="7">IF(F45=0,IF(G45&gt;0,"West","East"),"")</f>
        <v/>
      </c>
      <c r="K45" s="76">
        <f t="shared" ref="K45:K47" si="8">IF(J45="West",1,IF(J45="",0,3))</f>
        <v>0</v>
      </c>
      <c r="L45" s="76" t="str">
        <f t="shared" ref="L45:L47" si="9">H45&amp;J45</f>
        <v/>
      </c>
      <c r="M45" s="22">
        <f t="shared" ref="M45:M47" si="10">SQRT(F45^2+G45^2)</f>
        <v>19.008548077113666</v>
      </c>
      <c r="N45" s="22">
        <f t="shared" ref="N45:N47" si="11">IF(F45=0,,ATAN(G45/F45))</f>
        <v>2.9991004854184388E-2</v>
      </c>
      <c r="O45" s="22">
        <f t="shared" ref="O45:O47" si="12">ABS(DEGREES(N45))</f>
        <v>1.7183580015011304</v>
      </c>
      <c r="P45" s="24" t="str">
        <f t="shared" ref="P45:P47" si="13">TEXT(INT(O45),"00")</f>
        <v>01</v>
      </c>
      <c r="Q45" s="25" t="str">
        <f t="shared" ref="Q45:Q47" si="14">TEXT((O45-P45)*60,"00")</f>
        <v>43</v>
      </c>
      <c r="R45" s="23" t="str">
        <f t="shared" ref="R45:R47" si="15">IF(L45="",IF(F45&gt;0,"S","N"),"")</f>
        <v>N</v>
      </c>
      <c r="S45" s="25" t="str">
        <f t="shared" ref="S45:S47" si="16">IF(L45="",IF(INT(Q45)=60,INT(P45+1),P45),"due")</f>
        <v>01</v>
      </c>
      <c r="T45" s="25" t="str">
        <f t="shared" ref="T45:T47" si="17">IF(L45="",IF(INT(Q45)=60,"00",Q45),L45)</f>
        <v>43</v>
      </c>
      <c r="U45" s="24" t="str">
        <f t="shared" ref="U45:U47" si="18">IF(L45="",IF(G45&gt;0,"W","E"),"")</f>
        <v>E</v>
      </c>
      <c r="V45" s="44"/>
      <c r="W45" s="22">
        <f t="shared" ref="W45:W47" si="19">IF(S45="due",90*(I45+K45),S45+T45/60)</f>
        <v>1.7166666666666668</v>
      </c>
      <c r="X45" s="22">
        <f t="shared" ref="X45:X47" si="20">IF(R45="",W45,IF(R45="N",IF(U45="E",180+W45,180-W45),IF(U45="E",360-W45,W45)))</f>
        <v>181.71666666666667</v>
      </c>
      <c r="Y45" s="22">
        <f t="shared" ref="Y45:Y47" si="21">RADIANS(X45)</f>
        <v>3.1715541390823625</v>
      </c>
      <c r="Z45" s="64"/>
      <c r="AA45" s="58">
        <f t="shared" ref="AA45:AA47" si="22">-M45*COS(Y45)</f>
        <v>19.000016817757889</v>
      </c>
      <c r="AB45" s="58">
        <f t="shared" ref="AB45:AB47" si="23">-M45*SIN(Y45)</f>
        <v>0.56943913182982442</v>
      </c>
      <c r="AC45" s="64"/>
      <c r="AD45" s="82">
        <f t="shared" ref="AD45:AD47" si="24">$AA$40/$M$40*M45</f>
        <v>1.1571157410741155E-3</v>
      </c>
      <c r="AE45" s="82">
        <f t="shared" ref="AE45:AE47" si="25">$AB$40/$M$40*M45</f>
        <v>-1.9020866274690817E-4</v>
      </c>
      <c r="AF45" s="22">
        <f t="shared" ref="AF45:AF47" si="26">AA45-AD45</f>
        <v>18.998859702016816</v>
      </c>
      <c r="AG45" s="22">
        <f t="shared" ref="AG45:AG47" si="27">AB45-AE45</f>
        <v>0.5696293404925713</v>
      </c>
      <c r="AH45" s="64"/>
      <c r="AI45" s="25">
        <f t="shared" ref="AI45:AI47" si="28">A45</f>
        <v>4</v>
      </c>
      <c r="AJ45" s="82">
        <f t="shared" ref="AJ45:AJ47" si="29">AJ44+AF44</f>
        <v>718333.71179553005</v>
      </c>
      <c r="AK45" s="82">
        <f t="shared" ref="AK45:AK47" si="30">AK44+AG44</f>
        <v>458864.58944030752</v>
      </c>
      <c r="AL45" s="66"/>
      <c r="AM45" s="9" t="str">
        <f t="shared" ref="AM45:AM47" si="31">IF(A46=0,A45&amp;" - 1",A45&amp;" - "&amp;A46)</f>
        <v>4 - 5</v>
      </c>
      <c r="AN45" s="18">
        <f t="shared" ref="AN45:AN47" si="32">AN44+F44+F45</f>
        <v>22.600000000093132</v>
      </c>
      <c r="AO45" s="18">
        <f t="shared" ref="AO45:AO47" si="33">AN45*G45</f>
        <v>-12.881999998895452</v>
      </c>
      <c r="AP45" s="9" t="str">
        <f t="shared" ref="AP45:AP47" si="34">D45&amp;","&amp;C45</f>
        <v>458864.59,718333.71</v>
      </c>
    </row>
    <row r="46" spans="1:44" s="46" customFormat="1">
      <c r="A46" s="20">
        <f t="shared" si="2"/>
        <v>5</v>
      </c>
      <c r="B46" s="44"/>
      <c r="C46" s="60">
        <v>718352.71</v>
      </c>
      <c r="D46" s="60">
        <v>458865.16</v>
      </c>
      <c r="E46" s="79"/>
      <c r="F46" s="72">
        <f t="shared" si="3"/>
        <v>-2.8100000000558794</v>
      </c>
      <c r="G46" s="72">
        <f t="shared" si="4"/>
        <v>-3.2100000000209548</v>
      </c>
      <c r="H46" s="76" t="str">
        <f t="shared" si="5"/>
        <v/>
      </c>
      <c r="I46" s="76">
        <f t="shared" si="6"/>
        <v>0</v>
      </c>
      <c r="J46" s="76" t="str">
        <f t="shared" si="7"/>
        <v/>
      </c>
      <c r="K46" s="76">
        <f t="shared" si="8"/>
        <v>0</v>
      </c>
      <c r="L46" s="76" t="str">
        <f t="shared" si="9"/>
        <v/>
      </c>
      <c r="M46" s="22">
        <f t="shared" si="10"/>
        <v>4.2661692418900321</v>
      </c>
      <c r="N46" s="22">
        <f t="shared" si="11"/>
        <v>0.85174582000374288</v>
      </c>
      <c r="O46" s="22">
        <f t="shared" si="12"/>
        <v>48.801440704123955</v>
      </c>
      <c r="P46" s="24" t="str">
        <f t="shared" si="13"/>
        <v>48</v>
      </c>
      <c r="Q46" s="25" t="str">
        <f t="shared" si="14"/>
        <v>48</v>
      </c>
      <c r="R46" s="23" t="str">
        <f t="shared" si="15"/>
        <v>N</v>
      </c>
      <c r="S46" s="25" t="str">
        <f t="shared" si="16"/>
        <v>48</v>
      </c>
      <c r="T46" s="25" t="str">
        <f t="shared" si="17"/>
        <v>48</v>
      </c>
      <c r="U46" s="24" t="str">
        <f t="shared" si="18"/>
        <v>E</v>
      </c>
      <c r="V46" s="44"/>
      <c r="W46" s="22">
        <f t="shared" si="19"/>
        <v>48.8</v>
      </c>
      <c r="X46" s="22">
        <f t="shared" si="20"/>
        <v>228.8</v>
      </c>
      <c r="Y46" s="22">
        <f t="shared" si="21"/>
        <v>3.9933133285630262</v>
      </c>
      <c r="Z46" s="64"/>
      <c r="AA46" s="58">
        <f t="shared" si="22"/>
        <v>2.8100807147154652</v>
      </c>
      <c r="AB46" s="58">
        <f t="shared" si="23"/>
        <v>3.2099293414704304</v>
      </c>
      <c r="AC46" s="64"/>
      <c r="AD46" s="82">
        <f t="shared" si="24"/>
        <v>2.5969640415727911E-4</v>
      </c>
      <c r="AE46" s="82">
        <f t="shared" si="25"/>
        <v>-4.2689338673314901E-5</v>
      </c>
      <c r="AF46" s="22">
        <f t="shared" si="26"/>
        <v>2.8098210183113079</v>
      </c>
      <c r="AG46" s="22">
        <f t="shared" si="27"/>
        <v>3.2099720308091038</v>
      </c>
      <c r="AH46" s="64"/>
      <c r="AI46" s="25">
        <f t="shared" si="28"/>
        <v>5</v>
      </c>
      <c r="AJ46" s="82">
        <f t="shared" si="29"/>
        <v>718352.71065523208</v>
      </c>
      <c r="AK46" s="82">
        <f t="shared" si="30"/>
        <v>458865.15906964801</v>
      </c>
      <c r="AL46" s="66"/>
      <c r="AM46" s="9" t="str">
        <f t="shared" si="31"/>
        <v>5 - 6</v>
      </c>
      <c r="AN46" s="18">
        <f t="shared" si="32"/>
        <v>0.7900000000372529</v>
      </c>
      <c r="AO46" s="18">
        <f t="shared" si="33"/>
        <v>-2.5359000001361363</v>
      </c>
      <c r="AP46" s="9" t="str">
        <f t="shared" si="34"/>
        <v>458865.16,718352.71</v>
      </c>
    </row>
    <row r="47" spans="1:44" s="46" customFormat="1">
      <c r="A47" s="20">
        <f t="shared" si="2"/>
        <v>6</v>
      </c>
      <c r="B47" s="44"/>
      <c r="C47" s="60">
        <v>718355.52</v>
      </c>
      <c r="D47" s="60">
        <v>458868.37</v>
      </c>
      <c r="E47" s="79"/>
      <c r="F47" s="72">
        <f t="shared" si="3"/>
        <v>1.0100000000093132</v>
      </c>
      <c r="G47" s="72">
        <f t="shared" si="4"/>
        <v>-36.840000000025611</v>
      </c>
      <c r="H47" s="76" t="str">
        <f t="shared" si="5"/>
        <v/>
      </c>
      <c r="I47" s="76">
        <f t="shared" si="6"/>
        <v>0</v>
      </c>
      <c r="J47" s="76" t="str">
        <f t="shared" si="7"/>
        <v/>
      </c>
      <c r="K47" s="76">
        <f t="shared" si="8"/>
        <v>0</v>
      </c>
      <c r="L47" s="76" t="str">
        <f t="shared" si="9"/>
        <v/>
      </c>
      <c r="M47" s="22">
        <f t="shared" si="10"/>
        <v>36.853842404855236</v>
      </c>
      <c r="N47" s="22">
        <f t="shared" si="11"/>
        <v>-1.543387340213729</v>
      </c>
      <c r="O47" s="22">
        <f t="shared" si="12"/>
        <v>88.429580748168391</v>
      </c>
      <c r="P47" s="24" t="str">
        <f t="shared" si="13"/>
        <v>88</v>
      </c>
      <c r="Q47" s="25" t="str">
        <f t="shared" si="14"/>
        <v>26</v>
      </c>
      <c r="R47" s="23" t="str">
        <f t="shared" si="15"/>
        <v>S</v>
      </c>
      <c r="S47" s="25" t="str">
        <f t="shared" si="16"/>
        <v>88</v>
      </c>
      <c r="T47" s="25" t="str">
        <f t="shared" si="17"/>
        <v>26</v>
      </c>
      <c r="U47" s="24" t="str">
        <f t="shared" si="18"/>
        <v>E</v>
      </c>
      <c r="V47" s="44"/>
      <c r="W47" s="22">
        <f t="shared" si="19"/>
        <v>88.433333333333337</v>
      </c>
      <c r="X47" s="22">
        <f t="shared" si="20"/>
        <v>271.56666666666666</v>
      </c>
      <c r="Y47" s="22">
        <f t="shared" si="21"/>
        <v>4.7397324719992673</v>
      </c>
      <c r="Z47" s="64"/>
      <c r="AA47" s="58">
        <f t="shared" si="22"/>
        <v>-1.0075871632756144</v>
      </c>
      <c r="AB47" s="58">
        <f t="shared" si="23"/>
        <v>36.840066070927563</v>
      </c>
      <c r="AC47" s="64"/>
      <c r="AD47" s="82">
        <f t="shared" si="24"/>
        <v>2.2434202229820168E-3</v>
      </c>
      <c r="AE47" s="82">
        <f t="shared" si="25"/>
        <v>-3.6877724971286848E-4</v>
      </c>
      <c r="AF47" s="22">
        <f t="shared" si="26"/>
        <v>-1.0098305834985963</v>
      </c>
      <c r="AG47" s="22">
        <f t="shared" si="27"/>
        <v>36.840434848177274</v>
      </c>
      <c r="AH47" s="64"/>
      <c r="AI47" s="25">
        <f t="shared" si="28"/>
        <v>6</v>
      </c>
      <c r="AJ47" s="82">
        <f t="shared" si="29"/>
        <v>718355.52047625044</v>
      </c>
      <c r="AK47" s="82">
        <f t="shared" si="30"/>
        <v>458868.36904167884</v>
      </c>
      <c r="AL47" s="66"/>
      <c r="AM47" s="9" t="str">
        <f t="shared" si="31"/>
        <v>6 - 1</v>
      </c>
      <c r="AN47" s="18">
        <f t="shared" si="32"/>
        <v>-1.0100000000093132</v>
      </c>
      <c r="AO47" s="18">
        <f t="shared" si="33"/>
        <v>37.208400000368968</v>
      </c>
      <c r="AP47" s="9" t="str">
        <f t="shared" si="34"/>
        <v>458868.37,718355.52</v>
      </c>
    </row>
  </sheetData>
  <mergeCells count="30"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  <mergeCell ref="AP38:AP39"/>
    <mergeCell ref="N39:Q39"/>
    <mergeCell ref="M38:U38"/>
    <mergeCell ref="B34:C34"/>
    <mergeCell ref="B35:C35"/>
    <mergeCell ref="A40:L40"/>
    <mergeCell ref="A28:B28"/>
    <mergeCell ref="A29:B29"/>
    <mergeCell ref="B32:C32"/>
    <mergeCell ref="B33:C33"/>
    <mergeCell ref="AM38:AO38"/>
    <mergeCell ref="R39:U39"/>
    <mergeCell ref="V38:V39"/>
    <mergeCell ref="AA38:AA39"/>
    <mergeCell ref="AB38:AB39"/>
  </mergeCells>
  <phoneticPr fontId="6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/>
  <dimension ref="A1:AS47"/>
  <sheetViews>
    <sheetView tabSelected="1" topLeftCell="A30" workbookViewId="0">
      <selection activeCell="D47" sqref="D47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11" t="s">
        <v>48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  <c r="Q1" s="111"/>
      <c r="R1" s="111"/>
      <c r="S1" s="111"/>
      <c r="T1" s="111"/>
      <c r="U1" s="111"/>
      <c r="V1" s="111"/>
      <c r="W1" s="111"/>
      <c r="X1" s="111"/>
      <c r="Y1" s="111"/>
      <c r="Z1" s="111"/>
      <c r="AA1" s="111"/>
      <c r="AB1" s="111"/>
      <c r="AC1" s="111"/>
      <c r="AD1" s="111"/>
      <c r="AE1" s="111"/>
      <c r="AF1" s="111"/>
      <c r="AG1" s="111"/>
      <c r="AH1" s="111"/>
      <c r="AI1" s="111"/>
      <c r="AJ1" s="111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09" t="s">
        <v>84</v>
      </c>
      <c r="D7" s="110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09" t="s">
        <v>85</v>
      </c>
      <c r="D8" s="110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09" t="s">
        <v>59</v>
      </c>
      <c r="D9" s="110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09" t="s">
        <v>86</v>
      </c>
      <c r="D10" s="110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09" t="s">
        <v>81</v>
      </c>
      <c r="D11" s="110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09" t="s">
        <v>62</v>
      </c>
      <c r="D12" s="110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09" t="s">
        <v>63</v>
      </c>
      <c r="D13" s="110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09" t="s">
        <v>64</v>
      </c>
      <c r="D14" s="110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09" t="s">
        <v>65</v>
      </c>
      <c r="D15" s="110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09" t="s">
        <v>82</v>
      </c>
      <c r="D16" s="110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09" t="s">
        <v>87</v>
      </c>
      <c r="D19" s="110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5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12" t="s">
        <v>16</v>
      </c>
      <c r="B28" s="112"/>
      <c r="C28" s="33">
        <f>ABS(SUM(AO42:AO65536))</f>
        <v>1597.9346000008341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16" t="s">
        <v>17</v>
      </c>
      <c r="B29" s="116"/>
      <c r="C29" s="32">
        <f>ABS(C28/2)</f>
        <v>798.96730000041703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16">
        <f>SQRT(AA40^2+AB40^2)</f>
        <v>3.2581593746721996E-3</v>
      </c>
      <c r="C32" s="116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0">
        <f>M40/B32</f>
        <v>36364.124912529071</v>
      </c>
      <c r="C33" s="120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16" t="str">
        <f>"1 : "&amp;TEXT(B35,"00")</f>
        <v>1 : 36000</v>
      </c>
      <c r="C34" s="116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19">
        <f>ROUND(B33,2-LEN(INT(B33)))</f>
        <v>36000</v>
      </c>
      <c r="C35" s="119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7" t="s">
        <v>9</v>
      </c>
      <c r="B38" s="88"/>
      <c r="C38" s="125" t="s">
        <v>7</v>
      </c>
      <c r="D38" s="125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6" t="s">
        <v>8</v>
      </c>
      <c r="N38" s="126"/>
      <c r="O38" s="126"/>
      <c r="P38" s="126"/>
      <c r="Q38" s="126"/>
      <c r="R38" s="126"/>
      <c r="S38" s="126"/>
      <c r="T38" s="126"/>
      <c r="U38" s="126"/>
      <c r="V38" s="127"/>
      <c r="W38" s="59"/>
      <c r="X38" s="59" t="s">
        <v>33</v>
      </c>
      <c r="Y38" s="59" t="s">
        <v>34</v>
      </c>
      <c r="Z38" s="80"/>
      <c r="AA38" s="117" t="s">
        <v>30</v>
      </c>
      <c r="AB38" s="117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3" t="s">
        <v>55</v>
      </c>
      <c r="AK38" s="115"/>
      <c r="AL38" s="65"/>
      <c r="AM38" s="113" t="s">
        <v>18</v>
      </c>
      <c r="AN38" s="114"/>
      <c r="AO38" s="115"/>
      <c r="AP38" s="121" t="s">
        <v>56</v>
      </c>
    </row>
    <row r="39" spans="1:44">
      <c r="A39" s="118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3" t="s">
        <v>21</v>
      </c>
      <c r="O39" s="114"/>
      <c r="P39" s="114"/>
      <c r="Q39" s="115"/>
      <c r="R39" s="113" t="s">
        <v>24</v>
      </c>
      <c r="S39" s="114"/>
      <c r="T39" s="114"/>
      <c r="U39" s="115"/>
      <c r="V39" s="128"/>
      <c r="W39" s="59"/>
      <c r="X39" s="59"/>
      <c r="Y39" s="59"/>
      <c r="Z39" s="81"/>
      <c r="AA39" s="118"/>
      <c r="AB39" s="118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21"/>
    </row>
    <row r="40" spans="1:44" s="11" customFormat="1">
      <c r="A40" s="122" t="s">
        <v>25</v>
      </c>
      <c r="B40" s="123"/>
      <c r="C40" s="123"/>
      <c r="D40" s="123"/>
      <c r="E40" s="123"/>
      <c r="F40" s="123"/>
      <c r="G40" s="123"/>
      <c r="H40" s="123"/>
      <c r="I40" s="123"/>
      <c r="J40" s="123"/>
      <c r="K40" s="123"/>
      <c r="L40" s="124"/>
      <c r="M40" s="51">
        <f>SUM(M42:M65536)</f>
        <v>118.48011448550747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3.2530649769482167E-3</v>
      </c>
      <c r="AB40" s="91">
        <f>SUM(AB42:AB65536)</f>
        <v>-1.8212843412612756E-4</v>
      </c>
      <c r="AC40" s="91"/>
      <c r="AD40" s="91">
        <f>SUM(AD42:AD65536)</f>
        <v>3.2530649769482172E-3</v>
      </c>
      <c r="AE40" s="91">
        <f>SUM(AE42:AE65536)</f>
        <v>-1.8212843412612759E-4</v>
      </c>
      <c r="AF40" s="91">
        <f>SUM(AF42:AF65536)</f>
        <v>0</v>
      </c>
      <c r="AG40" s="91">
        <f>SUM(AG42:AG65536)</f>
        <v>0</v>
      </c>
      <c r="AH40" s="92"/>
      <c r="AI40" s="93">
        <v>1</v>
      </c>
      <c r="AJ40" s="92">
        <f>AJ44+AF44</f>
        <v>718317.65491741954</v>
      </c>
      <c r="AK40" s="92">
        <f>AK44+AG44</f>
        <v>458864.17632274982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2908.7099999999627</v>
      </c>
      <c r="G41" s="72">
        <f>IF(D42=0,D41-$D$41,D41-D42)</f>
        <v>3546.2599999999511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4586.5623130727699</v>
      </c>
      <c r="N41" s="36">
        <f>IF(F41=0,,ATAN(G41/F41))</f>
        <v>0.88384771306359045</v>
      </c>
      <c r="O41" s="36">
        <f>ABS(DEGREES(N41))</f>
        <v>50.640743690833531</v>
      </c>
      <c r="P41" s="37" t="str">
        <f>TEXT(INT(O41),"00")</f>
        <v>50</v>
      </c>
      <c r="Q41" s="38" t="str">
        <f>TEXT((O41-P41)*60,"00")</f>
        <v>38</v>
      </c>
      <c r="R41" s="39" t="str">
        <f>IF(L41="",IF(F41&gt;0,"S","N"),"")</f>
        <v>S</v>
      </c>
      <c r="S41" s="25" t="str">
        <f>IF(L41="",IF(INT(Q41)=60,INT(P41+1),P41),"due")</f>
        <v>50</v>
      </c>
      <c r="T41" s="38" t="str">
        <f>IF(L41="",IF(INT(Q41)=60,"00",Q41),L41)</f>
        <v>38</v>
      </c>
      <c r="U41" s="40" t="str">
        <f>IF(L41="",IF(G41&gt;0,"W","E"),"")</f>
        <v>W</v>
      </c>
      <c r="V41" s="41"/>
      <c r="W41" s="22">
        <f>IF(S41="due",90*(I41+K41),S41+T41/60)</f>
        <v>50.633333333333333</v>
      </c>
      <c r="X41" s="22">
        <f>IF(R41="",W41,IF(R41="N",IF(U41="E",180+W41,180-W41),IF(U41="E",360-W41,W41)))</f>
        <v>50.633333333333333</v>
      </c>
      <c r="Y41" s="22">
        <f>RADIANS(X41)</f>
        <v>0.88371837792646224</v>
      </c>
      <c r="Z41" s="64"/>
      <c r="AA41" s="58">
        <f>-M41*COS(Y41)</f>
        <v>-2909.16863169424</v>
      </c>
      <c r="AB41" s="58">
        <f>-M41*SIN(Y41)</f>
        <v>-3545.8837719341145</v>
      </c>
      <c r="AC41" s="64"/>
      <c r="AD41" s="22">
        <v>0</v>
      </c>
      <c r="AE41" s="22">
        <v>0</v>
      </c>
      <c r="AF41" s="22">
        <f t="shared" ref="AF41:AG43" si="0">AA41-AD41</f>
        <v>-2909.16863169424</v>
      </c>
      <c r="AG41" s="22">
        <f t="shared" si="0"/>
        <v>-3545.8837719341145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718319.91</v>
      </c>
      <c r="D42" s="60">
        <v>458903.96</v>
      </c>
      <c r="E42" s="79"/>
      <c r="F42" s="72">
        <f>IF(C43=0,C42-$C$42,C42-C43)</f>
        <v>20</v>
      </c>
      <c r="G42" s="72">
        <f>IF(D43=0,D42-$D$42,D42-D43)</f>
        <v>0.69000000000232831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20.011898960368633</v>
      </c>
      <c r="N42" s="36">
        <f>IF(F42=0,,ATAN(G42/F42))</f>
        <v>3.4486321892009231E-2</v>
      </c>
      <c r="O42" s="36">
        <f>ABS(DEGREES(N42))</f>
        <v>1.975920695341745</v>
      </c>
      <c r="P42" s="37" t="str">
        <f>TEXT(INT(O42),"00")</f>
        <v>01</v>
      </c>
      <c r="Q42" s="38" t="str">
        <f>TEXT((O42-P42)*60,"00")</f>
        <v>59</v>
      </c>
      <c r="R42" s="39" t="str">
        <f>IF(L42="",IF(F42&gt;0,"S","N"),"")</f>
        <v>S</v>
      </c>
      <c r="S42" s="25" t="str">
        <f>IF(L42="",IF(INT(Q42)=60,INT(P42+1),P42),"due")</f>
        <v>01</v>
      </c>
      <c r="T42" s="38" t="str">
        <f>IF(L42="",IF(INT(Q42)=60,"00",Q42),L42)</f>
        <v>59</v>
      </c>
      <c r="U42" s="40" t="str">
        <f>IF(L42="",IF(G42&gt;0,"W","E"),"")</f>
        <v>W</v>
      </c>
      <c r="V42" s="44"/>
      <c r="W42" s="22">
        <f>IF(S42="due",90*(I42+K42),S42+T42/60)</f>
        <v>1.9833333333333334</v>
      </c>
      <c r="X42" s="22">
        <f>IF(R42="",W42,IF(R42="N",IF(U42="E",180+W42,180-W42),IF(U42="E",360-W42,W42)))</f>
        <v>1.9833333333333334</v>
      </c>
      <c r="Y42" s="22">
        <f>RADIANS(X42)</f>
        <v>3.4615696831220871E-2</v>
      </c>
      <c r="Z42" s="64"/>
      <c r="AA42" s="58">
        <f>-M42*COS(Y42)</f>
        <v>-19.999910563913442</v>
      </c>
      <c r="AB42" s="58">
        <f>-M42*SIN(Y42)</f>
        <v>-0.69258749300477607</v>
      </c>
      <c r="AC42" s="64"/>
      <c r="AD42" s="82">
        <f>$AA$40/$M$40*M42</f>
        <v>5.4945935790908342E-4</v>
      </c>
      <c r="AE42" s="82">
        <f>$AB$40/$M$40*M42</f>
        <v>-3.0762426567270447E-5</v>
      </c>
      <c r="AF42" s="22">
        <f t="shared" si="0"/>
        <v>-20.000460023271351</v>
      </c>
      <c r="AG42" s="22">
        <f t="shared" si="0"/>
        <v>-0.69255673057820877</v>
      </c>
      <c r="AH42" s="63"/>
      <c r="AI42" s="38">
        <f>A42</f>
        <v>1</v>
      </c>
      <c r="AJ42" s="82">
        <f t="shared" ref="AJ42:AK44" si="1">AJ41+AF41</f>
        <v>718319.45136830572</v>
      </c>
      <c r="AK42" s="82">
        <f t="shared" si="1"/>
        <v>458904.33622806583</v>
      </c>
      <c r="AL42" s="66"/>
      <c r="AM42" s="9" t="str">
        <f>IF(A43=0,A42&amp;" - 1",A42&amp;" - "&amp;A43)</f>
        <v>1 - 2</v>
      </c>
      <c r="AN42" s="18">
        <f>F42</f>
        <v>20</v>
      </c>
      <c r="AO42" s="18">
        <f>AN42*G42</f>
        <v>13.800000000046566</v>
      </c>
      <c r="AP42" s="9" t="str">
        <f>D42&amp;","&amp;C42</f>
        <v>458903.96,718319.91</v>
      </c>
    </row>
    <row r="43" spans="1:44">
      <c r="A43" s="20">
        <f>A42+1</f>
        <v>2</v>
      </c>
      <c r="B43" s="44"/>
      <c r="C43" s="60">
        <v>718299.91</v>
      </c>
      <c r="D43" s="60">
        <v>458903.27</v>
      </c>
      <c r="E43" s="79"/>
      <c r="F43" s="72">
        <f>IF(C44=0,C43-$C$42,C43-C44)</f>
        <v>-1.0999999999767169</v>
      </c>
      <c r="G43" s="72">
        <f>IF(D44=0,D43-$D$42,D43-D44)</f>
        <v>40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40.015122141509814</v>
      </c>
      <c r="N43" s="36">
        <f>IF(F43=0,,ATAN(G43/F43))</f>
        <v>-1.5433032559433157</v>
      </c>
      <c r="O43" s="36">
        <f>ABS(DEGREES(N43))</f>
        <v>88.424763074350281</v>
      </c>
      <c r="P43" s="37" t="str">
        <f>TEXT(INT(O43),"00")</f>
        <v>88</v>
      </c>
      <c r="Q43" s="38" t="str">
        <f>TEXT((O43-P43)*60,"00")</f>
        <v>25</v>
      </c>
      <c r="R43" s="39" t="str">
        <f>IF(L43="",IF(F43&gt;0,"S","N"),"")</f>
        <v>N</v>
      </c>
      <c r="S43" s="25" t="str">
        <f>IF(L43="",IF(INT(Q43)=60,INT(P43+1),P43),"due")</f>
        <v>88</v>
      </c>
      <c r="T43" s="38" t="str">
        <f>IF(L43="",IF(INT(Q43)=60,"00",Q43),L43)</f>
        <v>25</v>
      </c>
      <c r="U43" s="40" t="str">
        <f>IF(L43="",IF(G43&gt;0,"W","E"),"")</f>
        <v>W</v>
      </c>
      <c r="V43" s="44"/>
      <c r="W43" s="22">
        <f>IF(S43="due",90*(I43+K43),S43+T43/60)</f>
        <v>88.416666666666671</v>
      </c>
      <c r="X43" s="22">
        <f>IF(R43="",W43,IF(R43="N",IF(U43="E",180+W43,180-W43),IF(U43="E",360-W43,W43)))</f>
        <v>91.583333333333329</v>
      </c>
      <c r="Y43" s="22">
        <f>RADIANS(X43)</f>
        <v>1.59843070661814</v>
      </c>
      <c r="Z43" s="64"/>
      <c r="AA43" s="58">
        <f>-M43*COS(Y43)</f>
        <v>1.105652347841882</v>
      </c>
      <c r="AB43" s="58">
        <f>-M43*SIN(Y43)</f>
        <v>-39.999844160767189</v>
      </c>
      <c r="AC43" s="64"/>
      <c r="AD43" s="82">
        <f>$AA$40/$M$40*M43</f>
        <v>1.0986805081351721E-3</v>
      </c>
      <c r="AE43" s="82">
        <f>$AB$40/$M$40*M43</f>
        <v>-6.1511516667975331E-5</v>
      </c>
      <c r="AF43" s="22">
        <f t="shared" si="0"/>
        <v>1.1045536673337468</v>
      </c>
      <c r="AG43" s="22">
        <f t="shared" si="0"/>
        <v>-39.99978264925052</v>
      </c>
      <c r="AH43" s="64"/>
      <c r="AI43" s="25">
        <f>A43</f>
        <v>2</v>
      </c>
      <c r="AJ43" s="82">
        <f t="shared" si="1"/>
        <v>718299.45090828242</v>
      </c>
      <c r="AK43" s="82">
        <f t="shared" si="1"/>
        <v>458903.64367133525</v>
      </c>
      <c r="AL43" s="66"/>
      <c r="AM43" s="9" t="str">
        <f>IF(A44=0,A43&amp;" - 1",A43&amp;" - "&amp;A44)</f>
        <v>2 - 3</v>
      </c>
      <c r="AN43" s="18">
        <f>AN42+F42+F43</f>
        <v>38.900000000023283</v>
      </c>
      <c r="AO43" s="18">
        <f>AN43*G43</f>
        <v>1556.0000000009313</v>
      </c>
      <c r="AP43" s="9" t="str">
        <f>D43&amp;","&amp;C43</f>
        <v>458903.27,718299.91</v>
      </c>
    </row>
    <row r="44" spans="1:44" s="46" customFormat="1">
      <c r="A44" s="20">
        <f>A43+1</f>
        <v>3</v>
      </c>
      <c r="B44" s="44"/>
      <c r="C44" s="60">
        <v>718301.01</v>
      </c>
      <c r="D44" s="60">
        <v>458863.27</v>
      </c>
      <c r="E44" s="79"/>
      <c r="F44" s="72">
        <f>IF(C45=0,C44-$C$42,C44-C45)</f>
        <v>-17.099999999976717</v>
      </c>
      <c r="G44" s="72">
        <f>IF(D45=0,D44-$D$42,D44-D45)</f>
        <v>-0.52999999996973202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17.108211478678058</v>
      </c>
      <c r="N44" s="22">
        <f>IF(F44=0,,ATAN(G44/F44))</f>
        <v>3.0984233047056321E-2</v>
      </c>
      <c r="O44" s="22">
        <f>ABS(DEGREES(N44))</f>
        <v>1.7752657850460978</v>
      </c>
      <c r="P44" s="24" t="str">
        <f>TEXT(INT(O44),"00")</f>
        <v>01</v>
      </c>
      <c r="Q44" s="25" t="str">
        <f>TEXT((O44-P44)*60,"00")</f>
        <v>47</v>
      </c>
      <c r="R44" s="23" t="str">
        <f>IF(L44="",IF(F44&gt;0,"S","N"),"")</f>
        <v>N</v>
      </c>
      <c r="S44" s="25" t="str">
        <f>IF(L44="",IF(INT(Q44)=60,INT(P44+1),P44),"due")</f>
        <v>01</v>
      </c>
      <c r="T44" s="25" t="str">
        <f>IF(L44="",IF(INT(Q44)=60,"00",Q44),L44)</f>
        <v>47</v>
      </c>
      <c r="U44" s="24" t="str">
        <f>IF(L44="",IF(G44&gt;0,"W","E"),"")</f>
        <v>E</v>
      </c>
      <c r="V44" s="44"/>
      <c r="W44" s="22">
        <f>IF(S44="due",90*(I44+K44),S44+T44/60)</f>
        <v>1.7833333333333332</v>
      </c>
      <c r="X44" s="22">
        <f>IF(R44="",W44,IF(R44="N",IF(U44="E",180+W44,180-W44),IF(U44="E",360-W44,W44)))</f>
        <v>181.78333333333333</v>
      </c>
      <c r="Y44" s="22">
        <f>RADIANS(X44)</f>
        <v>3.1727176919170255</v>
      </c>
      <c r="Z44" s="64"/>
      <c r="AA44" s="58">
        <f>-M44*COS(Y44)</f>
        <v>17.099925203665091</v>
      </c>
      <c r="AB44" s="58">
        <f>-M44*SIN(Y44)</f>
        <v>0.532407764998857</v>
      </c>
      <c r="AC44" s="64"/>
      <c r="AD44" s="82">
        <f>$AA$40/$M$40*M44</f>
        <v>4.6973387746277611E-4</v>
      </c>
      <c r="AE44" s="82">
        <f>$AB$40/$M$40*M44</f>
        <v>-2.6298858511749776E-5</v>
      </c>
      <c r="AF44" s="22">
        <f>AA44-AD44</f>
        <v>17.099455469787628</v>
      </c>
      <c r="AG44" s="22">
        <f>AB44-AE44</f>
        <v>0.5324340638573688</v>
      </c>
      <c r="AH44" s="64"/>
      <c r="AI44" s="25">
        <f>A44</f>
        <v>3</v>
      </c>
      <c r="AJ44" s="82">
        <f t="shared" si="1"/>
        <v>718300.55546194979</v>
      </c>
      <c r="AK44" s="82">
        <f t="shared" si="1"/>
        <v>458863.64388868597</v>
      </c>
      <c r="AL44" s="66"/>
      <c r="AM44" s="9" t="str">
        <f>IF(A45=0,A44&amp;" - 1",A44&amp;" - "&amp;A45)</f>
        <v>3 - 4</v>
      </c>
      <c r="AN44" s="18">
        <f>AN43+F43+F44</f>
        <v>20.700000000069849</v>
      </c>
      <c r="AO44" s="18">
        <f>AN44*G44</f>
        <v>-10.970999999410473</v>
      </c>
      <c r="AP44" s="9" t="str">
        <f>D44&amp;","&amp;C44</f>
        <v>458863.27,718301.01</v>
      </c>
    </row>
    <row r="45" spans="1:44" s="46" customFormat="1">
      <c r="A45" s="20">
        <f t="shared" ref="A45:A46" si="2">A44+1</f>
        <v>4</v>
      </c>
      <c r="B45" s="44"/>
      <c r="C45" s="60">
        <v>718318.11</v>
      </c>
      <c r="D45" s="60">
        <v>458863.8</v>
      </c>
      <c r="E45" s="79"/>
      <c r="F45" s="72">
        <f t="shared" ref="F45:F46" si="3">IF(C46=0,C45-$C$42,C45-C46)</f>
        <v>-2.9100000000325963</v>
      </c>
      <c r="G45" s="72">
        <f t="shared" ref="G45:G46" si="4">IF(D46=0,D45-$D$42,D45-D46)</f>
        <v>-3.0400000000372529</v>
      </c>
      <c r="H45" s="76" t="str">
        <f t="shared" ref="H45:H46" si="5">IF(G45=0,IF(F45&gt;0,"South","North"),"")</f>
        <v/>
      </c>
      <c r="I45" s="76">
        <f t="shared" ref="I45:I46" si="6">IF(H45="North",2,IF(H45="",0,0))</f>
        <v>0</v>
      </c>
      <c r="J45" s="76" t="str">
        <f t="shared" ref="J45:J46" si="7">IF(F45=0,IF(G45&gt;0,"West","East"),"")</f>
        <v/>
      </c>
      <c r="K45" s="76">
        <f t="shared" ref="K45:K46" si="8">IF(J45="West",1,IF(J45="",0,3))</f>
        <v>0</v>
      </c>
      <c r="L45" s="76" t="str">
        <f t="shared" ref="L45:L46" si="9">H45&amp;J45</f>
        <v/>
      </c>
      <c r="M45" s="22">
        <f t="shared" ref="M45:M46" si="10">SQRT(F45^2+G45^2)</f>
        <v>4.2082894387644263</v>
      </c>
      <c r="N45" s="22">
        <f t="shared" ref="N45:N46" si="11">IF(F45=0,,ATAN(G45/F45))</f>
        <v>0.80724342726375975</v>
      </c>
      <c r="O45" s="22">
        <f t="shared" ref="O45:O46" si="12">ABS(DEGREES(N45))</f>
        <v>46.251641421889289</v>
      </c>
      <c r="P45" s="24" t="str">
        <f t="shared" ref="P45:P46" si="13">TEXT(INT(O45),"00")</f>
        <v>46</v>
      </c>
      <c r="Q45" s="25" t="str">
        <f t="shared" ref="Q45:Q46" si="14">TEXT((O45-P45)*60,"00")</f>
        <v>15</v>
      </c>
      <c r="R45" s="23" t="str">
        <f t="shared" ref="R45:R46" si="15">IF(L45="",IF(F45&gt;0,"S","N"),"")</f>
        <v>N</v>
      </c>
      <c r="S45" s="25" t="str">
        <f t="shared" ref="S45:S46" si="16">IF(L45="",IF(INT(Q45)=60,INT(P45+1),P45),"due")</f>
        <v>46</v>
      </c>
      <c r="T45" s="25" t="str">
        <f t="shared" ref="T45:T46" si="17">IF(L45="",IF(INT(Q45)=60,"00",Q45),L45)</f>
        <v>15</v>
      </c>
      <c r="U45" s="24" t="str">
        <f t="shared" ref="U45:U46" si="18">IF(L45="",IF(G45&gt;0,"W","E"),"")</f>
        <v>E</v>
      </c>
      <c r="V45" s="44"/>
      <c r="W45" s="22">
        <f t="shared" ref="W45:W46" si="19">IF(S45="due",90*(I45+K45),S45+T45/60)</f>
        <v>46.25</v>
      </c>
      <c r="X45" s="22">
        <f t="shared" ref="X45:X46" si="20">IF(R45="",W45,IF(R45="N",IF(U45="E",180+W45,180-W45),IF(U45="E",360-W45,W45)))</f>
        <v>226.25</v>
      </c>
      <c r="Y45" s="22">
        <f t="shared" ref="Y45:Y46" si="21">RADIANS(X45)</f>
        <v>3.9488074326371705</v>
      </c>
      <c r="Z45" s="64"/>
      <c r="AA45" s="58">
        <f t="shared" ref="AA45:AA46" si="22">-M45*COS(Y45)</f>
        <v>2.9100870894162405</v>
      </c>
      <c r="AB45" s="58">
        <f t="shared" ref="AB45:AB46" si="23">-M45*SIN(Y45)</f>
        <v>3.0399166324800957</v>
      </c>
      <c r="AC45" s="64"/>
      <c r="AD45" s="82">
        <f t="shared" ref="AD45:AD46" si="24">$AA$40/$M$40*M45</f>
        <v>1.1554545710521042E-4</v>
      </c>
      <c r="AE45" s="82">
        <f t="shared" ref="AE45:AE46" si="25">$AB$40/$M$40*M45</f>
        <v>-6.4690110164050981E-6</v>
      </c>
      <c r="AF45" s="22">
        <f t="shared" ref="AF45:AF46" si="26">AA45-AD45</f>
        <v>2.9099715439591352</v>
      </c>
      <c r="AG45" s="22">
        <f t="shared" ref="AG45:AG46" si="27">AB45-AE45</f>
        <v>3.0399231014911119</v>
      </c>
      <c r="AH45" s="64"/>
      <c r="AI45" s="25">
        <f t="shared" ref="AI45:AI46" si="28">A45</f>
        <v>4</v>
      </c>
      <c r="AJ45" s="82">
        <f t="shared" ref="AJ45:AJ46" si="29">AJ44+AF44</f>
        <v>718317.65491741954</v>
      </c>
      <c r="AK45" s="82">
        <f t="shared" ref="AK45:AK46" si="30">AK44+AG44</f>
        <v>458864.17632274982</v>
      </c>
      <c r="AL45" s="66"/>
      <c r="AM45" s="9" t="str">
        <f t="shared" ref="AM45:AM46" si="31">IF(A46=0,A45&amp;" - 1",A45&amp;" - "&amp;A46)</f>
        <v>4 - 5</v>
      </c>
      <c r="AN45" s="18">
        <f t="shared" ref="AN45:AN46" si="32">AN44+F44+F45</f>
        <v>0.69000000006053597</v>
      </c>
      <c r="AO45" s="18">
        <f t="shared" ref="AO45:AO46" si="33">AN45*G45</f>
        <v>-2.0976000002097339</v>
      </c>
      <c r="AP45" s="9" t="str">
        <f t="shared" ref="AP45:AP46" si="34">D45&amp;","&amp;C45</f>
        <v>458863.8,718318.11</v>
      </c>
    </row>
    <row r="46" spans="1:44" s="46" customFormat="1">
      <c r="A46" s="20">
        <f t="shared" si="2"/>
        <v>5</v>
      </c>
      <c r="B46" s="44"/>
      <c r="C46" s="60">
        <v>718321.02</v>
      </c>
      <c r="D46" s="60">
        <v>458866.84</v>
      </c>
      <c r="E46" s="79"/>
      <c r="F46" s="72">
        <f t="shared" si="3"/>
        <v>1.1099999999860302</v>
      </c>
      <c r="G46" s="72">
        <f t="shared" si="4"/>
        <v>-37.119999999995343</v>
      </c>
      <c r="H46" s="76" t="str">
        <f t="shared" si="5"/>
        <v/>
      </c>
      <c r="I46" s="76">
        <f t="shared" si="6"/>
        <v>0</v>
      </c>
      <c r="J46" s="76" t="str">
        <f t="shared" si="7"/>
        <v/>
      </c>
      <c r="K46" s="76">
        <f t="shared" si="8"/>
        <v>0</v>
      </c>
      <c r="L46" s="76" t="str">
        <f t="shared" si="9"/>
        <v/>
      </c>
      <c r="M46" s="22">
        <f t="shared" si="10"/>
        <v>37.136592466186549</v>
      </c>
      <c r="N46" s="22">
        <f t="shared" si="11"/>
        <v>-1.5409022177723743</v>
      </c>
      <c r="O46" s="22">
        <f t="shared" si="12"/>
        <v>88.287193720705517</v>
      </c>
      <c r="P46" s="24" t="str">
        <f t="shared" si="13"/>
        <v>88</v>
      </c>
      <c r="Q46" s="25" t="str">
        <f t="shared" si="14"/>
        <v>17</v>
      </c>
      <c r="R46" s="23" t="str">
        <f t="shared" si="15"/>
        <v>S</v>
      </c>
      <c r="S46" s="25" t="str">
        <f t="shared" si="16"/>
        <v>88</v>
      </c>
      <c r="T46" s="25" t="str">
        <f t="shared" si="17"/>
        <v>17</v>
      </c>
      <c r="U46" s="24" t="str">
        <f t="shared" si="18"/>
        <v>E</v>
      </c>
      <c r="V46" s="44"/>
      <c r="W46" s="22">
        <f t="shared" si="19"/>
        <v>88.283333333333331</v>
      </c>
      <c r="X46" s="22">
        <f t="shared" si="20"/>
        <v>271.7166666666667</v>
      </c>
      <c r="Y46" s="22">
        <f t="shared" si="21"/>
        <v>4.7423504658772595</v>
      </c>
      <c r="Z46" s="64"/>
      <c r="AA46" s="58">
        <f t="shared" si="22"/>
        <v>-1.1125010120328236</v>
      </c>
      <c r="AB46" s="58">
        <f t="shared" si="23"/>
        <v>37.119925127858885</v>
      </c>
      <c r="AC46" s="64"/>
      <c r="AD46" s="82">
        <f t="shared" si="24"/>
        <v>1.0196457763359751E-3</v>
      </c>
      <c r="AE46" s="82">
        <f t="shared" si="25"/>
        <v>-5.7086621362726919E-5</v>
      </c>
      <c r="AF46" s="22">
        <f t="shared" si="26"/>
        <v>-1.1135206578091597</v>
      </c>
      <c r="AG46" s="22">
        <f t="shared" si="27"/>
        <v>37.119982214480245</v>
      </c>
      <c r="AH46" s="64"/>
      <c r="AI46" s="25">
        <f t="shared" si="28"/>
        <v>5</v>
      </c>
      <c r="AJ46" s="82">
        <f t="shared" si="29"/>
        <v>718320.56488896348</v>
      </c>
      <c r="AK46" s="82">
        <f t="shared" si="30"/>
        <v>458867.2162458513</v>
      </c>
      <c r="AL46" s="66"/>
      <c r="AM46" s="9" t="str">
        <f t="shared" si="31"/>
        <v>5 - 1</v>
      </c>
      <c r="AN46" s="18">
        <f t="shared" si="32"/>
        <v>-1.1099999999860302</v>
      </c>
      <c r="AO46" s="18">
        <f t="shared" si="33"/>
        <v>41.203199999476269</v>
      </c>
      <c r="AP46" s="9" t="str">
        <f t="shared" si="34"/>
        <v>458866.84,718321.02</v>
      </c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  <mergeCell ref="AP38:AP39"/>
    <mergeCell ref="N39:Q39"/>
    <mergeCell ref="M38:U38"/>
    <mergeCell ref="B34:C34"/>
    <mergeCell ref="B35:C35"/>
    <mergeCell ref="A40:L40"/>
    <mergeCell ref="A28:B28"/>
    <mergeCell ref="A29:B29"/>
    <mergeCell ref="B32:C32"/>
    <mergeCell ref="B33:C33"/>
    <mergeCell ref="AM38:AO38"/>
    <mergeCell ref="R39:U39"/>
    <mergeCell ref="V38:V39"/>
    <mergeCell ref="AA38:AA39"/>
    <mergeCell ref="AB38:AB39"/>
  </mergeCells>
  <phoneticPr fontId="6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6"/>
  <dimension ref="A1:AS47"/>
  <sheetViews>
    <sheetView workbookViewId="0">
      <selection activeCell="C7" sqref="C7:D7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11" t="s">
        <v>48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  <c r="Q1" s="111"/>
      <c r="R1" s="111"/>
      <c r="S1" s="111"/>
      <c r="T1" s="111"/>
      <c r="U1" s="111"/>
      <c r="V1" s="111"/>
      <c r="W1" s="111"/>
      <c r="X1" s="111"/>
      <c r="Y1" s="111"/>
      <c r="Z1" s="111"/>
      <c r="AA1" s="111"/>
      <c r="AB1" s="111"/>
      <c r="AC1" s="111"/>
      <c r="AD1" s="111"/>
      <c r="AE1" s="111"/>
      <c r="AF1" s="111"/>
      <c r="AG1" s="111"/>
      <c r="AH1" s="111"/>
      <c r="AI1" s="111"/>
      <c r="AJ1" s="111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09"/>
      <c r="D7" s="110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09"/>
      <c r="D8" s="110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09"/>
      <c r="D9" s="110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09"/>
      <c r="D10" s="110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09"/>
      <c r="D11" s="110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09"/>
      <c r="D12" s="110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09"/>
      <c r="D13" s="110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09"/>
      <c r="D14" s="110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09"/>
      <c r="D15" s="110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09"/>
      <c r="D16" s="110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09"/>
      <c r="D19" s="110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/>
      <c r="B22" s="67" t="s">
        <v>1</v>
      </c>
      <c r="C22" s="68"/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/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/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12" t="s">
        <v>16</v>
      </c>
      <c r="B28" s="112"/>
      <c r="C28" s="33">
        <f>ABS(SUM(AO42:AO65536))</f>
        <v>0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16" t="s">
        <v>17</v>
      </c>
      <c r="B29" s="116"/>
      <c r="C29" s="32">
        <f>ABS(C28/2)</f>
        <v>0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16">
        <f>SQRT(AA40^2+AB40^2)</f>
        <v>0</v>
      </c>
      <c r="C32" s="116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0" t="e">
        <f>M40/B32</f>
        <v>#DIV/0!</v>
      </c>
      <c r="C33" s="120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16" t="e">
        <f>"1 : "&amp;TEXT(B35,"00")</f>
        <v>#DIV/0!</v>
      </c>
      <c r="C34" s="116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19" t="e">
        <f>ROUND(B33,2-LEN(INT(B33)))</f>
        <v>#DIV/0!</v>
      </c>
      <c r="C35" s="119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7" t="s">
        <v>9</v>
      </c>
      <c r="B38" s="88"/>
      <c r="C38" s="125" t="s">
        <v>7</v>
      </c>
      <c r="D38" s="125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6" t="s">
        <v>8</v>
      </c>
      <c r="N38" s="126"/>
      <c r="O38" s="126"/>
      <c r="P38" s="126"/>
      <c r="Q38" s="126"/>
      <c r="R38" s="126"/>
      <c r="S38" s="126"/>
      <c r="T38" s="126"/>
      <c r="U38" s="126"/>
      <c r="V38" s="127"/>
      <c r="W38" s="59"/>
      <c r="X38" s="59" t="s">
        <v>33</v>
      </c>
      <c r="Y38" s="59" t="s">
        <v>34</v>
      </c>
      <c r="Z38" s="80"/>
      <c r="AA38" s="117" t="s">
        <v>30</v>
      </c>
      <c r="AB38" s="117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3" t="s">
        <v>55</v>
      </c>
      <c r="AK38" s="115"/>
      <c r="AL38" s="65"/>
      <c r="AM38" s="113" t="s">
        <v>18</v>
      </c>
      <c r="AN38" s="114"/>
      <c r="AO38" s="115"/>
      <c r="AP38" s="121" t="s">
        <v>56</v>
      </c>
    </row>
    <row r="39" spans="1:44">
      <c r="A39" s="118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3" t="s">
        <v>21</v>
      </c>
      <c r="O39" s="114"/>
      <c r="P39" s="114"/>
      <c r="Q39" s="115"/>
      <c r="R39" s="113" t="s">
        <v>24</v>
      </c>
      <c r="S39" s="114"/>
      <c r="T39" s="114"/>
      <c r="U39" s="115"/>
      <c r="V39" s="128"/>
      <c r="W39" s="59"/>
      <c r="X39" s="59"/>
      <c r="Y39" s="59"/>
      <c r="Z39" s="81"/>
      <c r="AA39" s="118"/>
      <c r="AB39" s="118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21"/>
    </row>
    <row r="40" spans="1:44" s="11" customFormat="1">
      <c r="A40" s="122" t="s">
        <v>25</v>
      </c>
      <c r="B40" s="123"/>
      <c r="C40" s="123"/>
      <c r="D40" s="123"/>
      <c r="E40" s="123"/>
      <c r="F40" s="123"/>
      <c r="G40" s="123"/>
      <c r="H40" s="123"/>
      <c r="I40" s="123"/>
      <c r="J40" s="123"/>
      <c r="K40" s="123"/>
      <c r="L40" s="124"/>
      <c r="M40" s="51">
        <f>SUM(M42:M65536)</f>
        <v>0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0</v>
      </c>
      <c r="AB40" s="91">
        <f>SUM(AB42:AB65536)</f>
        <v>0</v>
      </c>
      <c r="AC40" s="91"/>
      <c r="AD40" s="91" t="e">
        <f>SUM(AD42:AD65536)</f>
        <v>#DIV/0!</v>
      </c>
      <c r="AE40" s="91" t="e">
        <f>SUM(AE42:AE65536)</f>
        <v>#DIV/0!</v>
      </c>
      <c r="AF40" s="91" t="e">
        <f>SUM(AF42:AF65536)</f>
        <v>#DIV/0!</v>
      </c>
      <c r="AG40" s="91" t="e">
        <f>SUM(AG42:AG65536)</f>
        <v>#DIV/0!</v>
      </c>
      <c r="AH40" s="92"/>
      <c r="AI40" s="93">
        <v>1</v>
      </c>
      <c r="AJ40" s="92" t="e">
        <f>AJ44+AF44</f>
        <v>#DIV/0!</v>
      </c>
      <c r="AK40" s="92" t="e">
        <f>AK44+AG44</f>
        <v>#DIV/0!</v>
      </c>
      <c r="AL40" s="92"/>
      <c r="AM40" s="51"/>
      <c r="AN40" s="57"/>
      <c r="AO40" s="52"/>
      <c r="AP40" s="103"/>
    </row>
    <row r="41" spans="1:44">
      <c r="A41" s="34" t="str">
        <f>IF(A22=0, " ",  A22)</f>
        <v xml:space="preserve"> </v>
      </c>
      <c r="B41" s="89"/>
      <c r="C41" s="35">
        <f>C22</f>
        <v>0</v>
      </c>
      <c r="D41" s="35">
        <f>C23</f>
        <v>0</v>
      </c>
      <c r="E41" s="78"/>
      <c r="F41" s="72">
        <f>IF(C42=0,C41-$C$41,C41-C42)</f>
        <v>0</v>
      </c>
      <c r="G41" s="72">
        <f>IF(D42=0,D41-$D$41,D41-D42)</f>
        <v>0</v>
      </c>
      <c r="H41" s="75" t="str">
        <f>IF(G41=0,IF(F41&gt;0,"South","North"),"")</f>
        <v>North</v>
      </c>
      <c r="I41" s="75">
        <f>IF(H41="North",2,IF(H41="",0,0))</f>
        <v>2</v>
      </c>
      <c r="J41" s="75" t="str">
        <f>IF(F41=0,IF(G41&gt;0,"West","East"),"")</f>
        <v>East</v>
      </c>
      <c r="K41" s="75">
        <f>IF(J41="West",1,IF(J41="",0,3))</f>
        <v>3</v>
      </c>
      <c r="L41" s="75" t="str">
        <f>H41&amp;J41</f>
        <v>NorthEast</v>
      </c>
      <c r="M41" s="36">
        <f>SQRT(F41^2+G41^2)</f>
        <v>0</v>
      </c>
      <c r="N41" s="36">
        <f>IF(F41=0,,ATAN(G41/F41))</f>
        <v>0</v>
      </c>
      <c r="O41" s="36">
        <f>ABS(DEGREES(N41))</f>
        <v>0</v>
      </c>
      <c r="P41" s="37" t="str">
        <f>TEXT(INT(O41),"00")</f>
        <v>00</v>
      </c>
      <c r="Q41" s="38" t="str">
        <f>TEXT((O41-P41)*60,"00")</f>
        <v>00</v>
      </c>
      <c r="R41" s="39" t="str">
        <f>IF(L41="",IF(F41&gt;0,"S","N"),"")</f>
        <v/>
      </c>
      <c r="S41" s="25" t="str">
        <f>IF(L41="",IF(INT(Q41)=60,INT(P41+1),P41),"due")</f>
        <v>due</v>
      </c>
      <c r="T41" s="38" t="str">
        <f>IF(L41="",IF(INT(Q41)=60,"00",Q41),L41)</f>
        <v>NorthEast</v>
      </c>
      <c r="U41" s="40" t="str">
        <f>IF(L41="",IF(G41&gt;0,"W","E"),"")</f>
        <v/>
      </c>
      <c r="V41" s="41"/>
      <c r="W41" s="22">
        <f>IF(S41="due",90*(I41+K41),S41+T41/60)</f>
        <v>450</v>
      </c>
      <c r="X41" s="22">
        <f>IF(R41="",W41,IF(R41="N",IF(U41="E",180+W41,180-W41),IF(U41="E",360-W41,W41)))</f>
        <v>450</v>
      </c>
      <c r="Y41" s="22">
        <f>RADIANS(X41)</f>
        <v>7.8539816339744828</v>
      </c>
      <c r="Z41" s="64"/>
      <c r="AA41" s="58">
        <f>-M41*COS(Y41)</f>
        <v>0</v>
      </c>
      <c r="AB41" s="58">
        <f>-M41*SIN(Y41)</f>
        <v>0</v>
      </c>
      <c r="AC41" s="64"/>
      <c r="AD41" s="22">
        <v>0</v>
      </c>
      <c r="AE41" s="22">
        <v>0</v>
      </c>
      <c r="AF41" s="22">
        <f t="shared" ref="AF41:AG43" si="0">AA41-AD41</f>
        <v>0</v>
      </c>
      <c r="AG41" s="22">
        <f t="shared" si="0"/>
        <v>0</v>
      </c>
      <c r="AH41" s="63"/>
      <c r="AI41" s="36" t="str">
        <f>A41</f>
        <v xml:space="preserve"> </v>
      </c>
      <c r="AJ41" s="36">
        <f>C41</f>
        <v>0</v>
      </c>
      <c r="AK41" s="36">
        <f>D41</f>
        <v>0</v>
      </c>
      <c r="AL41" s="63"/>
      <c r="AM41" s="42" t="str">
        <f>IF(A42=0,A41&amp;" - 1",A41&amp;" - "&amp;A42)</f>
        <v xml:space="preserve">  - 1</v>
      </c>
      <c r="AN41" s="42"/>
      <c r="AO41" s="43"/>
      <c r="AP41" s="9"/>
    </row>
    <row r="42" spans="1:44">
      <c r="A42" s="20">
        <v>1</v>
      </c>
      <c r="B42" s="44"/>
      <c r="C42" s="60"/>
      <c r="D42" s="60"/>
      <c r="E42" s="79"/>
      <c r="F42" s="72">
        <f>IF(C43=0,C42-$C$42,C42-C43)</f>
        <v>0</v>
      </c>
      <c r="G42" s="72">
        <f>IF(D43=0,D42-$D$42,D42-D43)</f>
        <v>0</v>
      </c>
      <c r="H42" s="75" t="str">
        <f>IF(G42=0,IF(F42&gt;0,"South","North"),"")</f>
        <v>North</v>
      </c>
      <c r="I42" s="75">
        <f>IF(H42="North",2,IF(H42="",0,0))</f>
        <v>2</v>
      </c>
      <c r="J42" s="75" t="str">
        <f>IF(F42=0,IF(G42&gt;0,"West","East"),"")</f>
        <v>East</v>
      </c>
      <c r="K42" s="75">
        <f>IF(J42="West",1,IF(J42="",0,3))</f>
        <v>3</v>
      </c>
      <c r="L42" s="75" t="str">
        <f>H42&amp;J42</f>
        <v>NorthEast</v>
      </c>
      <c r="M42" s="36">
        <f>SQRT(F42^2+G42^2)</f>
        <v>0</v>
      </c>
      <c r="N42" s="36">
        <f>IF(F42=0,,ATAN(G42/F42))</f>
        <v>0</v>
      </c>
      <c r="O42" s="36">
        <f>ABS(DEGREES(N42))</f>
        <v>0</v>
      </c>
      <c r="P42" s="37" t="str">
        <f>TEXT(INT(O42),"00")</f>
        <v>00</v>
      </c>
      <c r="Q42" s="38" t="str">
        <f>TEXT((O42-P42)*60,"00")</f>
        <v>00</v>
      </c>
      <c r="R42" s="39" t="str">
        <f>IF(L42="",IF(F42&gt;0,"S","N"),"")</f>
        <v/>
      </c>
      <c r="S42" s="25" t="str">
        <f>IF(L42="",IF(INT(Q42)=60,INT(P42+1),P42),"due")</f>
        <v>due</v>
      </c>
      <c r="T42" s="38" t="str">
        <f>IF(L42="",IF(INT(Q42)=60,"00",Q42),L42)</f>
        <v>NorthEast</v>
      </c>
      <c r="U42" s="40" t="str">
        <f>IF(L42="",IF(G42&gt;0,"W","E"),"")</f>
        <v/>
      </c>
      <c r="V42" s="44"/>
      <c r="W42" s="22">
        <f>IF(S42="due",90*(I42+K42),S42+T42/60)</f>
        <v>450</v>
      </c>
      <c r="X42" s="22">
        <f>IF(R42="",W42,IF(R42="N",IF(U42="E",180+W42,180-W42),IF(U42="E",360-W42,W42)))</f>
        <v>450</v>
      </c>
      <c r="Y42" s="22">
        <f>RADIANS(X42)</f>
        <v>7.8539816339744828</v>
      </c>
      <c r="Z42" s="64"/>
      <c r="AA42" s="58">
        <f>-M42*COS(Y42)</f>
        <v>0</v>
      </c>
      <c r="AB42" s="58">
        <f>-M42*SIN(Y42)</f>
        <v>0</v>
      </c>
      <c r="AC42" s="64"/>
      <c r="AD42" s="82" t="e">
        <f>$AA$40/$M$40*M42</f>
        <v>#DIV/0!</v>
      </c>
      <c r="AE42" s="82" t="e">
        <f>$AB$40/$M$40*M42</f>
        <v>#DIV/0!</v>
      </c>
      <c r="AF42" s="22" t="e">
        <f t="shared" si="0"/>
        <v>#DIV/0!</v>
      </c>
      <c r="AG42" s="22" t="e">
        <f t="shared" si="0"/>
        <v>#DIV/0!</v>
      </c>
      <c r="AH42" s="63"/>
      <c r="AI42" s="38">
        <f>A42</f>
        <v>1</v>
      </c>
      <c r="AJ42" s="82">
        <f t="shared" ref="AJ42:AK44" si="1">AJ41+AF41</f>
        <v>0</v>
      </c>
      <c r="AK42" s="82">
        <f t="shared" si="1"/>
        <v>0</v>
      </c>
      <c r="AL42" s="66"/>
      <c r="AM42" s="9" t="str">
        <f>IF(A43=0,A42&amp;" - 1",A42&amp;" - "&amp;A43)</f>
        <v>1 - 2</v>
      </c>
      <c r="AN42" s="18">
        <f>F42</f>
        <v>0</v>
      </c>
      <c r="AO42" s="18">
        <f>AN42*G42</f>
        <v>0</v>
      </c>
      <c r="AP42" s="9" t="str">
        <f>D42&amp;","&amp;C42</f>
        <v>,</v>
      </c>
    </row>
    <row r="43" spans="1:44">
      <c r="A43" s="20">
        <f>A42+1</f>
        <v>2</v>
      </c>
      <c r="B43" s="44"/>
      <c r="C43" s="60"/>
      <c r="D43" s="60"/>
      <c r="E43" s="79"/>
      <c r="F43" s="72">
        <f>IF(C44=0,C43-$C$42,C43-C44)</f>
        <v>0</v>
      </c>
      <c r="G43" s="72">
        <f>IF(D44=0,D43-$D$42,D43-D44)</f>
        <v>0</v>
      </c>
      <c r="H43" s="75" t="str">
        <f>IF(G43=0,IF(F43&gt;0,"South","North"),"")</f>
        <v>North</v>
      </c>
      <c r="I43" s="75">
        <f>IF(H43="North",2,IF(H43="",0,0))</f>
        <v>2</v>
      </c>
      <c r="J43" s="75" t="str">
        <f>IF(F43=0,IF(G43&gt;0,"West","East"),"")</f>
        <v>East</v>
      </c>
      <c r="K43" s="75">
        <f>IF(J43="West",1,IF(J43="",0,3))</f>
        <v>3</v>
      </c>
      <c r="L43" s="75" t="str">
        <f>H43&amp;J43</f>
        <v>NorthEast</v>
      </c>
      <c r="M43" s="36">
        <f>SQRT(F43^2+G43^2)</f>
        <v>0</v>
      </c>
      <c r="N43" s="36">
        <f>IF(F43=0,,ATAN(G43/F43))</f>
        <v>0</v>
      </c>
      <c r="O43" s="36">
        <f>ABS(DEGREES(N43))</f>
        <v>0</v>
      </c>
      <c r="P43" s="37" t="str">
        <f>TEXT(INT(O43),"00")</f>
        <v>00</v>
      </c>
      <c r="Q43" s="38" t="str">
        <f>TEXT((O43-P43)*60,"00")</f>
        <v>00</v>
      </c>
      <c r="R43" s="39" t="str">
        <f>IF(L43="",IF(F43&gt;0,"S","N"),"")</f>
        <v/>
      </c>
      <c r="S43" s="25" t="str">
        <f>IF(L43="",IF(INT(Q43)=60,INT(P43+1),P43),"due")</f>
        <v>due</v>
      </c>
      <c r="T43" s="38" t="str">
        <f>IF(L43="",IF(INT(Q43)=60,"00",Q43),L43)</f>
        <v>NorthEast</v>
      </c>
      <c r="U43" s="40" t="str">
        <f>IF(L43="",IF(G43&gt;0,"W","E"),"")</f>
        <v/>
      </c>
      <c r="V43" s="44"/>
      <c r="W43" s="22">
        <f>IF(S43="due",90*(I43+K43),S43+T43/60)</f>
        <v>450</v>
      </c>
      <c r="X43" s="22">
        <f>IF(R43="",W43,IF(R43="N",IF(U43="E",180+W43,180-W43),IF(U43="E",360-W43,W43)))</f>
        <v>450</v>
      </c>
      <c r="Y43" s="22">
        <f>RADIANS(X43)</f>
        <v>7.8539816339744828</v>
      </c>
      <c r="Z43" s="64"/>
      <c r="AA43" s="58">
        <f>-M43*COS(Y43)</f>
        <v>0</v>
      </c>
      <c r="AB43" s="58">
        <f>-M43*SIN(Y43)</f>
        <v>0</v>
      </c>
      <c r="AC43" s="64"/>
      <c r="AD43" s="82" t="e">
        <f>$AA$40/$M$40*M43</f>
        <v>#DIV/0!</v>
      </c>
      <c r="AE43" s="82" t="e">
        <f>$AB$40/$M$40*M43</f>
        <v>#DIV/0!</v>
      </c>
      <c r="AF43" s="22" t="e">
        <f t="shared" si="0"/>
        <v>#DIV/0!</v>
      </c>
      <c r="AG43" s="22" t="e">
        <f t="shared" si="0"/>
        <v>#DIV/0!</v>
      </c>
      <c r="AH43" s="64"/>
      <c r="AI43" s="25">
        <f>A43</f>
        <v>2</v>
      </c>
      <c r="AJ43" s="82" t="e">
        <f t="shared" si="1"/>
        <v>#DIV/0!</v>
      </c>
      <c r="AK43" s="82" t="e">
        <f t="shared" si="1"/>
        <v>#DIV/0!</v>
      </c>
      <c r="AL43" s="66"/>
      <c r="AM43" s="9" t="str">
        <f>IF(A44=0,A43&amp;" - 1",A43&amp;" - "&amp;A44)</f>
        <v>2 - 3</v>
      </c>
      <c r="AN43" s="18">
        <f>AN42+F42+F43</f>
        <v>0</v>
      </c>
      <c r="AO43" s="18">
        <f>AN43*G43</f>
        <v>0</v>
      </c>
      <c r="AP43" s="9" t="str">
        <f>D43&amp;","&amp;C43</f>
        <v>,</v>
      </c>
    </row>
    <row r="44" spans="1:44" s="46" customFormat="1">
      <c r="A44" s="20">
        <f>A43+1</f>
        <v>3</v>
      </c>
      <c r="B44" s="44"/>
      <c r="C44" s="60"/>
      <c r="D44" s="60"/>
      <c r="E44" s="79"/>
      <c r="F44" s="72">
        <f>IF(C45=0,C44-$C$42,C44-C45)</f>
        <v>0</v>
      </c>
      <c r="G44" s="72">
        <f>IF(D45=0,D44-$D$42,D44-D45)</f>
        <v>0</v>
      </c>
      <c r="H44" s="76" t="str">
        <f>IF(G44=0,IF(F44&gt;0,"South","North"),"")</f>
        <v>North</v>
      </c>
      <c r="I44" s="76">
        <f>IF(H44="North",2,IF(H44="",0,0))</f>
        <v>2</v>
      </c>
      <c r="J44" s="76" t="str">
        <f>IF(F44=0,IF(G44&gt;0,"West","East"),"")</f>
        <v>East</v>
      </c>
      <c r="K44" s="76">
        <f>IF(J44="West",1,IF(J44="",0,3))</f>
        <v>3</v>
      </c>
      <c r="L44" s="76" t="str">
        <f>H44&amp;J44</f>
        <v>NorthEast</v>
      </c>
      <c r="M44" s="22">
        <f>SQRT(F44^2+G44^2)</f>
        <v>0</v>
      </c>
      <c r="N44" s="22">
        <f>IF(F44=0,,ATAN(G44/F44))</f>
        <v>0</v>
      </c>
      <c r="O44" s="22">
        <f>ABS(DEGREES(N44))</f>
        <v>0</v>
      </c>
      <c r="P44" s="24" t="str">
        <f>TEXT(INT(O44),"00")</f>
        <v>00</v>
      </c>
      <c r="Q44" s="25" t="str">
        <f>TEXT((O44-P44)*60,"00")</f>
        <v>00</v>
      </c>
      <c r="R44" s="23" t="str">
        <f>IF(L44="",IF(F44&gt;0,"S","N"),"")</f>
        <v/>
      </c>
      <c r="S44" s="25" t="str">
        <f>IF(L44="",IF(INT(Q44)=60,INT(P44+1),P44),"due")</f>
        <v>due</v>
      </c>
      <c r="T44" s="25" t="str">
        <f>IF(L44="",IF(INT(Q44)=60,"00",Q44),L44)</f>
        <v>NorthEast</v>
      </c>
      <c r="U44" s="24" t="str">
        <f>IF(L44="",IF(G44&gt;0,"W","E"),"")</f>
        <v/>
      </c>
      <c r="V44" s="44"/>
      <c r="W44" s="22">
        <f>IF(S44="due",90*(I44+K44),S44+T44/60)</f>
        <v>450</v>
      </c>
      <c r="X44" s="22">
        <f>IF(R44="",W44,IF(R44="N",IF(U44="E",180+W44,180-W44),IF(U44="E",360-W44,W44)))</f>
        <v>450</v>
      </c>
      <c r="Y44" s="22">
        <f>RADIANS(X44)</f>
        <v>7.8539816339744828</v>
      </c>
      <c r="Z44" s="64"/>
      <c r="AA44" s="58">
        <f>-M44*COS(Y44)</f>
        <v>0</v>
      </c>
      <c r="AB44" s="58">
        <f>-M44*SIN(Y44)</f>
        <v>0</v>
      </c>
      <c r="AC44" s="64"/>
      <c r="AD44" s="82" t="e">
        <f>$AA$40/$M$40*M44</f>
        <v>#DIV/0!</v>
      </c>
      <c r="AE44" s="82" t="e">
        <f>$AB$40/$M$40*M44</f>
        <v>#DIV/0!</v>
      </c>
      <c r="AF44" s="22" t="e">
        <f>AA44-AD44</f>
        <v>#DIV/0!</v>
      </c>
      <c r="AG44" s="22" t="e">
        <f>AB44-AE44</f>
        <v>#DIV/0!</v>
      </c>
      <c r="AH44" s="64"/>
      <c r="AI44" s="25">
        <f>A44</f>
        <v>3</v>
      </c>
      <c r="AJ44" s="82" t="e">
        <f t="shared" si="1"/>
        <v>#DIV/0!</v>
      </c>
      <c r="AK44" s="82" t="e">
        <f t="shared" si="1"/>
        <v>#DIV/0!</v>
      </c>
      <c r="AL44" s="66"/>
      <c r="AM44" s="9" t="str">
        <f>IF(A45=0,A44&amp;" - 1",A44&amp;" - "&amp;A45)</f>
        <v>3 - 1</v>
      </c>
      <c r="AN44" s="18">
        <f>AN43+F43+F44</f>
        <v>0</v>
      </c>
      <c r="AO44" s="18">
        <f>AN44*G44</f>
        <v>0</v>
      </c>
      <c r="AP44" s="9" t="str">
        <f>D44&amp;","&amp;C44</f>
        <v>,</v>
      </c>
    </row>
    <row r="45" spans="1:44" s="46" customFormat="1">
      <c r="A45" s="28"/>
      <c r="B45" s="28"/>
      <c r="F45" s="47"/>
      <c r="G45" s="47"/>
      <c r="H45" s="47"/>
      <c r="I45" s="48"/>
      <c r="J45" s="48"/>
      <c r="K45" s="48"/>
      <c r="L45" s="28"/>
      <c r="M45" s="50"/>
      <c r="N45" s="48"/>
      <c r="O45" s="49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I45" s="47"/>
      <c r="AJ45" s="47"/>
    </row>
    <row r="46" spans="1:44" s="46" customFormat="1">
      <c r="A46" s="28"/>
      <c r="B46" s="28"/>
      <c r="F46" s="47"/>
      <c r="G46" s="47"/>
      <c r="H46" s="47"/>
      <c r="I46" s="48"/>
      <c r="J46" s="48"/>
      <c r="K46" s="48"/>
      <c r="L46" s="28"/>
      <c r="M46" s="50"/>
      <c r="N46" s="48"/>
      <c r="O46" s="49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I46" s="47"/>
      <c r="AJ46" s="47"/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  <mergeCell ref="AP38:AP39"/>
    <mergeCell ref="N39:Q39"/>
    <mergeCell ref="M38:U38"/>
    <mergeCell ref="B34:C34"/>
    <mergeCell ref="B35:C35"/>
    <mergeCell ref="A40:L40"/>
    <mergeCell ref="A28:B28"/>
    <mergeCell ref="A29:B29"/>
    <mergeCell ref="B32:C32"/>
    <mergeCell ref="B33:C33"/>
    <mergeCell ref="AM38:AO38"/>
    <mergeCell ref="R39:U39"/>
    <mergeCell ref="V38:V39"/>
    <mergeCell ref="AA38:AA39"/>
    <mergeCell ref="AB38:AB39"/>
  </mergeCells>
  <phoneticPr fontId="6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7"/>
  <dimension ref="A1:AS47"/>
  <sheetViews>
    <sheetView workbookViewId="0">
      <selection activeCell="C7" sqref="C7:D7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11" t="s">
        <v>48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  <c r="Q1" s="111"/>
      <c r="R1" s="111"/>
      <c r="S1" s="111"/>
      <c r="T1" s="111"/>
      <c r="U1" s="111"/>
      <c r="V1" s="111"/>
      <c r="W1" s="111"/>
      <c r="X1" s="111"/>
      <c r="Y1" s="111"/>
      <c r="Z1" s="111"/>
      <c r="AA1" s="111"/>
      <c r="AB1" s="111"/>
      <c r="AC1" s="111"/>
      <c r="AD1" s="111"/>
      <c r="AE1" s="111"/>
      <c r="AF1" s="111"/>
      <c r="AG1" s="111"/>
      <c r="AH1" s="111"/>
      <c r="AI1" s="111"/>
      <c r="AJ1" s="111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09"/>
      <c r="D7" s="110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09"/>
      <c r="D8" s="110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09"/>
      <c r="D9" s="110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09"/>
      <c r="D10" s="110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09"/>
      <c r="D11" s="110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09"/>
      <c r="D12" s="110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09"/>
      <c r="D13" s="110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09"/>
      <c r="D14" s="110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09"/>
      <c r="D15" s="110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09"/>
      <c r="D16" s="110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09"/>
      <c r="D19" s="110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/>
      <c r="B22" s="67" t="s">
        <v>1</v>
      </c>
      <c r="C22" s="68"/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/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/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12" t="s">
        <v>16</v>
      </c>
      <c r="B28" s="112"/>
      <c r="C28" s="33">
        <f>ABS(SUM(AO42:AO65536))</f>
        <v>0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16" t="s">
        <v>17</v>
      </c>
      <c r="B29" s="116"/>
      <c r="C29" s="32">
        <f>ABS(C28/2)</f>
        <v>0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16">
        <f>SQRT(AA40^2+AB40^2)</f>
        <v>0</v>
      </c>
      <c r="C32" s="116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0" t="e">
        <f>M40/B32</f>
        <v>#DIV/0!</v>
      </c>
      <c r="C33" s="120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16" t="e">
        <f>"1 : "&amp;TEXT(B35,"00")</f>
        <v>#DIV/0!</v>
      </c>
      <c r="C34" s="116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19" t="e">
        <f>ROUND(B33,2-LEN(INT(B33)))</f>
        <v>#DIV/0!</v>
      </c>
      <c r="C35" s="119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7" t="s">
        <v>9</v>
      </c>
      <c r="B38" s="88"/>
      <c r="C38" s="125" t="s">
        <v>7</v>
      </c>
      <c r="D38" s="125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6" t="s">
        <v>8</v>
      </c>
      <c r="N38" s="126"/>
      <c r="O38" s="126"/>
      <c r="P38" s="126"/>
      <c r="Q38" s="126"/>
      <c r="R38" s="126"/>
      <c r="S38" s="126"/>
      <c r="T38" s="126"/>
      <c r="U38" s="126"/>
      <c r="V38" s="127"/>
      <c r="W38" s="59"/>
      <c r="X38" s="59" t="s">
        <v>33</v>
      </c>
      <c r="Y38" s="59" t="s">
        <v>34</v>
      </c>
      <c r="Z38" s="80"/>
      <c r="AA38" s="117" t="s">
        <v>30</v>
      </c>
      <c r="AB38" s="117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3" t="s">
        <v>55</v>
      </c>
      <c r="AK38" s="115"/>
      <c r="AL38" s="65"/>
      <c r="AM38" s="113" t="s">
        <v>18</v>
      </c>
      <c r="AN38" s="114"/>
      <c r="AO38" s="115"/>
      <c r="AP38" s="121" t="s">
        <v>56</v>
      </c>
    </row>
    <row r="39" spans="1:44">
      <c r="A39" s="118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3" t="s">
        <v>21</v>
      </c>
      <c r="O39" s="114"/>
      <c r="P39" s="114"/>
      <c r="Q39" s="115"/>
      <c r="R39" s="113" t="s">
        <v>24</v>
      </c>
      <c r="S39" s="114"/>
      <c r="T39" s="114"/>
      <c r="U39" s="115"/>
      <c r="V39" s="128"/>
      <c r="W39" s="59"/>
      <c r="X39" s="59"/>
      <c r="Y39" s="59"/>
      <c r="Z39" s="81"/>
      <c r="AA39" s="118"/>
      <c r="AB39" s="118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21"/>
    </row>
    <row r="40" spans="1:44" s="11" customFormat="1">
      <c r="A40" s="122" t="s">
        <v>25</v>
      </c>
      <c r="B40" s="123"/>
      <c r="C40" s="123"/>
      <c r="D40" s="123"/>
      <c r="E40" s="123"/>
      <c r="F40" s="123"/>
      <c r="G40" s="123"/>
      <c r="H40" s="123"/>
      <c r="I40" s="123"/>
      <c r="J40" s="123"/>
      <c r="K40" s="123"/>
      <c r="L40" s="124"/>
      <c r="M40" s="51">
        <f>SUM(M42:M65536)</f>
        <v>0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0</v>
      </c>
      <c r="AB40" s="91">
        <f>SUM(AB42:AB65536)</f>
        <v>0</v>
      </c>
      <c r="AC40" s="91"/>
      <c r="AD40" s="91" t="e">
        <f>SUM(AD42:AD65536)</f>
        <v>#DIV/0!</v>
      </c>
      <c r="AE40" s="91" t="e">
        <f>SUM(AE42:AE65536)</f>
        <v>#DIV/0!</v>
      </c>
      <c r="AF40" s="91" t="e">
        <f>SUM(AF42:AF65536)</f>
        <v>#DIV/0!</v>
      </c>
      <c r="AG40" s="91" t="e">
        <f>SUM(AG42:AG65536)</f>
        <v>#DIV/0!</v>
      </c>
      <c r="AH40" s="92"/>
      <c r="AI40" s="93">
        <v>1</v>
      </c>
      <c r="AJ40" s="92" t="e">
        <f>AJ44+AF44</f>
        <v>#DIV/0!</v>
      </c>
      <c r="AK40" s="92" t="e">
        <f>AK44+AG44</f>
        <v>#DIV/0!</v>
      </c>
      <c r="AL40" s="92"/>
      <c r="AM40" s="51"/>
      <c r="AN40" s="57"/>
      <c r="AO40" s="52"/>
      <c r="AP40" s="103"/>
    </row>
    <row r="41" spans="1:44">
      <c r="A41" s="34" t="str">
        <f>IF(A22=0, " ",  A22)</f>
        <v xml:space="preserve"> </v>
      </c>
      <c r="B41" s="89"/>
      <c r="C41" s="35">
        <f>C22</f>
        <v>0</v>
      </c>
      <c r="D41" s="35">
        <f>C23</f>
        <v>0</v>
      </c>
      <c r="E41" s="78"/>
      <c r="F41" s="72">
        <f>IF(C42=0,C41-$C$41,C41-C42)</f>
        <v>0</v>
      </c>
      <c r="G41" s="72">
        <f>IF(D42=0,D41-$D$41,D41-D42)</f>
        <v>0</v>
      </c>
      <c r="H41" s="75" t="str">
        <f>IF(G41=0,IF(F41&gt;0,"South","North"),"")</f>
        <v>North</v>
      </c>
      <c r="I41" s="75">
        <f>IF(H41="North",2,IF(H41="",0,0))</f>
        <v>2</v>
      </c>
      <c r="J41" s="75" t="str">
        <f>IF(F41=0,IF(G41&gt;0,"West","East"),"")</f>
        <v>East</v>
      </c>
      <c r="K41" s="75">
        <f>IF(J41="West",1,IF(J41="",0,3))</f>
        <v>3</v>
      </c>
      <c r="L41" s="75" t="str">
        <f>H41&amp;J41</f>
        <v>NorthEast</v>
      </c>
      <c r="M41" s="36">
        <f>SQRT(F41^2+G41^2)</f>
        <v>0</v>
      </c>
      <c r="N41" s="36">
        <f>IF(F41=0,,ATAN(G41/F41))</f>
        <v>0</v>
      </c>
      <c r="O41" s="36">
        <f>ABS(DEGREES(N41))</f>
        <v>0</v>
      </c>
      <c r="P41" s="37" t="str">
        <f>TEXT(INT(O41),"00")</f>
        <v>00</v>
      </c>
      <c r="Q41" s="38" t="str">
        <f>TEXT((O41-P41)*60,"00")</f>
        <v>00</v>
      </c>
      <c r="R41" s="39" t="str">
        <f>IF(L41="",IF(F41&gt;0,"S","N"),"")</f>
        <v/>
      </c>
      <c r="S41" s="25" t="str">
        <f>IF(L41="",IF(INT(Q41)=60,INT(P41+1),P41),"due")</f>
        <v>due</v>
      </c>
      <c r="T41" s="38" t="str">
        <f>IF(L41="",IF(INT(Q41)=60,"00",Q41),L41)</f>
        <v>NorthEast</v>
      </c>
      <c r="U41" s="40" t="str">
        <f>IF(L41="",IF(G41&gt;0,"W","E"),"")</f>
        <v/>
      </c>
      <c r="V41" s="41"/>
      <c r="W41" s="22">
        <f>IF(S41="due",90*(I41+K41),S41+T41/60)</f>
        <v>450</v>
      </c>
      <c r="X41" s="22">
        <f>IF(R41="",W41,IF(R41="N",IF(U41="E",180+W41,180-W41),IF(U41="E",360-W41,W41)))</f>
        <v>450</v>
      </c>
      <c r="Y41" s="22">
        <f>RADIANS(X41)</f>
        <v>7.8539816339744828</v>
      </c>
      <c r="Z41" s="64"/>
      <c r="AA41" s="58">
        <f>-M41*COS(Y41)</f>
        <v>0</v>
      </c>
      <c r="AB41" s="58">
        <f>-M41*SIN(Y41)</f>
        <v>0</v>
      </c>
      <c r="AC41" s="64"/>
      <c r="AD41" s="22">
        <v>0</v>
      </c>
      <c r="AE41" s="22">
        <v>0</v>
      </c>
      <c r="AF41" s="22">
        <f t="shared" ref="AF41:AG43" si="0">AA41-AD41</f>
        <v>0</v>
      </c>
      <c r="AG41" s="22">
        <f t="shared" si="0"/>
        <v>0</v>
      </c>
      <c r="AH41" s="63"/>
      <c r="AI41" s="36" t="str">
        <f>A41</f>
        <v xml:space="preserve"> </v>
      </c>
      <c r="AJ41" s="36">
        <f>C41</f>
        <v>0</v>
      </c>
      <c r="AK41" s="36">
        <f>D41</f>
        <v>0</v>
      </c>
      <c r="AL41" s="63"/>
      <c r="AM41" s="42" t="str">
        <f>IF(A42=0,A41&amp;" - 1",A41&amp;" - "&amp;A42)</f>
        <v xml:space="preserve">  - 1</v>
      </c>
      <c r="AN41" s="42"/>
      <c r="AO41" s="43"/>
      <c r="AP41" s="9"/>
    </row>
    <row r="42" spans="1:44">
      <c r="A42" s="20">
        <v>1</v>
      </c>
      <c r="B42" s="44"/>
      <c r="C42" s="60"/>
      <c r="D42" s="60"/>
      <c r="E42" s="79"/>
      <c r="F42" s="72">
        <f>IF(C43=0,C42-$C$42,C42-C43)</f>
        <v>0</v>
      </c>
      <c r="G42" s="72">
        <f>IF(D43=0,D42-$D$42,D42-D43)</f>
        <v>0</v>
      </c>
      <c r="H42" s="75" t="str">
        <f>IF(G42=0,IF(F42&gt;0,"South","North"),"")</f>
        <v>North</v>
      </c>
      <c r="I42" s="75">
        <f>IF(H42="North",2,IF(H42="",0,0))</f>
        <v>2</v>
      </c>
      <c r="J42" s="75" t="str">
        <f>IF(F42=0,IF(G42&gt;0,"West","East"),"")</f>
        <v>East</v>
      </c>
      <c r="K42" s="75">
        <f>IF(J42="West",1,IF(J42="",0,3))</f>
        <v>3</v>
      </c>
      <c r="L42" s="75" t="str">
        <f>H42&amp;J42</f>
        <v>NorthEast</v>
      </c>
      <c r="M42" s="36">
        <f>SQRT(F42^2+G42^2)</f>
        <v>0</v>
      </c>
      <c r="N42" s="36">
        <f>IF(F42=0,,ATAN(G42/F42))</f>
        <v>0</v>
      </c>
      <c r="O42" s="36">
        <f>ABS(DEGREES(N42))</f>
        <v>0</v>
      </c>
      <c r="P42" s="37" t="str">
        <f>TEXT(INT(O42),"00")</f>
        <v>00</v>
      </c>
      <c r="Q42" s="38" t="str">
        <f>TEXT((O42-P42)*60,"00")</f>
        <v>00</v>
      </c>
      <c r="R42" s="39" t="str">
        <f>IF(L42="",IF(F42&gt;0,"S","N"),"")</f>
        <v/>
      </c>
      <c r="S42" s="25" t="str">
        <f>IF(L42="",IF(INT(Q42)=60,INT(P42+1),P42),"due")</f>
        <v>due</v>
      </c>
      <c r="T42" s="38" t="str">
        <f>IF(L42="",IF(INT(Q42)=60,"00",Q42),L42)</f>
        <v>NorthEast</v>
      </c>
      <c r="U42" s="40" t="str">
        <f>IF(L42="",IF(G42&gt;0,"W","E"),"")</f>
        <v/>
      </c>
      <c r="V42" s="44"/>
      <c r="W42" s="22">
        <f>IF(S42="due",90*(I42+K42),S42+T42/60)</f>
        <v>450</v>
      </c>
      <c r="X42" s="22">
        <f>IF(R42="",W42,IF(R42="N",IF(U42="E",180+W42,180-W42),IF(U42="E",360-W42,W42)))</f>
        <v>450</v>
      </c>
      <c r="Y42" s="22">
        <f>RADIANS(X42)</f>
        <v>7.8539816339744828</v>
      </c>
      <c r="Z42" s="64"/>
      <c r="AA42" s="58">
        <f>-M42*COS(Y42)</f>
        <v>0</v>
      </c>
      <c r="AB42" s="58">
        <f>-M42*SIN(Y42)</f>
        <v>0</v>
      </c>
      <c r="AC42" s="64"/>
      <c r="AD42" s="82" t="e">
        <f>$AA$40/$M$40*M42</f>
        <v>#DIV/0!</v>
      </c>
      <c r="AE42" s="82" t="e">
        <f>$AB$40/$M$40*M42</f>
        <v>#DIV/0!</v>
      </c>
      <c r="AF42" s="22" t="e">
        <f t="shared" si="0"/>
        <v>#DIV/0!</v>
      </c>
      <c r="AG42" s="22" t="e">
        <f t="shared" si="0"/>
        <v>#DIV/0!</v>
      </c>
      <c r="AH42" s="63"/>
      <c r="AI42" s="38">
        <f>A42</f>
        <v>1</v>
      </c>
      <c r="AJ42" s="82">
        <f t="shared" ref="AJ42:AK44" si="1">AJ41+AF41</f>
        <v>0</v>
      </c>
      <c r="AK42" s="82">
        <f t="shared" si="1"/>
        <v>0</v>
      </c>
      <c r="AL42" s="66"/>
      <c r="AM42" s="9" t="str">
        <f>IF(A43=0,A42&amp;" - 1",A42&amp;" - "&amp;A43)</f>
        <v>1 - 2</v>
      </c>
      <c r="AN42" s="18">
        <f>F42</f>
        <v>0</v>
      </c>
      <c r="AO42" s="18">
        <f>AN42*G42</f>
        <v>0</v>
      </c>
      <c r="AP42" s="9" t="str">
        <f>D42&amp;","&amp;C42</f>
        <v>,</v>
      </c>
    </row>
    <row r="43" spans="1:44">
      <c r="A43" s="20">
        <f>A42+1</f>
        <v>2</v>
      </c>
      <c r="B43" s="44"/>
      <c r="C43" s="60"/>
      <c r="D43" s="60"/>
      <c r="E43" s="79"/>
      <c r="F43" s="72">
        <f>IF(C44=0,C43-$C$42,C43-C44)</f>
        <v>0</v>
      </c>
      <c r="G43" s="72">
        <f>IF(D44=0,D43-$D$42,D43-D44)</f>
        <v>0</v>
      </c>
      <c r="H43" s="75" t="str">
        <f>IF(G43=0,IF(F43&gt;0,"South","North"),"")</f>
        <v>North</v>
      </c>
      <c r="I43" s="75">
        <f>IF(H43="North",2,IF(H43="",0,0))</f>
        <v>2</v>
      </c>
      <c r="J43" s="75" t="str">
        <f>IF(F43=0,IF(G43&gt;0,"West","East"),"")</f>
        <v>East</v>
      </c>
      <c r="K43" s="75">
        <f>IF(J43="West",1,IF(J43="",0,3))</f>
        <v>3</v>
      </c>
      <c r="L43" s="75" t="str">
        <f>H43&amp;J43</f>
        <v>NorthEast</v>
      </c>
      <c r="M43" s="36">
        <f>SQRT(F43^2+G43^2)</f>
        <v>0</v>
      </c>
      <c r="N43" s="36">
        <f>IF(F43=0,,ATAN(G43/F43))</f>
        <v>0</v>
      </c>
      <c r="O43" s="36">
        <f>ABS(DEGREES(N43))</f>
        <v>0</v>
      </c>
      <c r="P43" s="37" t="str">
        <f>TEXT(INT(O43),"00")</f>
        <v>00</v>
      </c>
      <c r="Q43" s="38" t="str">
        <f>TEXT((O43-P43)*60,"00")</f>
        <v>00</v>
      </c>
      <c r="R43" s="39" t="str">
        <f>IF(L43="",IF(F43&gt;0,"S","N"),"")</f>
        <v/>
      </c>
      <c r="S43" s="25" t="str">
        <f>IF(L43="",IF(INT(Q43)=60,INT(P43+1),P43),"due")</f>
        <v>due</v>
      </c>
      <c r="T43" s="38" t="str">
        <f>IF(L43="",IF(INT(Q43)=60,"00",Q43),L43)</f>
        <v>NorthEast</v>
      </c>
      <c r="U43" s="40" t="str">
        <f>IF(L43="",IF(G43&gt;0,"W","E"),"")</f>
        <v/>
      </c>
      <c r="V43" s="44"/>
      <c r="W43" s="22">
        <f>IF(S43="due",90*(I43+K43),S43+T43/60)</f>
        <v>450</v>
      </c>
      <c r="X43" s="22">
        <f>IF(R43="",W43,IF(R43="N",IF(U43="E",180+W43,180-W43),IF(U43="E",360-W43,W43)))</f>
        <v>450</v>
      </c>
      <c r="Y43" s="22">
        <f>RADIANS(X43)</f>
        <v>7.8539816339744828</v>
      </c>
      <c r="Z43" s="64"/>
      <c r="AA43" s="58">
        <f>-M43*COS(Y43)</f>
        <v>0</v>
      </c>
      <c r="AB43" s="58">
        <f>-M43*SIN(Y43)</f>
        <v>0</v>
      </c>
      <c r="AC43" s="64"/>
      <c r="AD43" s="82" t="e">
        <f>$AA$40/$M$40*M43</f>
        <v>#DIV/0!</v>
      </c>
      <c r="AE43" s="82" t="e">
        <f>$AB$40/$M$40*M43</f>
        <v>#DIV/0!</v>
      </c>
      <c r="AF43" s="22" t="e">
        <f t="shared" si="0"/>
        <v>#DIV/0!</v>
      </c>
      <c r="AG43" s="22" t="e">
        <f t="shared" si="0"/>
        <v>#DIV/0!</v>
      </c>
      <c r="AH43" s="64"/>
      <c r="AI43" s="25">
        <f>A43</f>
        <v>2</v>
      </c>
      <c r="AJ43" s="82" t="e">
        <f t="shared" si="1"/>
        <v>#DIV/0!</v>
      </c>
      <c r="AK43" s="82" t="e">
        <f t="shared" si="1"/>
        <v>#DIV/0!</v>
      </c>
      <c r="AL43" s="66"/>
      <c r="AM43" s="9" t="str">
        <f>IF(A44=0,A43&amp;" - 1",A43&amp;" - "&amp;A44)</f>
        <v>2 - 3</v>
      </c>
      <c r="AN43" s="18">
        <f>AN42+F42+F43</f>
        <v>0</v>
      </c>
      <c r="AO43" s="18">
        <f>AN43*G43</f>
        <v>0</v>
      </c>
      <c r="AP43" s="9" t="str">
        <f>D43&amp;","&amp;C43</f>
        <v>,</v>
      </c>
    </row>
    <row r="44" spans="1:44" s="46" customFormat="1">
      <c r="A44" s="20">
        <f>A43+1</f>
        <v>3</v>
      </c>
      <c r="B44" s="44"/>
      <c r="C44" s="60"/>
      <c r="D44" s="60"/>
      <c r="E44" s="79"/>
      <c r="F44" s="72">
        <f>IF(C45=0,C44-$C$42,C44-C45)</f>
        <v>0</v>
      </c>
      <c r="G44" s="72">
        <f>IF(D45=0,D44-$D$42,D44-D45)</f>
        <v>0</v>
      </c>
      <c r="H44" s="76" t="str">
        <f>IF(G44=0,IF(F44&gt;0,"South","North"),"")</f>
        <v>North</v>
      </c>
      <c r="I44" s="76">
        <f>IF(H44="North",2,IF(H44="",0,0))</f>
        <v>2</v>
      </c>
      <c r="J44" s="76" t="str">
        <f>IF(F44=0,IF(G44&gt;0,"West","East"),"")</f>
        <v>East</v>
      </c>
      <c r="K44" s="76">
        <f>IF(J44="West",1,IF(J44="",0,3))</f>
        <v>3</v>
      </c>
      <c r="L44" s="76" t="str">
        <f>H44&amp;J44</f>
        <v>NorthEast</v>
      </c>
      <c r="M44" s="22">
        <f>SQRT(F44^2+G44^2)</f>
        <v>0</v>
      </c>
      <c r="N44" s="22">
        <f>IF(F44=0,,ATAN(G44/F44))</f>
        <v>0</v>
      </c>
      <c r="O44" s="22">
        <f>ABS(DEGREES(N44))</f>
        <v>0</v>
      </c>
      <c r="P44" s="24" t="str">
        <f>TEXT(INT(O44),"00")</f>
        <v>00</v>
      </c>
      <c r="Q44" s="25" t="str">
        <f>TEXT((O44-P44)*60,"00")</f>
        <v>00</v>
      </c>
      <c r="R44" s="23" t="str">
        <f>IF(L44="",IF(F44&gt;0,"S","N"),"")</f>
        <v/>
      </c>
      <c r="S44" s="25" t="str">
        <f>IF(L44="",IF(INT(Q44)=60,INT(P44+1),P44),"due")</f>
        <v>due</v>
      </c>
      <c r="T44" s="25" t="str">
        <f>IF(L44="",IF(INT(Q44)=60,"00",Q44),L44)</f>
        <v>NorthEast</v>
      </c>
      <c r="U44" s="24" t="str">
        <f>IF(L44="",IF(G44&gt;0,"W","E"),"")</f>
        <v/>
      </c>
      <c r="V44" s="44"/>
      <c r="W44" s="22">
        <f>IF(S44="due",90*(I44+K44),S44+T44/60)</f>
        <v>450</v>
      </c>
      <c r="X44" s="22">
        <f>IF(R44="",W44,IF(R44="N",IF(U44="E",180+W44,180-W44),IF(U44="E",360-W44,W44)))</f>
        <v>450</v>
      </c>
      <c r="Y44" s="22">
        <f>RADIANS(X44)</f>
        <v>7.8539816339744828</v>
      </c>
      <c r="Z44" s="64"/>
      <c r="AA44" s="58">
        <f>-M44*COS(Y44)</f>
        <v>0</v>
      </c>
      <c r="AB44" s="58">
        <f>-M44*SIN(Y44)</f>
        <v>0</v>
      </c>
      <c r="AC44" s="64"/>
      <c r="AD44" s="82" t="e">
        <f>$AA$40/$M$40*M44</f>
        <v>#DIV/0!</v>
      </c>
      <c r="AE44" s="82" t="e">
        <f>$AB$40/$M$40*M44</f>
        <v>#DIV/0!</v>
      </c>
      <c r="AF44" s="22" t="e">
        <f>AA44-AD44</f>
        <v>#DIV/0!</v>
      </c>
      <c r="AG44" s="22" t="e">
        <f>AB44-AE44</f>
        <v>#DIV/0!</v>
      </c>
      <c r="AH44" s="64"/>
      <c r="AI44" s="25">
        <f>A44</f>
        <v>3</v>
      </c>
      <c r="AJ44" s="82" t="e">
        <f t="shared" si="1"/>
        <v>#DIV/0!</v>
      </c>
      <c r="AK44" s="82" t="e">
        <f t="shared" si="1"/>
        <v>#DIV/0!</v>
      </c>
      <c r="AL44" s="66"/>
      <c r="AM44" s="9" t="str">
        <f>IF(A45=0,A44&amp;" - 1",A44&amp;" - "&amp;A45)</f>
        <v>3 - 1</v>
      </c>
      <c r="AN44" s="18">
        <f>AN43+F43+F44</f>
        <v>0</v>
      </c>
      <c r="AO44" s="18">
        <f>AN44*G44</f>
        <v>0</v>
      </c>
      <c r="AP44" s="9" t="str">
        <f>D44&amp;","&amp;C44</f>
        <v>,</v>
      </c>
    </row>
    <row r="45" spans="1:44" s="46" customFormat="1">
      <c r="A45" s="28"/>
      <c r="B45" s="28"/>
      <c r="F45" s="47"/>
      <c r="G45" s="47"/>
      <c r="H45" s="47"/>
      <c r="I45" s="48"/>
      <c r="J45" s="48"/>
      <c r="K45" s="48"/>
      <c r="L45" s="28"/>
      <c r="M45" s="50"/>
      <c r="N45" s="48"/>
      <c r="O45" s="49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I45" s="47"/>
      <c r="AJ45" s="47"/>
    </row>
    <row r="46" spans="1:44" s="46" customFormat="1">
      <c r="A46" s="28"/>
      <c r="B46" s="28"/>
      <c r="F46" s="47"/>
      <c r="G46" s="47"/>
      <c r="H46" s="47"/>
      <c r="I46" s="48"/>
      <c r="J46" s="48"/>
      <c r="K46" s="48"/>
      <c r="L46" s="28"/>
      <c r="M46" s="50"/>
      <c r="N46" s="48"/>
      <c r="O46" s="49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I46" s="47"/>
      <c r="AJ46" s="47"/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  <mergeCell ref="AP38:AP39"/>
    <mergeCell ref="N39:Q39"/>
    <mergeCell ref="M38:U38"/>
    <mergeCell ref="B34:C34"/>
    <mergeCell ref="B35:C35"/>
    <mergeCell ref="A40:L40"/>
    <mergeCell ref="A28:B28"/>
    <mergeCell ref="A29:B29"/>
    <mergeCell ref="B32:C32"/>
    <mergeCell ref="B33:C33"/>
    <mergeCell ref="AM38:AO38"/>
    <mergeCell ref="R39:U39"/>
    <mergeCell ref="V38:V39"/>
    <mergeCell ref="AA38:AA39"/>
    <mergeCell ref="AB38:AB39"/>
  </mergeCells>
  <phoneticPr fontId="6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8"/>
  <dimension ref="A1:AS47"/>
  <sheetViews>
    <sheetView workbookViewId="0">
      <selection activeCell="C7" sqref="C7:D7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11" t="s">
        <v>48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  <c r="Q1" s="111"/>
      <c r="R1" s="111"/>
      <c r="S1" s="111"/>
      <c r="T1" s="111"/>
      <c r="U1" s="111"/>
      <c r="V1" s="111"/>
      <c r="W1" s="111"/>
      <c r="X1" s="111"/>
      <c r="Y1" s="111"/>
      <c r="Z1" s="111"/>
      <c r="AA1" s="111"/>
      <c r="AB1" s="111"/>
      <c r="AC1" s="111"/>
      <c r="AD1" s="111"/>
      <c r="AE1" s="111"/>
      <c r="AF1" s="111"/>
      <c r="AG1" s="111"/>
      <c r="AH1" s="111"/>
      <c r="AI1" s="111"/>
      <c r="AJ1" s="111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09"/>
      <c r="D7" s="110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09"/>
      <c r="D8" s="110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09"/>
      <c r="D9" s="110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09"/>
      <c r="D10" s="110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09"/>
      <c r="D11" s="110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09"/>
      <c r="D12" s="110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09"/>
      <c r="D13" s="110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09"/>
      <c r="D14" s="110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09"/>
      <c r="D15" s="110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09"/>
      <c r="D16" s="110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09"/>
      <c r="D19" s="110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/>
      <c r="B22" s="67" t="s">
        <v>1</v>
      </c>
      <c r="C22" s="68"/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/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/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12" t="s">
        <v>16</v>
      </c>
      <c r="B28" s="112"/>
      <c r="C28" s="33">
        <f>ABS(SUM(AO42:AO65536))</f>
        <v>0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16" t="s">
        <v>17</v>
      </c>
      <c r="B29" s="116"/>
      <c r="C29" s="32">
        <f>ABS(C28/2)</f>
        <v>0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16">
        <f>SQRT(AA40^2+AB40^2)</f>
        <v>0</v>
      </c>
      <c r="C32" s="116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0" t="e">
        <f>M40/B32</f>
        <v>#DIV/0!</v>
      </c>
      <c r="C33" s="120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16" t="e">
        <f>"1 : "&amp;TEXT(B35,"00")</f>
        <v>#DIV/0!</v>
      </c>
      <c r="C34" s="116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19" t="e">
        <f>ROUND(B33,2-LEN(INT(B33)))</f>
        <v>#DIV/0!</v>
      </c>
      <c r="C35" s="119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7" t="s">
        <v>9</v>
      </c>
      <c r="B38" s="88"/>
      <c r="C38" s="125" t="s">
        <v>7</v>
      </c>
      <c r="D38" s="125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6" t="s">
        <v>8</v>
      </c>
      <c r="N38" s="126"/>
      <c r="O38" s="126"/>
      <c r="P38" s="126"/>
      <c r="Q38" s="126"/>
      <c r="R38" s="126"/>
      <c r="S38" s="126"/>
      <c r="T38" s="126"/>
      <c r="U38" s="126"/>
      <c r="V38" s="127"/>
      <c r="W38" s="59"/>
      <c r="X38" s="59" t="s">
        <v>33</v>
      </c>
      <c r="Y38" s="59" t="s">
        <v>34</v>
      </c>
      <c r="Z38" s="80"/>
      <c r="AA38" s="117" t="s">
        <v>30</v>
      </c>
      <c r="AB38" s="117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3" t="s">
        <v>55</v>
      </c>
      <c r="AK38" s="115"/>
      <c r="AL38" s="65"/>
      <c r="AM38" s="113" t="s">
        <v>18</v>
      </c>
      <c r="AN38" s="114"/>
      <c r="AO38" s="115"/>
      <c r="AP38" s="121" t="s">
        <v>56</v>
      </c>
    </row>
    <row r="39" spans="1:44">
      <c r="A39" s="118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3" t="s">
        <v>21</v>
      </c>
      <c r="O39" s="114"/>
      <c r="P39" s="114"/>
      <c r="Q39" s="115"/>
      <c r="R39" s="113" t="s">
        <v>24</v>
      </c>
      <c r="S39" s="114"/>
      <c r="T39" s="114"/>
      <c r="U39" s="115"/>
      <c r="V39" s="128"/>
      <c r="W39" s="59"/>
      <c r="X39" s="59"/>
      <c r="Y39" s="59"/>
      <c r="Z39" s="81"/>
      <c r="AA39" s="118"/>
      <c r="AB39" s="118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21"/>
    </row>
    <row r="40" spans="1:44" s="11" customFormat="1">
      <c r="A40" s="122" t="s">
        <v>25</v>
      </c>
      <c r="B40" s="123"/>
      <c r="C40" s="123"/>
      <c r="D40" s="123"/>
      <c r="E40" s="123"/>
      <c r="F40" s="123"/>
      <c r="G40" s="123"/>
      <c r="H40" s="123"/>
      <c r="I40" s="123"/>
      <c r="J40" s="123"/>
      <c r="K40" s="123"/>
      <c r="L40" s="124"/>
      <c r="M40" s="51">
        <f>SUM(M42:M65536)</f>
        <v>0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0</v>
      </c>
      <c r="AB40" s="91">
        <f>SUM(AB42:AB65536)</f>
        <v>0</v>
      </c>
      <c r="AC40" s="91"/>
      <c r="AD40" s="91" t="e">
        <f>SUM(AD42:AD65536)</f>
        <v>#DIV/0!</v>
      </c>
      <c r="AE40" s="91" t="e">
        <f>SUM(AE42:AE65536)</f>
        <v>#DIV/0!</v>
      </c>
      <c r="AF40" s="91" t="e">
        <f>SUM(AF42:AF65536)</f>
        <v>#DIV/0!</v>
      </c>
      <c r="AG40" s="91" t="e">
        <f>SUM(AG42:AG65536)</f>
        <v>#DIV/0!</v>
      </c>
      <c r="AH40" s="92"/>
      <c r="AI40" s="93">
        <v>1</v>
      </c>
      <c r="AJ40" s="92" t="e">
        <f>AJ44+AF44</f>
        <v>#DIV/0!</v>
      </c>
      <c r="AK40" s="92" t="e">
        <f>AK44+AG44</f>
        <v>#DIV/0!</v>
      </c>
      <c r="AL40" s="92"/>
      <c r="AM40" s="51"/>
      <c r="AN40" s="57"/>
      <c r="AO40" s="52"/>
      <c r="AP40" s="103"/>
    </row>
    <row r="41" spans="1:44">
      <c r="A41" s="34" t="str">
        <f>IF(A22=0, " ",  A22)</f>
        <v xml:space="preserve"> </v>
      </c>
      <c r="B41" s="89"/>
      <c r="C41" s="35">
        <f>C22</f>
        <v>0</v>
      </c>
      <c r="D41" s="35">
        <f>C23</f>
        <v>0</v>
      </c>
      <c r="E41" s="78"/>
      <c r="F41" s="72">
        <f>IF(C42=0,C41-$C$41,C41-C42)</f>
        <v>0</v>
      </c>
      <c r="G41" s="72">
        <f>IF(D42=0,D41-$D$41,D41-D42)</f>
        <v>0</v>
      </c>
      <c r="H41" s="75" t="str">
        <f>IF(G41=0,IF(F41&gt;0,"South","North"),"")</f>
        <v>North</v>
      </c>
      <c r="I41" s="75">
        <f>IF(H41="North",2,IF(H41="",0,0))</f>
        <v>2</v>
      </c>
      <c r="J41" s="75" t="str">
        <f>IF(F41=0,IF(G41&gt;0,"West","East"),"")</f>
        <v>East</v>
      </c>
      <c r="K41" s="75">
        <f>IF(J41="West",1,IF(J41="",0,3))</f>
        <v>3</v>
      </c>
      <c r="L41" s="75" t="str">
        <f>H41&amp;J41</f>
        <v>NorthEast</v>
      </c>
      <c r="M41" s="36">
        <f>SQRT(F41^2+G41^2)</f>
        <v>0</v>
      </c>
      <c r="N41" s="36">
        <f>IF(F41=0,,ATAN(G41/F41))</f>
        <v>0</v>
      </c>
      <c r="O41" s="36">
        <f>ABS(DEGREES(N41))</f>
        <v>0</v>
      </c>
      <c r="P41" s="37" t="str">
        <f>TEXT(INT(O41),"00")</f>
        <v>00</v>
      </c>
      <c r="Q41" s="38" t="str">
        <f>TEXT((O41-P41)*60,"00")</f>
        <v>00</v>
      </c>
      <c r="R41" s="39" t="str">
        <f>IF(L41="",IF(F41&gt;0,"S","N"),"")</f>
        <v/>
      </c>
      <c r="S41" s="25" t="str">
        <f>IF(L41="",IF(INT(Q41)=60,INT(P41+1),P41),"due")</f>
        <v>due</v>
      </c>
      <c r="T41" s="38" t="str">
        <f>IF(L41="",IF(INT(Q41)=60,"00",Q41),L41)</f>
        <v>NorthEast</v>
      </c>
      <c r="U41" s="40" t="str">
        <f>IF(L41="",IF(G41&gt;0,"W","E"),"")</f>
        <v/>
      </c>
      <c r="V41" s="41"/>
      <c r="W41" s="22">
        <f>IF(S41="due",90*(I41+K41),S41+T41/60)</f>
        <v>450</v>
      </c>
      <c r="X41" s="22">
        <f>IF(R41="",W41,IF(R41="N",IF(U41="E",180+W41,180-W41),IF(U41="E",360-W41,W41)))</f>
        <v>450</v>
      </c>
      <c r="Y41" s="22">
        <f>RADIANS(X41)</f>
        <v>7.8539816339744828</v>
      </c>
      <c r="Z41" s="64"/>
      <c r="AA41" s="58">
        <f>-M41*COS(Y41)</f>
        <v>0</v>
      </c>
      <c r="AB41" s="58">
        <f>-M41*SIN(Y41)</f>
        <v>0</v>
      </c>
      <c r="AC41" s="64"/>
      <c r="AD41" s="22">
        <v>0</v>
      </c>
      <c r="AE41" s="22">
        <v>0</v>
      </c>
      <c r="AF41" s="22">
        <f t="shared" ref="AF41:AG43" si="0">AA41-AD41</f>
        <v>0</v>
      </c>
      <c r="AG41" s="22">
        <f t="shared" si="0"/>
        <v>0</v>
      </c>
      <c r="AH41" s="63"/>
      <c r="AI41" s="36" t="str">
        <f>A41</f>
        <v xml:space="preserve"> </v>
      </c>
      <c r="AJ41" s="36">
        <f>C41</f>
        <v>0</v>
      </c>
      <c r="AK41" s="36">
        <f>D41</f>
        <v>0</v>
      </c>
      <c r="AL41" s="63"/>
      <c r="AM41" s="42" t="str">
        <f>IF(A42=0,A41&amp;" - 1",A41&amp;" - "&amp;A42)</f>
        <v xml:space="preserve">  - 1</v>
      </c>
      <c r="AN41" s="42"/>
      <c r="AO41" s="43"/>
      <c r="AP41" s="9"/>
    </row>
    <row r="42" spans="1:44">
      <c r="A42" s="20">
        <v>1</v>
      </c>
      <c r="B42" s="44"/>
      <c r="C42" s="60"/>
      <c r="D42" s="60"/>
      <c r="E42" s="79"/>
      <c r="F42" s="72">
        <f>IF(C43=0,C42-$C$42,C42-C43)</f>
        <v>0</v>
      </c>
      <c r="G42" s="72">
        <f>IF(D43=0,D42-$D$42,D42-D43)</f>
        <v>0</v>
      </c>
      <c r="H42" s="75" t="str">
        <f>IF(G42=0,IF(F42&gt;0,"South","North"),"")</f>
        <v>North</v>
      </c>
      <c r="I42" s="75">
        <f>IF(H42="North",2,IF(H42="",0,0))</f>
        <v>2</v>
      </c>
      <c r="J42" s="75" t="str">
        <f>IF(F42=0,IF(G42&gt;0,"West","East"),"")</f>
        <v>East</v>
      </c>
      <c r="K42" s="75">
        <f>IF(J42="West",1,IF(J42="",0,3))</f>
        <v>3</v>
      </c>
      <c r="L42" s="75" t="str">
        <f>H42&amp;J42</f>
        <v>NorthEast</v>
      </c>
      <c r="M42" s="36">
        <f>SQRT(F42^2+G42^2)</f>
        <v>0</v>
      </c>
      <c r="N42" s="36">
        <f>IF(F42=0,,ATAN(G42/F42))</f>
        <v>0</v>
      </c>
      <c r="O42" s="36">
        <f>ABS(DEGREES(N42))</f>
        <v>0</v>
      </c>
      <c r="P42" s="37" t="str">
        <f>TEXT(INT(O42),"00")</f>
        <v>00</v>
      </c>
      <c r="Q42" s="38" t="str">
        <f>TEXT((O42-P42)*60,"00")</f>
        <v>00</v>
      </c>
      <c r="R42" s="39" t="str">
        <f>IF(L42="",IF(F42&gt;0,"S","N"),"")</f>
        <v/>
      </c>
      <c r="S42" s="25" t="str">
        <f>IF(L42="",IF(INT(Q42)=60,INT(P42+1),P42),"due")</f>
        <v>due</v>
      </c>
      <c r="T42" s="38" t="str">
        <f>IF(L42="",IF(INT(Q42)=60,"00",Q42),L42)</f>
        <v>NorthEast</v>
      </c>
      <c r="U42" s="40" t="str">
        <f>IF(L42="",IF(G42&gt;0,"W","E"),"")</f>
        <v/>
      </c>
      <c r="V42" s="44"/>
      <c r="W42" s="22">
        <f>IF(S42="due",90*(I42+K42),S42+T42/60)</f>
        <v>450</v>
      </c>
      <c r="X42" s="22">
        <f>IF(R42="",W42,IF(R42="N",IF(U42="E",180+W42,180-W42),IF(U42="E",360-W42,W42)))</f>
        <v>450</v>
      </c>
      <c r="Y42" s="22">
        <f>RADIANS(X42)</f>
        <v>7.8539816339744828</v>
      </c>
      <c r="Z42" s="64"/>
      <c r="AA42" s="58">
        <f>-M42*COS(Y42)</f>
        <v>0</v>
      </c>
      <c r="AB42" s="58">
        <f>-M42*SIN(Y42)</f>
        <v>0</v>
      </c>
      <c r="AC42" s="64"/>
      <c r="AD42" s="82" t="e">
        <f>$AA$40/$M$40*M42</f>
        <v>#DIV/0!</v>
      </c>
      <c r="AE42" s="82" t="e">
        <f>$AB$40/$M$40*M42</f>
        <v>#DIV/0!</v>
      </c>
      <c r="AF42" s="22" t="e">
        <f t="shared" si="0"/>
        <v>#DIV/0!</v>
      </c>
      <c r="AG42" s="22" t="e">
        <f t="shared" si="0"/>
        <v>#DIV/0!</v>
      </c>
      <c r="AH42" s="63"/>
      <c r="AI42" s="38">
        <f>A42</f>
        <v>1</v>
      </c>
      <c r="AJ42" s="82">
        <f t="shared" ref="AJ42:AK44" si="1">AJ41+AF41</f>
        <v>0</v>
      </c>
      <c r="AK42" s="82">
        <f t="shared" si="1"/>
        <v>0</v>
      </c>
      <c r="AL42" s="66"/>
      <c r="AM42" s="9" t="str">
        <f>IF(A43=0,A42&amp;" - 1",A42&amp;" - "&amp;A43)</f>
        <v>1 - 2</v>
      </c>
      <c r="AN42" s="18">
        <f>F42</f>
        <v>0</v>
      </c>
      <c r="AO42" s="18">
        <f>AN42*G42</f>
        <v>0</v>
      </c>
      <c r="AP42" s="9" t="str">
        <f>D42&amp;","&amp;C42</f>
        <v>,</v>
      </c>
    </row>
    <row r="43" spans="1:44">
      <c r="A43" s="20">
        <f>A42+1</f>
        <v>2</v>
      </c>
      <c r="B43" s="44"/>
      <c r="C43" s="60"/>
      <c r="D43" s="60"/>
      <c r="E43" s="79"/>
      <c r="F43" s="72">
        <f>IF(C44=0,C43-$C$42,C43-C44)</f>
        <v>0</v>
      </c>
      <c r="G43" s="72">
        <f>IF(D44=0,D43-$D$42,D43-D44)</f>
        <v>0</v>
      </c>
      <c r="H43" s="75" t="str">
        <f>IF(G43=0,IF(F43&gt;0,"South","North"),"")</f>
        <v>North</v>
      </c>
      <c r="I43" s="75">
        <f>IF(H43="North",2,IF(H43="",0,0))</f>
        <v>2</v>
      </c>
      <c r="J43" s="75" t="str">
        <f>IF(F43=0,IF(G43&gt;0,"West","East"),"")</f>
        <v>East</v>
      </c>
      <c r="K43" s="75">
        <f>IF(J43="West",1,IF(J43="",0,3))</f>
        <v>3</v>
      </c>
      <c r="L43" s="75" t="str">
        <f>H43&amp;J43</f>
        <v>NorthEast</v>
      </c>
      <c r="M43" s="36">
        <f>SQRT(F43^2+G43^2)</f>
        <v>0</v>
      </c>
      <c r="N43" s="36">
        <f>IF(F43=0,,ATAN(G43/F43))</f>
        <v>0</v>
      </c>
      <c r="O43" s="36">
        <f>ABS(DEGREES(N43))</f>
        <v>0</v>
      </c>
      <c r="P43" s="37" t="str">
        <f>TEXT(INT(O43),"00")</f>
        <v>00</v>
      </c>
      <c r="Q43" s="38" t="str">
        <f>TEXT((O43-P43)*60,"00")</f>
        <v>00</v>
      </c>
      <c r="R43" s="39" t="str">
        <f>IF(L43="",IF(F43&gt;0,"S","N"),"")</f>
        <v/>
      </c>
      <c r="S43" s="25" t="str">
        <f>IF(L43="",IF(INT(Q43)=60,INT(P43+1),P43),"due")</f>
        <v>due</v>
      </c>
      <c r="T43" s="38" t="str">
        <f>IF(L43="",IF(INT(Q43)=60,"00",Q43),L43)</f>
        <v>NorthEast</v>
      </c>
      <c r="U43" s="40" t="str">
        <f>IF(L43="",IF(G43&gt;0,"W","E"),"")</f>
        <v/>
      </c>
      <c r="V43" s="44"/>
      <c r="W43" s="22">
        <f>IF(S43="due",90*(I43+K43),S43+T43/60)</f>
        <v>450</v>
      </c>
      <c r="X43" s="22">
        <f>IF(R43="",W43,IF(R43="N",IF(U43="E",180+W43,180-W43),IF(U43="E",360-W43,W43)))</f>
        <v>450</v>
      </c>
      <c r="Y43" s="22">
        <f>RADIANS(X43)</f>
        <v>7.8539816339744828</v>
      </c>
      <c r="Z43" s="64"/>
      <c r="AA43" s="58">
        <f>-M43*COS(Y43)</f>
        <v>0</v>
      </c>
      <c r="AB43" s="58">
        <f>-M43*SIN(Y43)</f>
        <v>0</v>
      </c>
      <c r="AC43" s="64"/>
      <c r="AD43" s="82" t="e">
        <f>$AA$40/$M$40*M43</f>
        <v>#DIV/0!</v>
      </c>
      <c r="AE43" s="82" t="e">
        <f>$AB$40/$M$40*M43</f>
        <v>#DIV/0!</v>
      </c>
      <c r="AF43" s="22" t="e">
        <f t="shared" si="0"/>
        <v>#DIV/0!</v>
      </c>
      <c r="AG43" s="22" t="e">
        <f t="shared" si="0"/>
        <v>#DIV/0!</v>
      </c>
      <c r="AH43" s="64"/>
      <c r="AI43" s="25">
        <f>A43</f>
        <v>2</v>
      </c>
      <c r="AJ43" s="82" t="e">
        <f t="shared" si="1"/>
        <v>#DIV/0!</v>
      </c>
      <c r="AK43" s="82" t="e">
        <f t="shared" si="1"/>
        <v>#DIV/0!</v>
      </c>
      <c r="AL43" s="66"/>
      <c r="AM43" s="9" t="str">
        <f>IF(A44=0,A43&amp;" - 1",A43&amp;" - "&amp;A44)</f>
        <v>2 - 3</v>
      </c>
      <c r="AN43" s="18">
        <f>AN42+F42+F43</f>
        <v>0</v>
      </c>
      <c r="AO43" s="18">
        <f>AN43*G43</f>
        <v>0</v>
      </c>
      <c r="AP43" s="9" t="str">
        <f>D43&amp;","&amp;C43</f>
        <v>,</v>
      </c>
    </row>
    <row r="44" spans="1:44" s="46" customFormat="1">
      <c r="A44" s="20">
        <f>A43+1</f>
        <v>3</v>
      </c>
      <c r="B44" s="44"/>
      <c r="C44" s="60"/>
      <c r="D44" s="60"/>
      <c r="E44" s="79"/>
      <c r="F44" s="72">
        <f>IF(C45=0,C44-$C$42,C44-C45)</f>
        <v>0</v>
      </c>
      <c r="G44" s="72">
        <f>IF(D45=0,D44-$D$42,D44-D45)</f>
        <v>0</v>
      </c>
      <c r="H44" s="76" t="str">
        <f>IF(G44=0,IF(F44&gt;0,"South","North"),"")</f>
        <v>North</v>
      </c>
      <c r="I44" s="76">
        <f>IF(H44="North",2,IF(H44="",0,0))</f>
        <v>2</v>
      </c>
      <c r="J44" s="76" t="str">
        <f>IF(F44=0,IF(G44&gt;0,"West","East"),"")</f>
        <v>East</v>
      </c>
      <c r="K44" s="76">
        <f>IF(J44="West",1,IF(J44="",0,3))</f>
        <v>3</v>
      </c>
      <c r="L44" s="76" t="str">
        <f>H44&amp;J44</f>
        <v>NorthEast</v>
      </c>
      <c r="M44" s="22">
        <f>SQRT(F44^2+G44^2)</f>
        <v>0</v>
      </c>
      <c r="N44" s="22">
        <f>IF(F44=0,,ATAN(G44/F44))</f>
        <v>0</v>
      </c>
      <c r="O44" s="22">
        <f>ABS(DEGREES(N44))</f>
        <v>0</v>
      </c>
      <c r="P44" s="24" t="str">
        <f>TEXT(INT(O44),"00")</f>
        <v>00</v>
      </c>
      <c r="Q44" s="25" t="str">
        <f>TEXT((O44-P44)*60,"00")</f>
        <v>00</v>
      </c>
      <c r="R44" s="23" t="str">
        <f>IF(L44="",IF(F44&gt;0,"S","N"),"")</f>
        <v/>
      </c>
      <c r="S44" s="25" t="str">
        <f>IF(L44="",IF(INT(Q44)=60,INT(P44+1),P44),"due")</f>
        <v>due</v>
      </c>
      <c r="T44" s="25" t="str">
        <f>IF(L44="",IF(INT(Q44)=60,"00",Q44),L44)</f>
        <v>NorthEast</v>
      </c>
      <c r="U44" s="24" t="str">
        <f>IF(L44="",IF(G44&gt;0,"W","E"),"")</f>
        <v/>
      </c>
      <c r="V44" s="44"/>
      <c r="W44" s="22">
        <f>IF(S44="due",90*(I44+K44),S44+T44/60)</f>
        <v>450</v>
      </c>
      <c r="X44" s="22">
        <f>IF(R44="",W44,IF(R44="N",IF(U44="E",180+W44,180-W44),IF(U44="E",360-W44,W44)))</f>
        <v>450</v>
      </c>
      <c r="Y44" s="22">
        <f>RADIANS(X44)</f>
        <v>7.8539816339744828</v>
      </c>
      <c r="Z44" s="64"/>
      <c r="AA44" s="58">
        <f>-M44*COS(Y44)</f>
        <v>0</v>
      </c>
      <c r="AB44" s="58">
        <f>-M44*SIN(Y44)</f>
        <v>0</v>
      </c>
      <c r="AC44" s="64"/>
      <c r="AD44" s="82" t="e">
        <f>$AA$40/$M$40*M44</f>
        <v>#DIV/0!</v>
      </c>
      <c r="AE44" s="82" t="e">
        <f>$AB$40/$M$40*M44</f>
        <v>#DIV/0!</v>
      </c>
      <c r="AF44" s="22" t="e">
        <f>AA44-AD44</f>
        <v>#DIV/0!</v>
      </c>
      <c r="AG44" s="22" t="e">
        <f>AB44-AE44</f>
        <v>#DIV/0!</v>
      </c>
      <c r="AH44" s="64"/>
      <c r="AI44" s="25">
        <f>A44</f>
        <v>3</v>
      </c>
      <c r="AJ44" s="82" t="e">
        <f t="shared" si="1"/>
        <v>#DIV/0!</v>
      </c>
      <c r="AK44" s="82" t="e">
        <f t="shared" si="1"/>
        <v>#DIV/0!</v>
      </c>
      <c r="AL44" s="66"/>
      <c r="AM44" s="9" t="str">
        <f>IF(A45=0,A44&amp;" - 1",A44&amp;" - "&amp;A45)</f>
        <v>3 - 1</v>
      </c>
      <c r="AN44" s="18">
        <f>AN43+F43+F44</f>
        <v>0</v>
      </c>
      <c r="AO44" s="18">
        <f>AN44*G44</f>
        <v>0</v>
      </c>
      <c r="AP44" s="9" t="str">
        <f>D44&amp;","&amp;C44</f>
        <v>,</v>
      </c>
    </row>
    <row r="45" spans="1:44" s="46" customFormat="1">
      <c r="A45" s="28"/>
      <c r="B45" s="28"/>
      <c r="F45" s="47"/>
      <c r="G45" s="47"/>
      <c r="H45" s="47"/>
      <c r="I45" s="48"/>
      <c r="J45" s="48"/>
      <c r="K45" s="48"/>
      <c r="L45" s="28"/>
      <c r="M45" s="50"/>
      <c r="N45" s="48"/>
      <c r="O45" s="49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I45" s="47"/>
      <c r="AJ45" s="47"/>
    </row>
    <row r="46" spans="1:44" s="46" customFormat="1">
      <c r="A46" s="28"/>
      <c r="B46" s="28"/>
      <c r="F46" s="47"/>
      <c r="G46" s="47"/>
      <c r="H46" s="47"/>
      <c r="I46" s="48"/>
      <c r="J46" s="48"/>
      <c r="K46" s="48"/>
      <c r="L46" s="28"/>
      <c r="M46" s="50"/>
      <c r="N46" s="48"/>
      <c r="O46" s="49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I46" s="47"/>
      <c r="AJ46" s="47"/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  <mergeCell ref="AP38:AP39"/>
    <mergeCell ref="N39:Q39"/>
    <mergeCell ref="M38:U38"/>
    <mergeCell ref="B34:C34"/>
    <mergeCell ref="B35:C35"/>
    <mergeCell ref="A40:L40"/>
    <mergeCell ref="A28:B28"/>
    <mergeCell ref="A29:B29"/>
    <mergeCell ref="B32:C32"/>
    <mergeCell ref="B33:C33"/>
    <mergeCell ref="AM38:AO38"/>
    <mergeCell ref="R39:U39"/>
    <mergeCell ref="V38:V39"/>
    <mergeCell ref="AA38:AA39"/>
    <mergeCell ref="AB38:AB39"/>
  </mergeCells>
  <phoneticPr fontId="6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9"/>
  <dimension ref="A1:AS47"/>
  <sheetViews>
    <sheetView workbookViewId="0">
      <selection activeCell="C7" sqref="C7:D7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11" t="s">
        <v>48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  <c r="Q1" s="111"/>
      <c r="R1" s="111"/>
      <c r="S1" s="111"/>
      <c r="T1" s="111"/>
      <c r="U1" s="111"/>
      <c r="V1" s="111"/>
      <c r="W1" s="111"/>
      <c r="X1" s="111"/>
      <c r="Y1" s="111"/>
      <c r="Z1" s="111"/>
      <c r="AA1" s="111"/>
      <c r="AB1" s="111"/>
      <c r="AC1" s="111"/>
      <c r="AD1" s="111"/>
      <c r="AE1" s="111"/>
      <c r="AF1" s="111"/>
      <c r="AG1" s="111"/>
      <c r="AH1" s="111"/>
      <c r="AI1" s="111"/>
      <c r="AJ1" s="111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09"/>
      <c r="D7" s="110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09"/>
      <c r="D8" s="110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09"/>
      <c r="D9" s="110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09"/>
      <c r="D10" s="110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09"/>
      <c r="D11" s="110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09"/>
      <c r="D12" s="110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09"/>
      <c r="D13" s="110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09"/>
      <c r="D14" s="110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09"/>
      <c r="D15" s="110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09"/>
      <c r="D16" s="110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09"/>
      <c r="D19" s="110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/>
      <c r="B22" s="67" t="s">
        <v>1</v>
      </c>
      <c r="C22" s="68"/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/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/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12" t="s">
        <v>16</v>
      </c>
      <c r="B28" s="112"/>
      <c r="C28" s="33">
        <f>ABS(SUM(AO42:AO65536))</f>
        <v>0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16" t="s">
        <v>17</v>
      </c>
      <c r="B29" s="116"/>
      <c r="C29" s="32">
        <f>ABS(C28/2)</f>
        <v>0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16">
        <f>SQRT(AA40^2+AB40^2)</f>
        <v>0</v>
      </c>
      <c r="C32" s="116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0" t="e">
        <f>M40/B32</f>
        <v>#DIV/0!</v>
      </c>
      <c r="C33" s="120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16" t="e">
        <f>"1 : "&amp;TEXT(B35,"00")</f>
        <v>#DIV/0!</v>
      </c>
      <c r="C34" s="116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19" t="e">
        <f>ROUND(B33,2-LEN(INT(B33)))</f>
        <v>#DIV/0!</v>
      </c>
      <c r="C35" s="119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7" t="s">
        <v>9</v>
      </c>
      <c r="B38" s="88"/>
      <c r="C38" s="125" t="s">
        <v>7</v>
      </c>
      <c r="D38" s="125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6" t="s">
        <v>8</v>
      </c>
      <c r="N38" s="126"/>
      <c r="O38" s="126"/>
      <c r="P38" s="126"/>
      <c r="Q38" s="126"/>
      <c r="R38" s="126"/>
      <c r="S38" s="126"/>
      <c r="T38" s="126"/>
      <c r="U38" s="126"/>
      <c r="V38" s="127"/>
      <c r="W38" s="59"/>
      <c r="X38" s="59" t="s">
        <v>33</v>
      </c>
      <c r="Y38" s="59" t="s">
        <v>34</v>
      </c>
      <c r="Z38" s="80"/>
      <c r="AA38" s="117" t="s">
        <v>30</v>
      </c>
      <c r="AB38" s="117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3" t="s">
        <v>55</v>
      </c>
      <c r="AK38" s="115"/>
      <c r="AL38" s="65"/>
      <c r="AM38" s="113" t="s">
        <v>18</v>
      </c>
      <c r="AN38" s="114"/>
      <c r="AO38" s="115"/>
      <c r="AP38" s="121" t="s">
        <v>56</v>
      </c>
    </row>
    <row r="39" spans="1:44">
      <c r="A39" s="118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3" t="s">
        <v>21</v>
      </c>
      <c r="O39" s="114"/>
      <c r="P39" s="114"/>
      <c r="Q39" s="115"/>
      <c r="R39" s="113" t="s">
        <v>24</v>
      </c>
      <c r="S39" s="114"/>
      <c r="T39" s="114"/>
      <c r="U39" s="115"/>
      <c r="V39" s="128"/>
      <c r="W39" s="59"/>
      <c r="X39" s="59"/>
      <c r="Y39" s="59"/>
      <c r="Z39" s="81"/>
      <c r="AA39" s="118"/>
      <c r="AB39" s="118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21"/>
    </row>
    <row r="40" spans="1:44" s="11" customFormat="1">
      <c r="A40" s="122" t="s">
        <v>25</v>
      </c>
      <c r="B40" s="123"/>
      <c r="C40" s="123"/>
      <c r="D40" s="123"/>
      <c r="E40" s="123"/>
      <c r="F40" s="123"/>
      <c r="G40" s="123"/>
      <c r="H40" s="123"/>
      <c r="I40" s="123"/>
      <c r="J40" s="123"/>
      <c r="K40" s="123"/>
      <c r="L40" s="124"/>
      <c r="M40" s="51">
        <f>SUM(M42:M65536)</f>
        <v>0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0</v>
      </c>
      <c r="AB40" s="91">
        <f>SUM(AB42:AB65536)</f>
        <v>0</v>
      </c>
      <c r="AC40" s="91"/>
      <c r="AD40" s="91" t="e">
        <f>SUM(AD42:AD65536)</f>
        <v>#DIV/0!</v>
      </c>
      <c r="AE40" s="91" t="e">
        <f>SUM(AE42:AE65536)</f>
        <v>#DIV/0!</v>
      </c>
      <c r="AF40" s="91" t="e">
        <f>SUM(AF42:AF65536)</f>
        <v>#DIV/0!</v>
      </c>
      <c r="AG40" s="91" t="e">
        <f>SUM(AG42:AG65536)</f>
        <v>#DIV/0!</v>
      </c>
      <c r="AH40" s="92"/>
      <c r="AI40" s="93">
        <v>1</v>
      </c>
      <c r="AJ40" s="92" t="e">
        <f>AJ44+AF44</f>
        <v>#DIV/0!</v>
      </c>
      <c r="AK40" s="92" t="e">
        <f>AK44+AG44</f>
        <v>#DIV/0!</v>
      </c>
      <c r="AL40" s="92"/>
      <c r="AM40" s="51"/>
      <c r="AN40" s="57"/>
      <c r="AO40" s="52"/>
      <c r="AP40" s="103"/>
    </row>
    <row r="41" spans="1:44">
      <c r="A41" s="34" t="str">
        <f>IF(A22=0, " ",  A22)</f>
        <v xml:space="preserve"> </v>
      </c>
      <c r="B41" s="89"/>
      <c r="C41" s="35">
        <f>C22</f>
        <v>0</v>
      </c>
      <c r="D41" s="35">
        <f>C23</f>
        <v>0</v>
      </c>
      <c r="E41" s="78"/>
      <c r="F41" s="72">
        <f>IF(C42=0,C41-$C$41,C41-C42)</f>
        <v>0</v>
      </c>
      <c r="G41" s="72">
        <f>IF(D42=0,D41-$D$41,D41-D42)</f>
        <v>0</v>
      </c>
      <c r="H41" s="75" t="str">
        <f>IF(G41=0,IF(F41&gt;0,"South","North"),"")</f>
        <v>North</v>
      </c>
      <c r="I41" s="75">
        <f>IF(H41="North",2,IF(H41="",0,0))</f>
        <v>2</v>
      </c>
      <c r="J41" s="75" t="str">
        <f>IF(F41=0,IF(G41&gt;0,"West","East"),"")</f>
        <v>East</v>
      </c>
      <c r="K41" s="75">
        <f>IF(J41="West",1,IF(J41="",0,3))</f>
        <v>3</v>
      </c>
      <c r="L41" s="75" t="str">
        <f>H41&amp;J41</f>
        <v>NorthEast</v>
      </c>
      <c r="M41" s="36">
        <f>SQRT(F41^2+G41^2)</f>
        <v>0</v>
      </c>
      <c r="N41" s="36">
        <f>IF(F41=0,,ATAN(G41/F41))</f>
        <v>0</v>
      </c>
      <c r="O41" s="36">
        <f>ABS(DEGREES(N41))</f>
        <v>0</v>
      </c>
      <c r="P41" s="37" t="str">
        <f>TEXT(INT(O41),"00")</f>
        <v>00</v>
      </c>
      <c r="Q41" s="38" t="str">
        <f>TEXT((O41-P41)*60,"00")</f>
        <v>00</v>
      </c>
      <c r="R41" s="39" t="str">
        <f>IF(L41="",IF(F41&gt;0,"S","N"),"")</f>
        <v/>
      </c>
      <c r="S41" s="25" t="str">
        <f>IF(L41="",IF(INT(Q41)=60,INT(P41+1),P41),"due")</f>
        <v>due</v>
      </c>
      <c r="T41" s="38" t="str">
        <f>IF(L41="",IF(INT(Q41)=60,"00",Q41),L41)</f>
        <v>NorthEast</v>
      </c>
      <c r="U41" s="40" t="str">
        <f>IF(L41="",IF(G41&gt;0,"W","E"),"")</f>
        <v/>
      </c>
      <c r="V41" s="41"/>
      <c r="W41" s="22">
        <f>IF(S41="due",90*(I41+K41),S41+T41/60)</f>
        <v>450</v>
      </c>
      <c r="X41" s="22">
        <f>IF(R41="",W41,IF(R41="N",IF(U41="E",180+W41,180-W41),IF(U41="E",360-W41,W41)))</f>
        <v>450</v>
      </c>
      <c r="Y41" s="22">
        <f>RADIANS(X41)</f>
        <v>7.8539816339744828</v>
      </c>
      <c r="Z41" s="64"/>
      <c r="AA41" s="58">
        <f>-M41*COS(Y41)</f>
        <v>0</v>
      </c>
      <c r="AB41" s="58">
        <f>-M41*SIN(Y41)</f>
        <v>0</v>
      </c>
      <c r="AC41" s="64"/>
      <c r="AD41" s="22">
        <v>0</v>
      </c>
      <c r="AE41" s="22">
        <v>0</v>
      </c>
      <c r="AF41" s="22">
        <f t="shared" ref="AF41:AG43" si="0">AA41-AD41</f>
        <v>0</v>
      </c>
      <c r="AG41" s="22">
        <f t="shared" si="0"/>
        <v>0</v>
      </c>
      <c r="AH41" s="63"/>
      <c r="AI41" s="36" t="str">
        <f>A41</f>
        <v xml:space="preserve"> </v>
      </c>
      <c r="AJ41" s="36">
        <f>C41</f>
        <v>0</v>
      </c>
      <c r="AK41" s="36">
        <f>D41</f>
        <v>0</v>
      </c>
      <c r="AL41" s="63"/>
      <c r="AM41" s="42" t="str">
        <f>IF(A42=0,A41&amp;" - 1",A41&amp;" - "&amp;A42)</f>
        <v xml:space="preserve">  - 1</v>
      </c>
      <c r="AN41" s="42"/>
      <c r="AO41" s="43"/>
      <c r="AP41" s="9"/>
    </row>
    <row r="42" spans="1:44">
      <c r="A42" s="20">
        <v>1</v>
      </c>
      <c r="B42" s="44"/>
      <c r="C42" s="60"/>
      <c r="D42" s="60"/>
      <c r="E42" s="79"/>
      <c r="F42" s="72">
        <f>IF(C43=0,C42-$C$42,C42-C43)</f>
        <v>0</v>
      </c>
      <c r="G42" s="72">
        <f>IF(D43=0,D42-$D$42,D42-D43)</f>
        <v>0</v>
      </c>
      <c r="H42" s="75" t="str">
        <f>IF(G42=0,IF(F42&gt;0,"South","North"),"")</f>
        <v>North</v>
      </c>
      <c r="I42" s="75">
        <f>IF(H42="North",2,IF(H42="",0,0))</f>
        <v>2</v>
      </c>
      <c r="J42" s="75" t="str">
        <f>IF(F42=0,IF(G42&gt;0,"West","East"),"")</f>
        <v>East</v>
      </c>
      <c r="K42" s="75">
        <f>IF(J42="West",1,IF(J42="",0,3))</f>
        <v>3</v>
      </c>
      <c r="L42" s="75" t="str">
        <f>H42&amp;J42</f>
        <v>NorthEast</v>
      </c>
      <c r="M42" s="36">
        <f>SQRT(F42^2+G42^2)</f>
        <v>0</v>
      </c>
      <c r="N42" s="36">
        <f>IF(F42=0,,ATAN(G42/F42))</f>
        <v>0</v>
      </c>
      <c r="O42" s="36">
        <f>ABS(DEGREES(N42))</f>
        <v>0</v>
      </c>
      <c r="P42" s="37" t="str">
        <f>TEXT(INT(O42),"00")</f>
        <v>00</v>
      </c>
      <c r="Q42" s="38" t="str">
        <f>TEXT((O42-P42)*60,"00")</f>
        <v>00</v>
      </c>
      <c r="R42" s="39" t="str">
        <f>IF(L42="",IF(F42&gt;0,"S","N"),"")</f>
        <v/>
      </c>
      <c r="S42" s="25" t="str">
        <f>IF(L42="",IF(INT(Q42)=60,INT(P42+1),P42),"due")</f>
        <v>due</v>
      </c>
      <c r="T42" s="38" t="str">
        <f>IF(L42="",IF(INT(Q42)=60,"00",Q42),L42)</f>
        <v>NorthEast</v>
      </c>
      <c r="U42" s="40" t="str">
        <f>IF(L42="",IF(G42&gt;0,"W","E"),"")</f>
        <v/>
      </c>
      <c r="V42" s="44"/>
      <c r="W42" s="22">
        <f>IF(S42="due",90*(I42+K42),S42+T42/60)</f>
        <v>450</v>
      </c>
      <c r="X42" s="22">
        <f>IF(R42="",W42,IF(R42="N",IF(U42="E",180+W42,180-W42),IF(U42="E",360-W42,W42)))</f>
        <v>450</v>
      </c>
      <c r="Y42" s="22">
        <f>RADIANS(X42)</f>
        <v>7.8539816339744828</v>
      </c>
      <c r="Z42" s="64"/>
      <c r="AA42" s="58">
        <f>-M42*COS(Y42)</f>
        <v>0</v>
      </c>
      <c r="AB42" s="58">
        <f>-M42*SIN(Y42)</f>
        <v>0</v>
      </c>
      <c r="AC42" s="64"/>
      <c r="AD42" s="82" t="e">
        <f>$AA$40/$M$40*M42</f>
        <v>#DIV/0!</v>
      </c>
      <c r="AE42" s="82" t="e">
        <f>$AB$40/$M$40*M42</f>
        <v>#DIV/0!</v>
      </c>
      <c r="AF42" s="22" t="e">
        <f t="shared" si="0"/>
        <v>#DIV/0!</v>
      </c>
      <c r="AG42" s="22" t="e">
        <f t="shared" si="0"/>
        <v>#DIV/0!</v>
      </c>
      <c r="AH42" s="63"/>
      <c r="AI42" s="38">
        <f>A42</f>
        <v>1</v>
      </c>
      <c r="AJ42" s="82">
        <f t="shared" ref="AJ42:AK44" si="1">AJ41+AF41</f>
        <v>0</v>
      </c>
      <c r="AK42" s="82">
        <f t="shared" si="1"/>
        <v>0</v>
      </c>
      <c r="AL42" s="66"/>
      <c r="AM42" s="9" t="str">
        <f>IF(A43=0,A42&amp;" - 1",A42&amp;" - "&amp;A43)</f>
        <v>1 - 2</v>
      </c>
      <c r="AN42" s="18">
        <f>F42</f>
        <v>0</v>
      </c>
      <c r="AO42" s="18">
        <f>AN42*G42</f>
        <v>0</v>
      </c>
      <c r="AP42" s="9" t="str">
        <f>D42&amp;","&amp;C42</f>
        <v>,</v>
      </c>
    </row>
    <row r="43" spans="1:44">
      <c r="A43" s="20">
        <f>A42+1</f>
        <v>2</v>
      </c>
      <c r="B43" s="44"/>
      <c r="C43" s="60"/>
      <c r="D43" s="60"/>
      <c r="E43" s="79"/>
      <c r="F43" s="72">
        <f>IF(C44=0,C43-$C$42,C43-C44)</f>
        <v>0</v>
      </c>
      <c r="G43" s="72">
        <f>IF(D44=0,D43-$D$42,D43-D44)</f>
        <v>0</v>
      </c>
      <c r="H43" s="75" t="str">
        <f>IF(G43=0,IF(F43&gt;0,"South","North"),"")</f>
        <v>North</v>
      </c>
      <c r="I43" s="75">
        <f>IF(H43="North",2,IF(H43="",0,0))</f>
        <v>2</v>
      </c>
      <c r="J43" s="75" t="str">
        <f>IF(F43=0,IF(G43&gt;0,"West","East"),"")</f>
        <v>East</v>
      </c>
      <c r="K43" s="75">
        <f>IF(J43="West",1,IF(J43="",0,3))</f>
        <v>3</v>
      </c>
      <c r="L43" s="75" t="str">
        <f>H43&amp;J43</f>
        <v>NorthEast</v>
      </c>
      <c r="M43" s="36">
        <f>SQRT(F43^2+G43^2)</f>
        <v>0</v>
      </c>
      <c r="N43" s="36">
        <f>IF(F43=0,,ATAN(G43/F43))</f>
        <v>0</v>
      </c>
      <c r="O43" s="36">
        <f>ABS(DEGREES(N43))</f>
        <v>0</v>
      </c>
      <c r="P43" s="37" t="str">
        <f>TEXT(INT(O43),"00")</f>
        <v>00</v>
      </c>
      <c r="Q43" s="38" t="str">
        <f>TEXT((O43-P43)*60,"00")</f>
        <v>00</v>
      </c>
      <c r="R43" s="39" t="str">
        <f>IF(L43="",IF(F43&gt;0,"S","N"),"")</f>
        <v/>
      </c>
      <c r="S43" s="25" t="str">
        <f>IF(L43="",IF(INT(Q43)=60,INT(P43+1),P43),"due")</f>
        <v>due</v>
      </c>
      <c r="T43" s="38" t="str">
        <f>IF(L43="",IF(INT(Q43)=60,"00",Q43),L43)</f>
        <v>NorthEast</v>
      </c>
      <c r="U43" s="40" t="str">
        <f>IF(L43="",IF(G43&gt;0,"W","E"),"")</f>
        <v/>
      </c>
      <c r="V43" s="44"/>
      <c r="W43" s="22">
        <f>IF(S43="due",90*(I43+K43),S43+T43/60)</f>
        <v>450</v>
      </c>
      <c r="X43" s="22">
        <f>IF(R43="",W43,IF(R43="N",IF(U43="E",180+W43,180-W43),IF(U43="E",360-W43,W43)))</f>
        <v>450</v>
      </c>
      <c r="Y43" s="22">
        <f>RADIANS(X43)</f>
        <v>7.8539816339744828</v>
      </c>
      <c r="Z43" s="64"/>
      <c r="AA43" s="58">
        <f>-M43*COS(Y43)</f>
        <v>0</v>
      </c>
      <c r="AB43" s="58">
        <f>-M43*SIN(Y43)</f>
        <v>0</v>
      </c>
      <c r="AC43" s="64"/>
      <c r="AD43" s="82" t="e">
        <f>$AA$40/$M$40*M43</f>
        <v>#DIV/0!</v>
      </c>
      <c r="AE43" s="82" t="e">
        <f>$AB$40/$M$40*M43</f>
        <v>#DIV/0!</v>
      </c>
      <c r="AF43" s="22" t="e">
        <f t="shared" si="0"/>
        <v>#DIV/0!</v>
      </c>
      <c r="AG43" s="22" t="e">
        <f t="shared" si="0"/>
        <v>#DIV/0!</v>
      </c>
      <c r="AH43" s="64"/>
      <c r="AI43" s="25">
        <f>A43</f>
        <v>2</v>
      </c>
      <c r="AJ43" s="82" t="e">
        <f t="shared" si="1"/>
        <v>#DIV/0!</v>
      </c>
      <c r="AK43" s="82" t="e">
        <f t="shared" si="1"/>
        <v>#DIV/0!</v>
      </c>
      <c r="AL43" s="66"/>
      <c r="AM43" s="9" t="str">
        <f>IF(A44=0,A43&amp;" - 1",A43&amp;" - "&amp;A44)</f>
        <v>2 - 3</v>
      </c>
      <c r="AN43" s="18">
        <f>AN42+F42+F43</f>
        <v>0</v>
      </c>
      <c r="AO43" s="18">
        <f>AN43*G43</f>
        <v>0</v>
      </c>
      <c r="AP43" s="9" t="str">
        <f>D43&amp;","&amp;C43</f>
        <v>,</v>
      </c>
    </row>
    <row r="44" spans="1:44" s="46" customFormat="1">
      <c r="A44" s="20">
        <f>A43+1</f>
        <v>3</v>
      </c>
      <c r="B44" s="44"/>
      <c r="C44" s="60"/>
      <c r="D44" s="60"/>
      <c r="E44" s="79"/>
      <c r="F44" s="72">
        <f>IF(C45=0,C44-$C$42,C44-C45)</f>
        <v>0</v>
      </c>
      <c r="G44" s="72">
        <f>IF(D45=0,D44-$D$42,D44-D45)</f>
        <v>0</v>
      </c>
      <c r="H44" s="76" t="str">
        <f>IF(G44=0,IF(F44&gt;0,"South","North"),"")</f>
        <v>North</v>
      </c>
      <c r="I44" s="76">
        <f>IF(H44="North",2,IF(H44="",0,0))</f>
        <v>2</v>
      </c>
      <c r="J44" s="76" t="str">
        <f>IF(F44=0,IF(G44&gt;0,"West","East"),"")</f>
        <v>East</v>
      </c>
      <c r="K44" s="76">
        <f>IF(J44="West",1,IF(J44="",0,3))</f>
        <v>3</v>
      </c>
      <c r="L44" s="76" t="str">
        <f>H44&amp;J44</f>
        <v>NorthEast</v>
      </c>
      <c r="M44" s="22">
        <f>SQRT(F44^2+G44^2)</f>
        <v>0</v>
      </c>
      <c r="N44" s="22">
        <f>IF(F44=0,,ATAN(G44/F44))</f>
        <v>0</v>
      </c>
      <c r="O44" s="22">
        <f>ABS(DEGREES(N44))</f>
        <v>0</v>
      </c>
      <c r="P44" s="24" t="str">
        <f>TEXT(INT(O44),"00")</f>
        <v>00</v>
      </c>
      <c r="Q44" s="25" t="str">
        <f>TEXT((O44-P44)*60,"00")</f>
        <v>00</v>
      </c>
      <c r="R44" s="23" t="str">
        <f>IF(L44="",IF(F44&gt;0,"S","N"),"")</f>
        <v/>
      </c>
      <c r="S44" s="25" t="str">
        <f>IF(L44="",IF(INT(Q44)=60,INT(P44+1),P44),"due")</f>
        <v>due</v>
      </c>
      <c r="T44" s="25" t="str">
        <f>IF(L44="",IF(INT(Q44)=60,"00",Q44),L44)</f>
        <v>NorthEast</v>
      </c>
      <c r="U44" s="24" t="str">
        <f>IF(L44="",IF(G44&gt;0,"W","E"),"")</f>
        <v/>
      </c>
      <c r="V44" s="44"/>
      <c r="W44" s="22">
        <f>IF(S44="due",90*(I44+K44),S44+T44/60)</f>
        <v>450</v>
      </c>
      <c r="X44" s="22">
        <f>IF(R44="",W44,IF(R44="N",IF(U44="E",180+W44,180-W44),IF(U44="E",360-W44,W44)))</f>
        <v>450</v>
      </c>
      <c r="Y44" s="22">
        <f>RADIANS(X44)</f>
        <v>7.8539816339744828</v>
      </c>
      <c r="Z44" s="64"/>
      <c r="AA44" s="58">
        <f>-M44*COS(Y44)</f>
        <v>0</v>
      </c>
      <c r="AB44" s="58">
        <f>-M44*SIN(Y44)</f>
        <v>0</v>
      </c>
      <c r="AC44" s="64"/>
      <c r="AD44" s="82" t="e">
        <f>$AA$40/$M$40*M44</f>
        <v>#DIV/0!</v>
      </c>
      <c r="AE44" s="82" t="e">
        <f>$AB$40/$M$40*M44</f>
        <v>#DIV/0!</v>
      </c>
      <c r="AF44" s="22" t="e">
        <f>AA44-AD44</f>
        <v>#DIV/0!</v>
      </c>
      <c r="AG44" s="22" t="e">
        <f>AB44-AE44</f>
        <v>#DIV/0!</v>
      </c>
      <c r="AH44" s="64"/>
      <c r="AI44" s="25">
        <f>A44</f>
        <v>3</v>
      </c>
      <c r="AJ44" s="82" t="e">
        <f t="shared" si="1"/>
        <v>#DIV/0!</v>
      </c>
      <c r="AK44" s="82" t="e">
        <f t="shared" si="1"/>
        <v>#DIV/0!</v>
      </c>
      <c r="AL44" s="66"/>
      <c r="AM44" s="9" t="str">
        <f>IF(A45=0,A44&amp;" - 1",A44&amp;" - "&amp;A45)</f>
        <v>3 - 1</v>
      </c>
      <c r="AN44" s="18">
        <f>AN43+F43+F44</f>
        <v>0</v>
      </c>
      <c r="AO44" s="18">
        <f>AN44*G44</f>
        <v>0</v>
      </c>
      <c r="AP44" s="9" t="str">
        <f>D44&amp;","&amp;C44</f>
        <v>,</v>
      </c>
    </row>
    <row r="45" spans="1:44" s="46" customFormat="1">
      <c r="A45" s="28"/>
      <c r="B45" s="28"/>
      <c r="F45" s="47"/>
      <c r="G45" s="47"/>
      <c r="H45" s="47"/>
      <c r="I45" s="48"/>
      <c r="J45" s="48"/>
      <c r="K45" s="48"/>
      <c r="L45" s="28"/>
      <c r="M45" s="50"/>
      <c r="N45" s="48"/>
      <c r="O45" s="49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I45" s="47"/>
      <c r="AJ45" s="47"/>
    </row>
    <row r="46" spans="1:44" s="46" customFormat="1">
      <c r="A46" s="28"/>
      <c r="B46" s="28"/>
      <c r="F46" s="47"/>
      <c r="G46" s="47"/>
      <c r="H46" s="47"/>
      <c r="I46" s="48"/>
      <c r="J46" s="48"/>
      <c r="K46" s="48"/>
      <c r="L46" s="28"/>
      <c r="M46" s="50"/>
      <c r="N46" s="48"/>
      <c r="O46" s="49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I46" s="47"/>
      <c r="AJ46" s="47"/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  <mergeCell ref="AP38:AP39"/>
    <mergeCell ref="N39:Q39"/>
    <mergeCell ref="M38:U38"/>
    <mergeCell ref="B34:C34"/>
    <mergeCell ref="B35:C35"/>
    <mergeCell ref="A40:L40"/>
    <mergeCell ref="A28:B28"/>
    <mergeCell ref="A29:B29"/>
    <mergeCell ref="B32:C32"/>
    <mergeCell ref="B33:C33"/>
    <mergeCell ref="AM38:AO38"/>
    <mergeCell ref="R39:U39"/>
    <mergeCell ref="V38:V39"/>
    <mergeCell ref="AA38:AA39"/>
    <mergeCell ref="AB38:AB39"/>
  </mergeCells>
  <phoneticPr fontId="6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1958</vt:lpstr>
      <vt:lpstr>1959</vt:lpstr>
      <vt:lpstr>1960</vt:lpstr>
      <vt:lpstr>1961</vt:lpstr>
      <vt:lpstr>1962</vt:lpstr>
      <vt:lpstr>Sheet6</vt:lpstr>
      <vt:lpstr>Sheet7</vt:lpstr>
      <vt:lpstr>Sheet8</vt:lpstr>
      <vt:lpstr>Sheet9</vt:lpstr>
      <vt:lpstr>Sheet10</vt:lpstr>
      <vt:lpstr>'1958'!Print_Area</vt:lpstr>
    </vt:vector>
  </TitlesOfParts>
  <Company>Mapping Department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Cartography Division</dc:creator>
  <cp:lastModifiedBy>neo DENR</cp:lastModifiedBy>
  <dcterms:created xsi:type="dcterms:W3CDTF">2005-04-12T06:38:40Z</dcterms:created>
  <dcterms:modified xsi:type="dcterms:W3CDTF">2007-05-05T05:04:45Z</dcterms:modified>
</cp:coreProperties>
</file>