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/>
  </bookViews>
  <sheets>
    <sheet name="2105" sheetId="2" r:id="rId1"/>
    <sheet name="2106" sheetId="4" r:id="rId2"/>
    <sheet name="2107" sheetId="5" r:id="rId3"/>
    <sheet name="2108" sheetId="6" r:id="rId4"/>
    <sheet name="2109" sheetId="7" r:id="rId5"/>
    <sheet name="2110" sheetId="8" r:id="rId6"/>
    <sheet name="2111" sheetId="9" r:id="rId7"/>
    <sheet name="2112" sheetId="10" r:id="rId8"/>
    <sheet name="2113" sheetId="11" r:id="rId9"/>
    <sheet name="2114" sheetId="3" r:id="rId10"/>
    <sheet name="Sheet1" sheetId="12" r:id="rId11"/>
  </sheets>
  <definedNames>
    <definedName name="_xlnm.Print_Area" localSheetId="0">'2105'!$A$1:$AJ$43</definedName>
  </definedNames>
  <calcPr calcId="124519"/>
</workbook>
</file>

<file path=xl/calcChain.xml><?xml version="1.0" encoding="utf-8"?>
<calcChain xmlns="http://schemas.openxmlformats.org/spreadsheetml/2006/main">
  <c r="AP45" i="3"/>
  <c r="G45"/>
  <c r="F45"/>
  <c r="N45" s="1"/>
  <c r="O45" s="1"/>
  <c r="A45"/>
  <c r="AM45" s="1"/>
  <c r="AP46" i="11"/>
  <c r="G46"/>
  <c r="F46"/>
  <c r="N46" s="1"/>
  <c r="O46" s="1"/>
  <c r="AP45"/>
  <c r="G45"/>
  <c r="F45"/>
  <c r="N45" s="1"/>
  <c r="O45" s="1"/>
  <c r="A45"/>
  <c r="A46" s="1"/>
  <c r="AP45" i="10"/>
  <c r="G45"/>
  <c r="F45"/>
  <c r="N45" s="1"/>
  <c r="O45" s="1"/>
  <c r="A45"/>
  <c r="AM45" s="1"/>
  <c r="AP45" i="9"/>
  <c r="G45"/>
  <c r="F45"/>
  <c r="N45" s="1"/>
  <c r="O45" s="1"/>
  <c r="A45"/>
  <c r="AM45" s="1"/>
  <c r="AP45" i="8"/>
  <c r="G45"/>
  <c r="F45"/>
  <c r="N45" s="1"/>
  <c r="O45" s="1"/>
  <c r="A45"/>
  <c r="AM45" s="1"/>
  <c r="AP45" i="7"/>
  <c r="G45"/>
  <c r="F45"/>
  <c r="N45" s="1"/>
  <c r="O45" s="1"/>
  <c r="A45"/>
  <c r="AM45" s="1"/>
  <c r="AP45" i="6"/>
  <c r="G45"/>
  <c r="F45"/>
  <c r="N45" s="1"/>
  <c r="O45" s="1"/>
  <c r="A45"/>
  <c r="AM45" s="1"/>
  <c r="AP45" i="5"/>
  <c r="G45"/>
  <c r="F45"/>
  <c r="N45" s="1"/>
  <c r="O45" s="1"/>
  <c r="A45"/>
  <c r="AM45" s="1"/>
  <c r="AP45" i="4"/>
  <c r="G45"/>
  <c r="F45"/>
  <c r="N45" s="1"/>
  <c r="O45" s="1"/>
  <c r="A45"/>
  <c r="AM45" s="1"/>
  <c r="AP45" i="2"/>
  <c r="G45"/>
  <c r="F45"/>
  <c r="N45" s="1"/>
  <c r="O45" s="1"/>
  <c r="A45"/>
  <c r="AM45" s="1"/>
  <c r="AP44"/>
  <c r="AP43"/>
  <c r="AP42"/>
  <c r="AP44" i="11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C28" i="7"/>
  <c r="C29" s="1"/>
  <c r="H45"/>
  <c r="P45"/>
  <c r="Q45" s="1"/>
  <c r="I45"/>
  <c r="J45"/>
  <c r="K45" s="1"/>
  <c r="M45"/>
  <c r="AI45"/>
  <c r="T42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H45" i="2"/>
  <c r="P45"/>
  <c r="Q45" s="1"/>
  <c r="I45"/>
  <c r="J45"/>
  <c r="K45" s="1"/>
  <c r="M45"/>
  <c r="AI45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5"/>
  <c r="AB42" i="11"/>
  <c r="AA42"/>
  <c r="AB44"/>
  <c r="AA44"/>
  <c r="AB43"/>
  <c r="AA43"/>
  <c r="AB41"/>
  <c r="AG41" s="1"/>
  <c r="AK42" s="1"/>
  <c r="AA41"/>
  <c r="AF41" s="1"/>
  <c r="AJ42" s="1"/>
  <c r="M40"/>
  <c r="L46"/>
  <c r="L45"/>
  <c r="AB42" i="10"/>
  <c r="AA42"/>
  <c r="AB44"/>
  <c r="AA44"/>
  <c r="AB43"/>
  <c r="AA43"/>
  <c r="AB41"/>
  <c r="AG41" s="1"/>
  <c r="AK42" s="1"/>
  <c r="AA41"/>
  <c r="AF41" s="1"/>
  <c r="AJ42" s="1"/>
  <c r="M40"/>
  <c r="L45"/>
  <c r="AB42" i="9"/>
  <c r="AA42"/>
  <c r="AB44"/>
  <c r="AA44"/>
  <c r="AB43"/>
  <c r="AA43"/>
  <c r="AB41"/>
  <c r="AG41" s="1"/>
  <c r="AK42" s="1"/>
  <c r="AA41"/>
  <c r="AF41" s="1"/>
  <c r="AJ42" s="1"/>
  <c r="M40"/>
  <c r="L45"/>
  <c r="AB42" i="8"/>
  <c r="AA42"/>
  <c r="AB44"/>
  <c r="AA44"/>
  <c r="AB43"/>
  <c r="AA43"/>
  <c r="AB41"/>
  <c r="AG41" s="1"/>
  <c r="AK42" s="1"/>
  <c r="AA41"/>
  <c r="AF41" s="1"/>
  <c r="AJ42" s="1"/>
  <c r="M40"/>
  <c r="L45"/>
  <c r="M40" i="7"/>
  <c r="L45"/>
  <c r="AB42"/>
  <c r="AA42"/>
  <c r="AB44"/>
  <c r="AA44"/>
  <c r="AB43"/>
  <c r="AA43"/>
  <c r="AB41"/>
  <c r="AG41" s="1"/>
  <c r="AK42" s="1"/>
  <c r="AA41"/>
  <c r="AF41" s="1"/>
  <c r="AJ42" s="1"/>
  <c r="AB42" i="6"/>
  <c r="AA42"/>
  <c r="AB44"/>
  <c r="AA44"/>
  <c r="AB43"/>
  <c r="AA43"/>
  <c r="AB41"/>
  <c r="AG41" s="1"/>
  <c r="AK42" s="1"/>
  <c r="AA41"/>
  <c r="AF41" s="1"/>
  <c r="AJ42" s="1"/>
  <c r="M40"/>
  <c r="L45"/>
  <c r="AB42" i="5"/>
  <c r="AA42"/>
  <c r="AB44"/>
  <c r="AA44"/>
  <c r="AB43"/>
  <c r="AA43"/>
  <c r="AB41"/>
  <c r="AG41" s="1"/>
  <c r="AK42" s="1"/>
  <c r="AA41"/>
  <c r="AF41" s="1"/>
  <c r="AJ42" s="1"/>
  <c r="M40"/>
  <c r="L45"/>
  <c r="AB42" i="4"/>
  <c r="AA42"/>
  <c r="AB44"/>
  <c r="AA44"/>
  <c r="AB43"/>
  <c r="AA43"/>
  <c r="AB41"/>
  <c r="AG41" s="1"/>
  <c r="AK42" s="1"/>
  <c r="AA41"/>
  <c r="AF41" s="1"/>
  <c r="AJ42" s="1"/>
  <c r="M40"/>
  <c r="L45"/>
  <c r="W41" i="2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5" i="11"/>
  <c r="T45"/>
  <c r="S45"/>
  <c r="W45" s="1"/>
  <c r="R45"/>
  <c r="X45" s="1"/>
  <c r="Y45" s="1"/>
  <c r="U46"/>
  <c r="T46"/>
  <c r="S46"/>
  <c r="W46" s="1"/>
  <c r="R46"/>
  <c r="X46" s="1"/>
  <c r="Y46" s="1"/>
  <c r="U45" i="10"/>
  <c r="T45"/>
  <c r="S45"/>
  <c r="W45" s="1"/>
  <c r="R45"/>
  <c r="X45" s="1"/>
  <c r="Y45" s="1"/>
  <c r="U45" i="9"/>
  <c r="T45"/>
  <c r="S45"/>
  <c r="W45" s="1"/>
  <c r="R45"/>
  <c r="X45" s="1"/>
  <c r="Y45" s="1"/>
  <c r="U45" i="8"/>
  <c r="T45"/>
  <c r="S45"/>
  <c r="W45" s="1"/>
  <c r="R45"/>
  <c r="X45" s="1"/>
  <c r="Y45" s="1"/>
  <c r="U45" i="7"/>
  <c r="T45"/>
  <c r="S45"/>
  <c r="W45" s="1"/>
  <c r="R45"/>
  <c r="X45" s="1"/>
  <c r="Y45" s="1"/>
  <c r="U45" i="6"/>
  <c r="T45"/>
  <c r="S45"/>
  <c r="W45" s="1"/>
  <c r="R45"/>
  <c r="X45" s="1"/>
  <c r="Y45" s="1"/>
  <c r="U45" i="5"/>
  <c r="T45"/>
  <c r="S45"/>
  <c r="W45" s="1"/>
  <c r="R45"/>
  <c r="X45" s="1"/>
  <c r="Y45" s="1"/>
  <c r="U45" i="4"/>
  <c r="T45"/>
  <c r="S45"/>
  <c r="W45" s="1"/>
  <c r="R45"/>
  <c r="X45" s="1"/>
  <c r="Y45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AO45" s="1"/>
  <c r="U45"/>
  <c r="T45"/>
  <c r="S45"/>
  <c r="W45" s="1"/>
  <c r="R45"/>
  <c r="X45" s="1"/>
  <c r="Y45" s="1"/>
  <c r="AB41"/>
  <c r="AG41" s="1"/>
  <c r="AK42" s="1"/>
  <c r="AA41"/>
  <c r="AF41" s="1"/>
  <c r="AJ42" s="1"/>
  <c r="AB45" i="3" l="1"/>
  <c r="AA45"/>
  <c r="AB46" i="11"/>
  <c r="AA46"/>
  <c r="AB45"/>
  <c r="AA45"/>
  <c r="AB45" i="10"/>
  <c r="AA45"/>
  <c r="AB45" i="9"/>
  <c r="AA45"/>
  <c r="AB45" i="8"/>
  <c r="AA45"/>
  <c r="AB45" i="7"/>
  <c r="AA45"/>
  <c r="AB45" i="6"/>
  <c r="AA45"/>
  <c r="AB45" i="5"/>
  <c r="AA45"/>
  <c r="AB45" i="4"/>
  <c r="AA45"/>
  <c r="AB42" i="2"/>
  <c r="AA42"/>
  <c r="AB43"/>
  <c r="AA43"/>
  <c r="AB44"/>
  <c r="AA44"/>
  <c r="AB45"/>
  <c r="AA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5" i="3" l="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11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10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9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8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7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6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5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4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2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G40" i="7"/>
  <c r="AK43"/>
  <c r="AK44" s="1"/>
  <c r="AF40"/>
  <c r="AJ43"/>
  <c r="AJ44" s="1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0"/>
  <c r="AK45"/>
  <c r="AK40"/>
  <c r="AJ45" i="11"/>
  <c r="AJ46" s="1"/>
  <c r="AJ40"/>
  <c r="AK45"/>
  <c r="AK46" s="1"/>
  <c r="AK40"/>
  <c r="AJ45" i="10"/>
  <c r="AJ40"/>
  <c r="AK45"/>
  <c r="AK40"/>
  <c r="AJ45" i="9"/>
  <c r="AJ40"/>
  <c r="AK45"/>
  <c r="AK40"/>
  <c r="AJ45" i="8"/>
  <c r="AJ40"/>
  <c r="AK45"/>
  <c r="AK40"/>
  <c r="AJ40" i="7"/>
  <c r="AJ45"/>
  <c r="AK40"/>
  <c r="AK45"/>
  <c r="AJ45" i="6"/>
  <c r="AJ40"/>
  <c r="AK45"/>
  <c r="AK40"/>
  <c r="AJ45" i="5"/>
  <c r="AJ40"/>
  <c r="AK45"/>
  <c r="AK40"/>
  <c r="AJ45" i="4"/>
  <c r="AJ40"/>
  <c r="AK45"/>
  <c r="AK40"/>
  <c r="AJ40" i="2"/>
  <c r="AJ45"/>
  <c r="AK40"/>
  <c r="AK45"/>
</calcChain>
</file>

<file path=xl/sharedStrings.xml><?xml version="1.0" encoding="utf-8"?>
<sst xmlns="http://schemas.openxmlformats.org/spreadsheetml/2006/main" count="931" uniqueCount="120">
  <si>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</si>
  <si>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</si>
  <si>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</si>
  <si>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</si>
  <si>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</si>
  <si>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</si>
  <si>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</si>
  <si>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</si>
  <si>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</si>
  <si>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</si>
  <si>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</si>
  <si>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</si>
  <si>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</si>
  <si>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</si>
  <si>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</si>
  <si>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</si>
  <si>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</si>
  <si>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</si>
  <si>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</si>
  <si>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</si>
  <si>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</si>
  <si>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</si>
  <si>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</si>
  <si>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</si>
  <si>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</si>
  <si>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</si>
  <si>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</si>
  <si>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</si>
  <si>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</si>
  <si>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</si>
  <si>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</si>
  <si>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</si>
  <si>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</si>
  <si>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</si>
  <si>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</si>
  <si>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</si>
  <si>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</si>
  <si>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</si>
  <si>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</si>
  <si>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</si>
  <si>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</si>
  <si>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</si>
  <si>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</si>
  <si>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</si>
  <si>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</si>
  <si>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</si>
  <si>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</si>
  <si>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</si>
  <si>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</si>
  <si>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</si>
  <si>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</si>
  <si>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</si>
  <si>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</si>
  <si>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</si>
  <si>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</si>
  <si>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</si>
  <si>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</si>
  <si>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2105</t>
  </si>
  <si>
    <t>PEDROSO, Juan</t>
  </si>
  <si>
    <t>409</t>
  </si>
  <si>
    <t>6 31 N. 124 37 E.</t>
  </si>
  <si>
    <t>Lapuz (Bo.6)</t>
  </si>
  <si>
    <t>Norala</t>
  </si>
  <si>
    <t>South Cotabato</t>
  </si>
  <si>
    <t>Mindanao</t>
  </si>
  <si>
    <t>E.E. Orodio</t>
  </si>
  <si>
    <t>September 9-15, 1978</t>
  </si>
  <si>
    <t>BLLM 1</t>
  </si>
  <si>
    <t>460.81</t>
  </si>
  <si>
    <t>l</t>
  </si>
  <si>
    <t>2106</t>
  </si>
  <si>
    <t>Formacion,Acostio</t>
  </si>
  <si>
    <t>6 31 N. 124 37 E</t>
  </si>
  <si>
    <t>Lapuz,(Bo.6)</t>
  </si>
  <si>
    <t>September 4-15, 1978</t>
  </si>
  <si>
    <t>465.59</t>
  </si>
  <si>
    <t>2107</t>
  </si>
  <si>
    <t>Gorecho, Antonio</t>
  </si>
  <si>
    <t>473.40</t>
  </si>
  <si>
    <t>2108</t>
  </si>
  <si>
    <t>Biboto,Simplicio</t>
  </si>
  <si>
    <t>6 31 N.124 37 E.</t>
  </si>
  <si>
    <t>Lapuz (Bo. 6 )</t>
  </si>
  <si>
    <t>September 4-15,1978</t>
  </si>
  <si>
    <t>478.92</t>
  </si>
  <si>
    <t>2109</t>
  </si>
  <si>
    <t>Cad-409</t>
  </si>
  <si>
    <t>Seropia,Abraham</t>
  </si>
  <si>
    <t>484.16</t>
  </si>
  <si>
    <t>2110</t>
  </si>
  <si>
    <t>Seropia ,Vicente</t>
  </si>
  <si>
    <t>Cad 409</t>
  </si>
  <si>
    <t>489.02</t>
  </si>
  <si>
    <t>SEROPIA, VICENTE</t>
  </si>
  <si>
    <t>CAD-409</t>
  </si>
  <si>
    <t>6 31 N. 124 37</t>
  </si>
  <si>
    <t>LAPUZ (Bo.6 )</t>
  </si>
  <si>
    <t>NORALA</t>
  </si>
  <si>
    <t>E.E. ORODIO</t>
  </si>
  <si>
    <t>495.14</t>
  </si>
  <si>
    <t>bllm 1</t>
  </si>
  <si>
    <t>2112</t>
  </si>
  <si>
    <t>SELONSO OSCAR</t>
  </si>
  <si>
    <t>409, C-3</t>
  </si>
  <si>
    <t>6 31 N 124 37 E</t>
  </si>
  <si>
    <t>BO. 6, LAPUZ</t>
  </si>
  <si>
    <t>SOUTH COTABATO</t>
  </si>
  <si>
    <t>ANAO</t>
  </si>
  <si>
    <t>MINDANAO</t>
  </si>
  <si>
    <t>SEPT. 4-15, 78</t>
  </si>
  <si>
    <t>500.53</t>
  </si>
  <si>
    <t>BLLM1</t>
  </si>
  <si>
    <t>2113</t>
  </si>
  <si>
    <t>ESPINO BERNARDO</t>
  </si>
  <si>
    <t>BO. 6, LAPU</t>
  </si>
  <si>
    <t>1402.12</t>
  </si>
  <si>
    <t>2114</t>
  </si>
  <si>
    <t xml:space="preserve">Trespesses,          </t>
  </si>
  <si>
    <t>Magdalena</t>
  </si>
  <si>
    <t>694.66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</si>
</sst>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left"/>
    </xf>
    <xf numFmtId="49" fontId="3" fillId="3" borderId="4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tabSelected="1" topLeftCell="A5" workbookViewId="0">
      <selection activeCell="T5" sqref="T5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32" t="s">
        <v>69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7" t="s">
        <v>57</v>
      </c>
      <c r="D7" s="128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7" t="s">
        <v>58</v>
      </c>
      <c r="D8" s="128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7" t="s">
        <v>59</v>
      </c>
      <c r="D9" s="128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7" t="s">
        <v>60</v>
      </c>
      <c r="D10" s="128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7" t="s">
        <v>61</v>
      </c>
      <c r="D11" s="128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7" t="s">
        <v>62</v>
      </c>
      <c r="D12" s="128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7" t="s">
        <v>63</v>
      </c>
      <c r="D13" s="128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7" t="s">
        <v>64</v>
      </c>
      <c r="D14" s="128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7" t="s">
        <v>65</v>
      </c>
      <c r="D15" s="128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7" t="s">
        <v>66</v>
      </c>
      <c r="D16" s="128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7" t="s">
        <v>68</v>
      </c>
      <c r="D19" s="128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6" t="s">
        <v>16</v>
      </c>
      <c r="B28" s="126"/>
      <c r="C28" s="33">
        <f>ABS(SUM(AO42:AO65536))</f>
        <v>921.61730000035539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9" t="s">
        <v>17</v>
      </c>
      <c r="B29" s="129"/>
      <c r="C29" s="32">
        <f>ABS(C28/2)</f>
        <v>460.80865000017769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9">
        <f>SQRT(AA40^2+AB40^2)</f>
        <v>1.7197933970335738E-3</v>
      </c>
      <c r="C32" s="129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31">
        <f>M40/B32</f>
        <v>51433.754747936524</v>
      </c>
      <c r="C33" s="13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9" t="str">
        <f>"1 : "&amp;TEXT(B35,"00")</f>
        <v>1 : 51000</v>
      </c>
      <c r="C34" s="129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30">
        <f>ROUND(B33,2-LEN(INT(B33)))</f>
        <v>51000</v>
      </c>
      <c r="C35" s="13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9" t="s">
        <v>9</v>
      </c>
      <c r="B38" s="88"/>
      <c r="C38" s="121" t="s">
        <v>7</v>
      </c>
      <c r="D38" s="121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3" t="s">
        <v>8</v>
      </c>
      <c r="N38" s="123"/>
      <c r="O38" s="123"/>
      <c r="P38" s="123"/>
      <c r="Q38" s="123"/>
      <c r="R38" s="123"/>
      <c r="S38" s="123"/>
      <c r="T38" s="123"/>
      <c r="U38" s="123"/>
      <c r="V38" s="124"/>
      <c r="W38" s="59"/>
      <c r="X38" s="59" t="s">
        <v>33</v>
      </c>
      <c r="Y38" s="59" t="s">
        <v>34</v>
      </c>
      <c r="Z38" s="80"/>
      <c r="AA38" s="119" t="s">
        <v>30</v>
      </c>
      <c r="AB38" s="119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7" t="s">
        <v>55</v>
      </c>
      <c r="AK38" s="118"/>
      <c r="AL38" s="65"/>
      <c r="AM38" s="117" t="s">
        <v>18</v>
      </c>
      <c r="AN38" s="122"/>
      <c r="AO38" s="118"/>
      <c r="AP38" s="113" t="s">
        <v>56</v>
      </c>
    </row>
    <row r="39" spans="1:44">
      <c r="A39" s="120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7" t="s">
        <v>21</v>
      </c>
      <c r="O39" s="122"/>
      <c r="P39" s="122"/>
      <c r="Q39" s="118"/>
      <c r="R39" s="117" t="s">
        <v>24</v>
      </c>
      <c r="S39" s="122"/>
      <c r="T39" s="122"/>
      <c r="U39" s="118"/>
      <c r="V39" s="125"/>
      <c r="W39" s="59"/>
      <c r="X39" s="59"/>
      <c r="Y39" s="59"/>
      <c r="Z39" s="81"/>
      <c r="AA39" s="120"/>
      <c r="AB39" s="120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/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3"/>
    </row>
    <row r="40" spans="1:44" s="11" customFormat="1">
      <c r="A40" s="114" t="s">
        <v>25</v>
      </c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6"/>
      <c r="M40" s="51">
        <f>SUM(M42:M65536)</f>
        <v>88.455431800145462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1.3698567653150917E-3</v>
      </c>
      <c r="AB40" s="91">
        <f>SUM(AB42:AB65536)</f>
        <v>1.0397989089245829E-3</v>
      </c>
      <c r="AC40" s="91"/>
      <c r="AD40" s="91">
        <f>SUM(AD42:AD65536)</f>
        <v>1.3698567653150917E-3</v>
      </c>
      <c r="AE40" s="91">
        <f>SUM(AE42:AE65536)</f>
        <v>1.0397989089245829E-3</v>
      </c>
      <c r="AF40" s="91">
        <f>SUM(AF42:AF65536)</f>
        <v>0</v>
      </c>
      <c r="AG40" s="91">
        <f>SUM(AG42:AG65536)</f>
        <v>1.9984014443252818E-15</v>
      </c>
      <c r="AH40" s="92"/>
      <c r="AI40" s="93">
        <v>1</v>
      </c>
      <c r="AJ40" s="92">
        <f>AJ44+AF44</f>
        <v>721266.89926362399</v>
      </c>
      <c r="AK40" s="92">
        <f>AK44+AG44</f>
        <v>458721.40860005165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-10.849999999976717</v>
      </c>
      <c r="G41" s="72">
        <f>IF(D42=0,D41-$D$41,D41-D42)</f>
        <v>3729.5299999999697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3729.5457824512323</v>
      </c>
      <c r="N41" s="36">
        <f>IF(F41=0,,ATAN(G41/F41))</f>
        <v>-1.5678871212407424</v>
      </c>
      <c r="O41" s="36">
        <f>ABS(DEGREES(N41))</f>
        <v>89.833314800010953</v>
      </c>
      <c r="P41" s="37" t="str">
        <f>TEXT(INT(O41),"00")</f>
        <v>89</v>
      </c>
      <c r="Q41" s="38" t="str">
        <f>TEXT((O41-P41)*60,"00")</f>
        <v>50</v>
      </c>
      <c r="R41" s="39" t="str">
        <f>IF(L41="",IF(F41&gt;0,"S","N"),"")</f>
        <v>N</v>
      </c>
      <c r="S41" s="25" t="str">
        <f>IF(L41="",IF(INT(Q41)=60,INT(P41+1),P41),"due")</f>
        <v>89</v>
      </c>
      <c r="T41" s="38" t="str">
        <f>IF(L41="",IF(INT(Q41)=60,"00",Q41),L41)</f>
        <v>50</v>
      </c>
      <c r="U41" s="40" t="str">
        <f>IF(L41="",IF(G41&gt;0,"W","E"),"")</f>
        <v>W</v>
      </c>
      <c r="V41" s="41"/>
      <c r="W41" s="22">
        <f>IF(S41="due",90*(I41+K41),S41+T41/60)</f>
        <v>89.833333333333329</v>
      </c>
      <c r="X41" s="22">
        <f>IF(R41="",W41,IF(R41="N",IF(U41="E",180+W41,180-W41),IF(U41="E",360-W41,W41)))</f>
        <v>90.166666666666671</v>
      </c>
      <c r="Y41" s="22">
        <f>RADIANS(X41)</f>
        <v>1.573705208881554</v>
      </c>
      <c r="Z41" s="64"/>
      <c r="AA41" s="58">
        <f>-M41*COS(Y41)</f>
        <v>10.848793618242771</v>
      </c>
      <c r="AB41" s="58">
        <f>-M41*SIN(Y41)</f>
        <v>-3729.5300035093974</v>
      </c>
      <c r="AC41" s="64"/>
      <c r="AD41" s="22">
        <v>0</v>
      </c>
      <c r="AE41" s="22">
        <v>0</v>
      </c>
      <c r="AF41" s="22">
        <f t="shared" ref="AF41:AG43" si="0">AA41-AD41</f>
        <v>10.848793618242771</v>
      </c>
      <c r="AG41" s="22">
        <f t="shared" si="0"/>
        <v>-3729.5300035093974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721239.47</v>
      </c>
      <c r="D42" s="60">
        <v>458720.69</v>
      </c>
      <c r="E42" s="79"/>
      <c r="F42" s="72">
        <f>IF(C43=0,C42-$C$42,C42-C43)</f>
        <v>-0.51000000000931323</v>
      </c>
      <c r="G42" s="72">
        <f>IF(D43=0,D42-$D$42,D42-D43)</f>
        <v>16.830000000016298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16.837725499620134</v>
      </c>
      <c r="N42" s="36">
        <f>IF(F42=0,,ATAN(G42/F42))</f>
        <v>-1.5405025668755981</v>
      </c>
      <c r="O42" s="36">
        <f>ABS(DEGREES(N42))</f>
        <v>88.264295411041616</v>
      </c>
      <c r="P42" s="37" t="str">
        <f>TEXT(INT(O42),"00")</f>
        <v>88</v>
      </c>
      <c r="Q42" s="38" t="str">
        <f>TEXT((O42-P42)*60,"00")</f>
        <v>16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16</v>
      </c>
      <c r="U42" s="40" t="str">
        <f>IF(L42="",IF(G42&gt;0,"W","E"),"")</f>
        <v>W</v>
      </c>
      <c r="V42" s="44"/>
      <c r="W42" s="22">
        <f>IF(S42="due",90*(I42+K42),S42+T42/60)</f>
        <v>88.266666666666666</v>
      </c>
      <c r="X42" s="22">
        <f>IF(R42="",W42,IF(R42="N",IF(U42="E",180+W42,180-W42),IF(U42="E",360-W42,W42)))</f>
        <v>91.733333333333334</v>
      </c>
      <c r="Y42" s="22">
        <f>RADIANS(X42)</f>
        <v>1.6010487004961316</v>
      </c>
      <c r="Z42" s="64"/>
      <c r="AA42" s="58">
        <f>-M42*COS(Y42)</f>
        <v>0.50930346952273053</v>
      </c>
      <c r="AB42" s="58">
        <f>-M42*SIN(Y42)</f>
        <v>-16.830021092574132</v>
      </c>
      <c r="AC42" s="64"/>
      <c r="AD42" s="82">
        <f>$AA$40/$M$40*M42</f>
        <v>2.6075585997122617E-4</v>
      </c>
      <c r="AE42" s="82">
        <f>$AB$40/$M$40*M42</f>
        <v>1.9792847366155588E-4</v>
      </c>
      <c r="AF42" s="22">
        <f t="shared" si="0"/>
        <v>0.50904271366275933</v>
      </c>
      <c r="AG42" s="22">
        <f t="shared" si="0"/>
        <v>-16.830219021047792</v>
      </c>
      <c r="AH42" s="63"/>
      <c r="AI42" s="38">
        <f>A42</f>
        <v>1</v>
      </c>
      <c r="AJ42" s="82">
        <f t="shared" ref="AJ42:AK44" si="1">AJ41+AF41</f>
        <v>721239.46879361826</v>
      </c>
      <c r="AK42" s="82">
        <f t="shared" si="1"/>
        <v>458720.68999649055</v>
      </c>
      <c r="AL42" s="66"/>
      <c r="AM42" s="9" t="str">
        <f>IF(A43=0,A42&amp;" - 1",A42&amp;" - "&amp;A43)</f>
        <v>1 - 2</v>
      </c>
      <c r="AN42" s="18">
        <f>F42</f>
        <v>-0.51000000000931323</v>
      </c>
      <c r="AO42" s="18">
        <f>AN42*G42</f>
        <v>-8.5833000001650532</v>
      </c>
      <c r="AP42" s="9" t="str">
        <f>D42&amp;","&amp;C42</f>
        <v>458720.69,721239.47</v>
      </c>
    </row>
    <row r="43" spans="1:44">
      <c r="A43" s="20">
        <f>A42+1</f>
        <v>2</v>
      </c>
      <c r="B43" s="44"/>
      <c r="C43" s="60">
        <v>721239.98</v>
      </c>
      <c r="D43" s="60">
        <v>458703.86</v>
      </c>
      <c r="E43" s="79"/>
      <c r="F43" s="72">
        <f>IF(C44=0,C43-$C$42,C43-C44)</f>
        <v>-27.400000000023283</v>
      </c>
      <c r="G43" s="72">
        <f>IF(D44=0,D43-$D$42,D43-D44)</f>
        <v>-0.7900000000372529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27.411386320311031</v>
      </c>
      <c r="N43" s="36">
        <f>IF(F43=0,,ATAN(G43/F43))</f>
        <v>2.8824131479479806E-2</v>
      </c>
      <c r="O43" s="36">
        <f>ABS(DEGREES(N43))</f>
        <v>1.6515010819043703</v>
      </c>
      <c r="P43" s="37" t="str">
        <f>TEXT(INT(O43),"00")</f>
        <v>01</v>
      </c>
      <c r="Q43" s="38" t="str">
        <f>TEXT((O43-P43)*60,"00")</f>
        <v>39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39</v>
      </c>
      <c r="U43" s="40" t="str">
        <f>IF(L43="",IF(G43&gt;0,"W","E"),"")</f>
        <v>E</v>
      </c>
      <c r="V43" s="44"/>
      <c r="W43" s="22">
        <f>IF(S43="due",90*(I43+K43),S43+T43/60)</f>
        <v>1.65</v>
      </c>
      <c r="X43" s="22">
        <f>IF(R43="",W43,IF(R43="N",IF(U43="E",180+W43,180-W43),IF(U43="E",360-W43,W43)))</f>
        <v>181.65</v>
      </c>
      <c r="Y43" s="22">
        <f>RADIANS(X43)</f>
        <v>3.1703905862476995</v>
      </c>
      <c r="Z43" s="64"/>
      <c r="AA43" s="58">
        <f>-M43*COS(Y43)</f>
        <v>27.40002068768894</v>
      </c>
      <c r="AB43" s="58">
        <f>-M43*SIN(Y43)</f>
        <v>0.78928215205510088</v>
      </c>
      <c r="AC43" s="64"/>
      <c r="AD43" s="82">
        <f>$AA$40/$M$40*M43</f>
        <v>4.2450386859659055E-4</v>
      </c>
      <c r="AE43" s="82">
        <f>$AB$40/$M$40*M43</f>
        <v>3.2222249112261723E-4</v>
      </c>
      <c r="AF43" s="22">
        <f t="shared" si="0"/>
        <v>27.399596183820343</v>
      </c>
      <c r="AG43" s="22">
        <f t="shared" si="0"/>
        <v>0.78895992956397831</v>
      </c>
      <c r="AH43" s="64"/>
      <c r="AI43" s="25">
        <f>A43</f>
        <v>2</v>
      </c>
      <c r="AJ43" s="82">
        <f t="shared" si="1"/>
        <v>721239.97783633193</v>
      </c>
      <c r="AK43" s="82">
        <f t="shared" si="1"/>
        <v>458703.85977746948</v>
      </c>
      <c r="AL43" s="66"/>
      <c r="AM43" s="9" t="str">
        <f>IF(A44=0,A43&amp;" - 1",A43&amp;" - "&amp;A44)</f>
        <v>2 - 3</v>
      </c>
      <c r="AN43" s="18">
        <f>AN42+F42+F43</f>
        <v>-28.42000000004191</v>
      </c>
      <c r="AO43" s="18">
        <f>AN43*G43</f>
        <v>22.451800001091836</v>
      </c>
      <c r="AP43" s="9" t="str">
        <f>D43&amp;","&amp;C43</f>
        <v>458703.86,721239.98</v>
      </c>
    </row>
    <row r="44" spans="1:44" s="46" customFormat="1">
      <c r="A44" s="20">
        <f>A43+1</f>
        <v>3</v>
      </c>
      <c r="B44" s="44"/>
      <c r="C44" s="60">
        <v>721267.38</v>
      </c>
      <c r="D44" s="60">
        <v>458704.65</v>
      </c>
      <c r="E44" s="79"/>
      <c r="F44" s="72">
        <f>IF(C45=0,C44-$C$42,C44-C45)</f>
        <v>0.47999999998137355</v>
      </c>
      <c r="G44" s="72">
        <f>IF(D45=0,D44-$D$42,D44-D45)</f>
        <v>-16.759999999951106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16.766872099421025</v>
      </c>
      <c r="N44" s="22">
        <f>IF(F44=0,,ATAN(G44/F44))</f>
        <v>-1.5421645351424567</v>
      </c>
      <c r="O44" s="22">
        <f>ABS(DEGREES(N44))</f>
        <v>88.359519178417287</v>
      </c>
      <c r="P44" s="24" t="str">
        <f>TEXT(INT(O44),"00")</f>
        <v>88</v>
      </c>
      <c r="Q44" s="25" t="str">
        <f>TEXT((O44-P44)*60,"00")</f>
        <v>22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22</v>
      </c>
      <c r="U44" s="24" t="str">
        <f>IF(L44="",IF(G44&gt;0,"W","E"),"")</f>
        <v>E</v>
      </c>
      <c r="V44" s="44"/>
      <c r="W44" s="22">
        <f>IF(S44="due",90*(I44+K44),S44+T44/60)</f>
        <v>88.36666666666666</v>
      </c>
      <c r="X44" s="22">
        <f>IF(R44="",W44,IF(R44="N",IF(U44="E",180+W44,180-W44),IF(U44="E",360-W44,W44)))</f>
        <v>271.63333333333333</v>
      </c>
      <c r="Y44" s="22">
        <f>RADIANS(X44)</f>
        <v>4.7408960248339307</v>
      </c>
      <c r="Z44" s="64"/>
      <c r="AA44" s="58">
        <f>-M44*COS(Y44)</f>
        <v>-0.47790923312633871</v>
      </c>
      <c r="AB44" s="58">
        <f>-M44*SIN(Y44)</f>
        <v>16.76005974820006</v>
      </c>
      <c r="AC44" s="64"/>
      <c r="AD44" s="82">
        <f>$AA$40/$M$40*M44</f>
        <v>2.5965859542078431E-4</v>
      </c>
      <c r="AE44" s="82">
        <f>$AB$40/$M$40*M44</f>
        <v>1.9709558769038016E-4</v>
      </c>
      <c r="AF44" s="22">
        <f>AA44-AD44</f>
        <v>-0.47816889172175947</v>
      </c>
      <c r="AG44" s="22">
        <f>AB44-AE44</f>
        <v>16.75986265261237</v>
      </c>
      <c r="AH44" s="64"/>
      <c r="AI44" s="25">
        <f>A44</f>
        <v>3</v>
      </c>
      <c r="AJ44" s="82">
        <f t="shared" si="1"/>
        <v>721267.37743251573</v>
      </c>
      <c r="AK44" s="82">
        <f t="shared" si="1"/>
        <v>458704.64873739902</v>
      </c>
      <c r="AL44" s="66"/>
      <c r="AM44" s="9" t="str">
        <f>IF(A45=0,A44&amp;" - 1",A44&amp;" - "&amp;A45)</f>
        <v>3 - 4</v>
      </c>
      <c r="AN44" s="18">
        <f>AN43+F43+F44</f>
        <v>-55.340000000083819</v>
      </c>
      <c r="AO44" s="18">
        <f>AN44*G44</f>
        <v>927.49839999869903</v>
      </c>
      <c r="AP44" s="9" t="str">
        <f>D44&amp;","&amp;C44</f>
        <v>458704.65,721267.38</v>
      </c>
    </row>
    <row r="45" spans="1:44" s="46" customFormat="1">
      <c r="A45" s="20">
        <f>A44+1</f>
        <v>4</v>
      </c>
      <c r="B45" s="44"/>
      <c r="C45" s="60">
        <v>721266.9</v>
      </c>
      <c r="D45" s="60">
        <v>458721.41</v>
      </c>
      <c r="E45" s="79"/>
      <c r="F45" s="72">
        <f>IF(C46=0,C45-$C$42,C45-C46)</f>
        <v>27.430000000051223</v>
      </c>
      <c r="G45" s="72">
        <f>IF(D46=0,D45-$D$42,D45-D46)</f>
        <v>0.71999999997206032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27.439447880793264</v>
      </c>
      <c r="N45" s="22">
        <f>IF(F45=0,,ATAN(G45/F45))</f>
        <v>2.624260701860421E-2</v>
      </c>
      <c r="O45" s="22">
        <f>ABS(DEGREES(N45))</f>
        <v>1.5035906255864135</v>
      </c>
      <c r="P45" s="24" t="str">
        <f>TEXT(INT(O45),"00")</f>
        <v>01</v>
      </c>
      <c r="Q45" s="25" t="str">
        <f>TEXT((O45-P45)*60,"00")</f>
        <v>30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30</v>
      </c>
      <c r="U45" s="24" t="str">
        <f>IF(L45="",IF(G45&gt;0,"W","E"),"")</f>
        <v>W</v>
      </c>
      <c r="V45" s="44"/>
      <c r="W45" s="22">
        <f>IF(S45="due",90*(I45+K45),S45+T45/60)</f>
        <v>1.5</v>
      </c>
      <c r="X45" s="22">
        <f>IF(R45="",W45,IF(R45="N",IF(U45="E",180+W45,180-W45),IF(U45="E",360-W45,W45)))</f>
        <v>1.5</v>
      </c>
      <c r="Y45" s="22">
        <f>RADIANS(X45)</f>
        <v>2.6179938779914945E-2</v>
      </c>
      <c r="Z45" s="64"/>
      <c r="AA45" s="58">
        <f>-M45*COS(Y45)</f>
        <v>-27.430045067320016</v>
      </c>
      <c r="AB45" s="58">
        <f>-M45*SIN(Y45)</f>
        <v>-0.71828100877210477</v>
      </c>
      <c r="AC45" s="64"/>
      <c r="AD45" s="82">
        <f>$AA$40/$M$40*M45</f>
        <v>4.2493844132649068E-4</v>
      </c>
      <c r="AE45" s="82">
        <f>$AB$40/$M$40*M45</f>
        <v>3.2255235645002947E-4</v>
      </c>
      <c r="AF45" s="22">
        <f>AA45-AD45</f>
        <v>-27.430470005761343</v>
      </c>
      <c r="AG45" s="22">
        <f>AB45-AE45</f>
        <v>-0.71860356112855484</v>
      </c>
      <c r="AH45" s="64"/>
      <c r="AI45" s="25">
        <f>A45</f>
        <v>4</v>
      </c>
      <c r="AJ45" s="82">
        <f t="shared" ref="AJ45" si="2">AJ44+AF44</f>
        <v>721266.89926362399</v>
      </c>
      <c r="AK45" s="82">
        <f t="shared" ref="AK45" si="3">AK44+AG44</f>
        <v>458721.40860005165</v>
      </c>
      <c r="AL45" s="66"/>
      <c r="AM45" s="9" t="str">
        <f>IF(A46=0,A45&amp;" - 1",A45&amp;" - "&amp;A46)</f>
        <v>4 - 1</v>
      </c>
      <c r="AN45" s="18">
        <f>AN44+F44+F45</f>
        <v>-27.430000000051223</v>
      </c>
      <c r="AO45" s="18">
        <f>AN45*G45</f>
        <v>-19.749599999270494</v>
      </c>
      <c r="AP45" s="9" t="str">
        <f>D45&amp;","&amp;C45</f>
        <v>458721.41,721266.9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C19:D19"/>
    <mergeCell ref="A1:AJ1"/>
    <mergeCell ref="C10:D10"/>
    <mergeCell ref="C11:D11"/>
    <mergeCell ref="C12:D12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opLeftCell="A19" workbookViewId="0">
      <selection activeCell="D47" sqref="D47"/>
    </sheetView>
  </sheetViews>
  <sheetFormatPr defaultRowHeight="12.75"/>
  <cols>
    <col min="1" max="1" width="15.7109375" style="5" customWidth="1"/>
    <col min="2" max="2" width="7.570312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7" t="s">
        <v>116</v>
      </c>
      <c r="D7" s="128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117</v>
      </c>
      <c r="D8" s="110" t="s">
        <v>118</v>
      </c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91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2" t="s">
        <v>74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119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1389.3223999940494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694.66119999702471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1.8083072068117712E-3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68559.68635301727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69000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69000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123.97697492891577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9.8570092295524603E-4</v>
      </c>
      <c r="AB40" s="91">
        <f>SUM(AB42:AB65536)</f>
        <v>-1.5160371514882365E-3</v>
      </c>
      <c r="AC40" s="91"/>
      <c r="AD40" s="91">
        <f>SUM(AD42:AD65536)</f>
        <v>9.8570092295524603E-4</v>
      </c>
      <c r="AE40" s="91">
        <f>SUM(AE42:AE65536)</f>
        <v>-1.5160371514882365E-3</v>
      </c>
      <c r="AF40" s="91">
        <f>SUM(AF42:AF65536)</f>
        <v>0</v>
      </c>
      <c r="AG40" s="91">
        <f>SUM(AG42:AG65536)</f>
        <v>-7.382983113757291E-15</v>
      </c>
      <c r="AH40" s="92"/>
      <c r="AI40" s="93">
        <v>1</v>
      </c>
      <c r="AJ40" s="92">
        <f>AJ44+AF44</f>
        <v>721277.51729372435</v>
      </c>
      <c r="AK40" s="92">
        <f>AK44+AG44</f>
        <v>458886.1639368828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-33.800000000046566</v>
      </c>
      <c r="G41" s="72">
        <f>IF(D42=0,D41-$D$41,D41-D42)</f>
        <v>3564.4399999999441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3564.6002515849664</v>
      </c>
      <c r="N41" s="36">
        <f>IF(F41=0,,ATAN(G41/F41))</f>
        <v>-1.5613140555352039</v>
      </c>
      <c r="O41" s="36">
        <f>ABS(DEGREES(N41))</f>
        <v>89.456705876621413</v>
      </c>
      <c r="P41" s="37" t="str">
        <f>TEXT(INT(O41),"00")</f>
        <v>89</v>
      </c>
      <c r="Q41" s="38" t="str">
        <f>TEXT((O41-P41)*60,"00")</f>
        <v>27</v>
      </c>
      <c r="R41" s="39" t="str">
        <f>IF(L41="",IF(F41&gt;0,"S","N"),"")</f>
        <v>N</v>
      </c>
      <c r="S41" s="25" t="str">
        <f>IF(L41="",IF(INT(Q41)=60,INT(P41+1),P41),"due")</f>
        <v>89</v>
      </c>
      <c r="T41" s="38" t="str">
        <f>IF(L41="",IF(INT(Q41)=60,"00",Q41),L41)</f>
        <v>27</v>
      </c>
      <c r="U41" s="40" t="str">
        <f>IF(L41="",IF(G41&gt;0,"W","E"),"")</f>
        <v>W</v>
      </c>
      <c r="V41" s="41"/>
      <c r="W41" s="22">
        <f>IF(S41="due",90*(I41+K41),S41+T41/60)</f>
        <v>89.45</v>
      </c>
      <c r="X41" s="22">
        <f>IF(R41="",W41,IF(R41="N",IF(U41="E",180+W41,180-W41),IF(U41="E",360-W41,W41)))</f>
        <v>90.55</v>
      </c>
      <c r="Y41" s="22">
        <f>RADIANS(X41)</f>
        <v>1.5803956376808654</v>
      </c>
      <c r="Z41" s="64"/>
      <c r="AA41" s="58">
        <f>-M41*COS(Y41)</f>
        <v>34.217180493076782</v>
      </c>
      <c r="AB41" s="58">
        <f>-M41*SIN(Y41)</f>
        <v>-3564.4360196472471</v>
      </c>
      <c r="AC41" s="64"/>
      <c r="AD41" s="22">
        <v>0</v>
      </c>
      <c r="AE41" s="22">
        <v>0</v>
      </c>
      <c r="AF41" s="22">
        <f t="shared" ref="AF41:AG43" si="0">AA41-AD41</f>
        <v>34.217180493076782</v>
      </c>
      <c r="AG41" s="22">
        <f t="shared" si="0"/>
        <v>-3564.4360196472471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721262.42</v>
      </c>
      <c r="D42" s="60">
        <v>458885.78</v>
      </c>
      <c r="E42" s="79"/>
      <c r="F42" s="72">
        <f>IF(C43=0,C42-$C$42,C42-C43)</f>
        <v>-1.1099999999860302</v>
      </c>
      <c r="G42" s="72">
        <f>IF(D43=0,D42-$D$42,D42-D43)</f>
        <v>47.310000000055879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47.323019768451552</v>
      </c>
      <c r="N42" s="36">
        <f>IF(F42=0,,ATAN(G42/F42))</f>
        <v>-1.5473383603961275</v>
      </c>
      <c r="O42" s="36">
        <f>ABS(DEGREES(N42))</f>
        <v>88.655957529390832</v>
      </c>
      <c r="P42" s="37" t="str">
        <f>TEXT(INT(O42),"00")</f>
        <v>88</v>
      </c>
      <c r="Q42" s="38" t="str">
        <f>TEXT((O42-P42)*60,"00")</f>
        <v>39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39</v>
      </c>
      <c r="U42" s="40" t="str">
        <f>IF(L42="",IF(G42&gt;0,"W","E"),"")</f>
        <v>W</v>
      </c>
      <c r="V42" s="44"/>
      <c r="W42" s="22">
        <f>IF(S42="due",90*(I42+K42),S42+T42/60)</f>
        <v>88.65</v>
      </c>
      <c r="X42" s="22">
        <f>IF(R42="",W42,IF(R42="N",IF(U42="E",180+W42,180-W42),IF(U42="E",360-W42,W42)))</f>
        <v>91.35</v>
      </c>
      <c r="Y42" s="22">
        <f>RADIANS(X42)</f>
        <v>1.5943582716968199</v>
      </c>
      <c r="Z42" s="64"/>
      <c r="AA42" s="58">
        <f>-M42*COS(Y42)</f>
        <v>1.1149192169609938</v>
      </c>
      <c r="AB42" s="58">
        <f>-M42*SIN(Y42)</f>
        <v>-47.309884328170867</v>
      </c>
      <c r="AC42" s="64"/>
      <c r="AD42" s="82">
        <f>$AA$40/$M$40*M42</f>
        <v>3.7625006005782521E-4</v>
      </c>
      <c r="AE42" s="82">
        <f>$AB$40/$M$40*M42</f>
        <v>-5.7868371228383399E-4</v>
      </c>
      <c r="AF42" s="22">
        <f t="shared" si="0"/>
        <v>1.1145429669009359</v>
      </c>
      <c r="AG42" s="22">
        <f t="shared" si="0"/>
        <v>-47.309305644458583</v>
      </c>
      <c r="AH42" s="63"/>
      <c r="AI42" s="38">
        <f>A42</f>
        <v>1</v>
      </c>
      <c r="AJ42" s="82">
        <f t="shared" ref="AJ42:AK44" si="1">AJ41+AF41</f>
        <v>721262.83718049305</v>
      </c>
      <c r="AK42" s="82">
        <f t="shared" si="1"/>
        <v>458885.78398035275</v>
      </c>
      <c r="AL42" s="66"/>
      <c r="AM42" s="9" t="str">
        <f>IF(A43=0,A42&amp;" - 1",A42&amp;" - "&amp;A43)</f>
        <v>1 - 2</v>
      </c>
      <c r="AN42" s="18">
        <f>F42</f>
        <v>-1.1099999999860302</v>
      </c>
      <c r="AO42" s="18">
        <f>AN42*G42</f>
        <v>-52.514099999401111</v>
      </c>
      <c r="AP42" s="9" t="str">
        <f>D42&amp;","&amp;C42</f>
        <v>458885.78,721262.42</v>
      </c>
    </row>
    <row r="43" spans="1:44">
      <c r="A43" s="20">
        <f>A42+1</f>
        <v>2</v>
      </c>
      <c r="B43" s="44"/>
      <c r="C43" s="60">
        <v>721263.53</v>
      </c>
      <c r="D43" s="60">
        <v>458838.47</v>
      </c>
      <c r="E43" s="79"/>
      <c r="F43" s="72">
        <f>IF(C44=0,C43-$C$42,C43-C44)</f>
        <v>-14.679999999934807</v>
      </c>
      <c r="G43" s="72">
        <f>IF(D44=0,D43-$D$42,D43-D44)</f>
        <v>-0.42000000004190952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14.686006945324557</v>
      </c>
      <c r="N43" s="36">
        <f>IF(F43=0,,ATAN(G43/F43))</f>
        <v>2.8602551700379588E-2</v>
      </c>
      <c r="O43" s="36">
        <f>ABS(DEGREES(N43))</f>
        <v>1.6388054957364868</v>
      </c>
      <c r="P43" s="37" t="str">
        <f>TEXT(INT(O43),"00")</f>
        <v>01</v>
      </c>
      <c r="Q43" s="38" t="str">
        <f>TEXT((O43-P43)*60,"00")</f>
        <v>38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38</v>
      </c>
      <c r="U43" s="40" t="str">
        <f>IF(L43="",IF(G43&gt;0,"W","E"),"")</f>
        <v>E</v>
      </c>
      <c r="V43" s="44"/>
      <c r="W43" s="22">
        <f>IF(S43="due",90*(I43+K43),S43+T43/60)</f>
        <v>1.6333333333333333</v>
      </c>
      <c r="X43" s="22">
        <f>IF(R43="",W43,IF(R43="N",IF(U43="E",180+W43,180-W43),IF(U43="E",360-W43,W43)))</f>
        <v>181.63333333333333</v>
      </c>
      <c r="Y43" s="22">
        <f>RADIANS(X43)</f>
        <v>3.1700996980390337</v>
      </c>
      <c r="Z43" s="64"/>
      <c r="AA43" s="58">
        <f>-M43*COS(Y43)</f>
        <v>14.680040046027427</v>
      </c>
      <c r="AB43" s="58">
        <f>-M43*SIN(Y43)</f>
        <v>0.41859795168178127</v>
      </c>
      <c r="AC43" s="64"/>
      <c r="AD43" s="82">
        <f>$AA$40/$M$40*M43</f>
        <v>1.167637023635528E-4</v>
      </c>
      <c r="AE43" s="82">
        <f>$AB$40/$M$40*M43</f>
        <v>-1.7958602513807128E-4</v>
      </c>
      <c r="AF43" s="22">
        <f t="shared" si="0"/>
        <v>14.679923282325063</v>
      </c>
      <c r="AG43" s="22">
        <f t="shared" si="0"/>
        <v>0.41877753770691933</v>
      </c>
      <c r="AH43" s="64"/>
      <c r="AI43" s="25">
        <f>A43</f>
        <v>2</v>
      </c>
      <c r="AJ43" s="82">
        <f t="shared" si="1"/>
        <v>721263.95172345999</v>
      </c>
      <c r="AK43" s="82">
        <f t="shared" si="1"/>
        <v>458838.47467470827</v>
      </c>
      <c r="AL43" s="66"/>
      <c r="AM43" s="9" t="str">
        <f>IF(A44=0,A43&amp;" - 1",A43&amp;" - "&amp;A44)</f>
        <v>2 - 3</v>
      </c>
      <c r="AN43" s="18">
        <f>AN42+F42+F43</f>
        <v>-16.899999999906868</v>
      </c>
      <c r="AO43" s="18">
        <f>AN43*G43</f>
        <v>7.0980000006691553</v>
      </c>
      <c r="AP43" s="9" t="str">
        <f>D43&amp;","&amp;C43</f>
        <v>458838.47,721263.53</v>
      </c>
    </row>
    <row r="44" spans="1:44" s="46" customFormat="1">
      <c r="A44" s="20">
        <f>A43+1</f>
        <v>3</v>
      </c>
      <c r="B44" s="44"/>
      <c r="C44" s="60">
        <v>721278.21</v>
      </c>
      <c r="D44" s="60">
        <v>458838.89</v>
      </c>
      <c r="E44" s="79"/>
      <c r="F44" s="72">
        <f>IF(C45=0,C44-$C$42,C44-C45)</f>
        <v>1.1099999999860302</v>
      </c>
      <c r="G44" s="72">
        <f>IF(D45=0,D44-$D$42,D44-D45)</f>
        <v>-47.269999999960419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47.283030782683831</v>
      </c>
      <c r="N44" s="22">
        <f>IF(F44=0,,ATAN(G44/F44))</f>
        <v>-1.5473185174928838</v>
      </c>
      <c r="O44" s="22">
        <f>ABS(DEGREES(N44))</f>
        <v>88.654820614781684</v>
      </c>
      <c r="P44" s="24" t="str">
        <f>TEXT(INT(O44),"00")</f>
        <v>88</v>
      </c>
      <c r="Q44" s="25" t="str">
        <f>TEXT((O44-P44)*60,"00")</f>
        <v>39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39</v>
      </c>
      <c r="U44" s="24" t="str">
        <f>IF(L44="",IF(G44&gt;0,"W","E"),"")</f>
        <v>E</v>
      </c>
      <c r="V44" s="44"/>
      <c r="W44" s="22">
        <f>IF(S44="due",90*(I44+K44),S44+T44/60)</f>
        <v>88.65</v>
      </c>
      <c r="X44" s="22">
        <f>IF(R44="",W44,IF(R44="N",IF(U44="E",180+W44,180-W44),IF(U44="E",360-W44,W44)))</f>
        <v>271.35000000000002</v>
      </c>
      <c r="Y44" s="22">
        <f>RADIANS(X44)</f>
        <v>4.7359509252866134</v>
      </c>
      <c r="Z44" s="64"/>
      <c r="AA44" s="58">
        <f>-M44*COS(Y44)</f>
        <v>-1.1139770858603868</v>
      </c>
      <c r="AB44" s="58">
        <f>-M44*SIN(Y44)</f>
        <v>47.269906442137206</v>
      </c>
      <c r="AC44" s="64"/>
      <c r="AD44" s="82">
        <f>$AA$40/$M$40*M44</f>
        <v>3.7593212053557207E-4</v>
      </c>
      <c r="AE44" s="82">
        <f>$AB$40/$M$40*M44</f>
        <v>-5.7819471190203762E-4</v>
      </c>
      <c r="AF44" s="22">
        <f>AA44-AD44</f>
        <v>-1.1143530179809225</v>
      </c>
      <c r="AG44" s="22">
        <f>AB44-AE44</f>
        <v>47.270484636849105</v>
      </c>
      <c r="AH44" s="64"/>
      <c r="AI44" s="25">
        <f>A44</f>
        <v>3</v>
      </c>
      <c r="AJ44" s="82">
        <f t="shared" si="1"/>
        <v>721278.63164674235</v>
      </c>
      <c r="AK44" s="82">
        <f t="shared" si="1"/>
        <v>458838.89345224597</v>
      </c>
      <c r="AL44" s="66"/>
      <c r="AM44" s="9" t="str">
        <f>IF(A45=0,A44&amp;" - 1",A44&amp;" - "&amp;A45)</f>
        <v>3 - 4</v>
      </c>
      <c r="AN44" s="18">
        <f>AN43+F43+F44</f>
        <v>-30.469999999855645</v>
      </c>
      <c r="AO44" s="18">
        <f>AN44*G44</f>
        <v>1440.3168999919703</v>
      </c>
      <c r="AP44" s="9" t="str">
        <f>D44&amp;","&amp;C44</f>
        <v>458838.89,721278.21</v>
      </c>
    </row>
    <row r="45" spans="1:44" s="46" customFormat="1">
      <c r="A45" s="20">
        <f>A44+1</f>
        <v>4</v>
      </c>
      <c r="B45" s="44"/>
      <c r="C45" s="60">
        <v>721277.1</v>
      </c>
      <c r="D45" s="60">
        <v>458886.16</v>
      </c>
      <c r="E45" s="79"/>
      <c r="F45" s="72">
        <f>IF(C46=0,C45-$C$42,C45-C46)</f>
        <v>14.679999999934807</v>
      </c>
      <c r="G45" s="72">
        <f>IF(D46=0,D45-$D$42,D45-D46)</f>
        <v>0.37999999994644895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14.684917432455833</v>
      </c>
      <c r="N45" s="22">
        <f>IF(F45=0,,ATAN(G45/F45))</f>
        <v>2.5879779258613313E-2</v>
      </c>
      <c r="O45" s="22">
        <f>ABS(DEGREES(N45))</f>
        <v>1.4828021262487494</v>
      </c>
      <c r="P45" s="24" t="str">
        <f>TEXT(INT(O45),"00")</f>
        <v>01</v>
      </c>
      <c r="Q45" s="25" t="str">
        <f>TEXT((O45-P45)*60,"00")</f>
        <v>29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29</v>
      </c>
      <c r="U45" s="24" t="str">
        <f>IF(L45="",IF(G45&gt;0,"W","E"),"")</f>
        <v>W</v>
      </c>
      <c r="V45" s="44"/>
      <c r="W45" s="22">
        <f>IF(S45="due",90*(I45+K45),S45+T45/60)</f>
        <v>1.4833333333333334</v>
      </c>
      <c r="X45" s="22">
        <f>IF(R45="",W45,IF(R45="N",IF(U45="E",180+W45,180-W45),IF(U45="E",360-W45,W45)))</f>
        <v>1.4833333333333334</v>
      </c>
      <c r="Y45" s="22">
        <f>RADIANS(X45)</f>
        <v>2.5889050571249222E-2</v>
      </c>
      <c r="Z45" s="64"/>
      <c r="AA45" s="58">
        <f>-M45*COS(Y45)</f>
        <v>-14.679996476205078</v>
      </c>
      <c r="AB45" s="58">
        <f>-M45*SIN(Y45)</f>
        <v>-0.38013610279960958</v>
      </c>
      <c r="AC45" s="64"/>
      <c r="AD45" s="82">
        <f>$AA$40/$M$40*M45</f>
        <v>1.1675503999829597E-4</v>
      </c>
      <c r="AE45" s="82">
        <f>$AB$40/$M$40*M45</f>
        <v>-1.7957270216429364E-4</v>
      </c>
      <c r="AF45" s="22">
        <f>AA45-AD45</f>
        <v>-14.680113231245077</v>
      </c>
      <c r="AG45" s="22">
        <f>AB45-AE45</f>
        <v>-0.37995653009744529</v>
      </c>
      <c r="AH45" s="64"/>
      <c r="AI45" s="25">
        <f>A45</f>
        <v>4</v>
      </c>
      <c r="AJ45" s="82">
        <f t="shared" ref="AJ45" si="2">AJ44+AF44</f>
        <v>721277.51729372435</v>
      </c>
      <c r="AK45" s="82">
        <f t="shared" ref="AK45" si="3">AK44+AG44</f>
        <v>458886.1639368828</v>
      </c>
      <c r="AL45" s="66"/>
      <c r="AM45" s="9" t="str">
        <f>IF(A46=0,A45&amp;" - 1",A45&amp;" - "&amp;A46)</f>
        <v>4 - 1</v>
      </c>
      <c r="AN45" s="18">
        <f>AN44+F44+F45</f>
        <v>-14.679999999934807</v>
      </c>
      <c r="AO45" s="18">
        <f>AN45*G45</f>
        <v>-5.5783999991890978</v>
      </c>
      <c r="AP45" s="9" t="str">
        <f>D45&amp;","&amp;C45</f>
        <v>458886.16,721277.1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topLeftCell="A19" workbookViewId="0">
      <selection activeCell="D47" sqref="D4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32" t="s">
        <v>48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7" t="s">
        <v>70</v>
      </c>
      <c r="D7" s="128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7" t="s">
        <v>71</v>
      </c>
      <c r="D8" s="128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7" t="s">
        <v>59</v>
      </c>
      <c r="D9" s="128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7" t="s">
        <v>72</v>
      </c>
      <c r="D10" s="128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7" t="s">
        <v>73</v>
      </c>
      <c r="D11" s="128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7" t="s">
        <v>62</v>
      </c>
      <c r="D12" s="128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7" t="s">
        <v>63</v>
      </c>
      <c r="D13" s="128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7" t="s">
        <v>64</v>
      </c>
      <c r="D14" s="128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7" t="s">
        <v>65</v>
      </c>
      <c r="D15" s="128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7" t="s">
        <v>74</v>
      </c>
      <c r="D16" s="128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7" t="s">
        <v>75</v>
      </c>
      <c r="D19" s="128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6" t="s">
        <v>16</v>
      </c>
      <c r="B28" s="126"/>
      <c r="C28" s="33">
        <f>ABS(SUM(AO42:AO65536))</f>
        <v>931.1887000023678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9" t="s">
        <v>17</v>
      </c>
      <c r="B29" s="129"/>
      <c r="C29" s="32">
        <f>ABS(C28/2)</f>
        <v>465.5943500011839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9">
        <f>SQRT(AA40^2+AB40^2)</f>
        <v>1.5645840265819373E-4</v>
      </c>
      <c r="C32" s="129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31">
        <f>M40/B32</f>
        <v>569284.62077503907</v>
      </c>
      <c r="C33" s="13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9" t="str">
        <f>"1 : "&amp;TEXT(B35,"00")</f>
        <v>1 : 570000</v>
      </c>
      <c r="C34" s="129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30">
        <f>ROUND(B33,2-LEN(INT(B33)))</f>
        <v>570000</v>
      </c>
      <c r="C35" s="13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9" t="s">
        <v>9</v>
      </c>
      <c r="B38" s="88"/>
      <c r="C38" s="121" t="s">
        <v>7</v>
      </c>
      <c r="D38" s="121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3" t="s">
        <v>8</v>
      </c>
      <c r="N38" s="123"/>
      <c r="O38" s="123"/>
      <c r="P38" s="123"/>
      <c r="Q38" s="123"/>
      <c r="R38" s="123"/>
      <c r="S38" s="123"/>
      <c r="T38" s="123"/>
      <c r="U38" s="123"/>
      <c r="V38" s="124"/>
      <c r="W38" s="59"/>
      <c r="X38" s="59" t="s">
        <v>33</v>
      </c>
      <c r="Y38" s="59" t="s">
        <v>34</v>
      </c>
      <c r="Z38" s="80"/>
      <c r="AA38" s="119" t="s">
        <v>30</v>
      </c>
      <c r="AB38" s="119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7" t="s">
        <v>55</v>
      </c>
      <c r="AK38" s="118"/>
      <c r="AL38" s="65"/>
      <c r="AM38" s="117" t="s">
        <v>18</v>
      </c>
      <c r="AN38" s="122"/>
      <c r="AO38" s="118"/>
      <c r="AP38" s="113" t="s">
        <v>56</v>
      </c>
    </row>
    <row r="39" spans="1:44">
      <c r="A39" s="120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7" t="s">
        <v>21</v>
      </c>
      <c r="O39" s="122"/>
      <c r="P39" s="122"/>
      <c r="Q39" s="118"/>
      <c r="R39" s="117" t="s">
        <v>24</v>
      </c>
      <c r="S39" s="122"/>
      <c r="T39" s="122"/>
      <c r="U39" s="118"/>
      <c r="V39" s="125"/>
      <c r="W39" s="59"/>
      <c r="X39" s="59"/>
      <c r="Y39" s="59"/>
      <c r="Z39" s="81"/>
      <c r="AA39" s="120"/>
      <c r="AB39" s="120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3"/>
    </row>
    <row r="40" spans="1:44" s="11" customFormat="1">
      <c r="A40" s="114" t="s">
        <v>25</v>
      </c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6"/>
      <c r="M40" s="51">
        <f>SUM(M42:M65536)</f>
        <v>89.069362424338181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1.534932559152935E-4</v>
      </c>
      <c r="AB40" s="91">
        <f>SUM(AB42:AB65536)</f>
        <v>-3.0315872919572939E-5</v>
      </c>
      <c r="AC40" s="91"/>
      <c r="AD40" s="91">
        <f>SUM(AD42:AD65536)</f>
        <v>1.5349325591529353E-4</v>
      </c>
      <c r="AE40" s="91">
        <f>SUM(AE42:AE65536)</f>
        <v>-3.0315872919572946E-5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721238.36704467097</v>
      </c>
      <c r="AK40" s="92">
        <f>AK44+AG44</f>
        <v>458737.49987431639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-10.849999999976717</v>
      </c>
      <c r="G41" s="72">
        <f>IF(D42=0,D41-$D$41,D41-D42)</f>
        <v>3729.5299999999697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3729.5457824512323</v>
      </c>
      <c r="N41" s="36">
        <f>IF(F41=0,,ATAN(G41/F41))</f>
        <v>-1.5678871212407424</v>
      </c>
      <c r="O41" s="36">
        <f>ABS(DEGREES(N41))</f>
        <v>89.833314800010953</v>
      </c>
      <c r="P41" s="37" t="str">
        <f>TEXT(INT(O41),"00")</f>
        <v>89</v>
      </c>
      <c r="Q41" s="38" t="str">
        <f>TEXT((O41-P41)*60,"00")</f>
        <v>50</v>
      </c>
      <c r="R41" s="39" t="str">
        <f>IF(L41="",IF(F41&gt;0,"S","N"),"")</f>
        <v>N</v>
      </c>
      <c r="S41" s="25" t="str">
        <f>IF(L41="",IF(INT(Q41)=60,INT(P41+1),P41),"due")</f>
        <v>89</v>
      </c>
      <c r="T41" s="38" t="str">
        <f>IF(L41="",IF(INT(Q41)=60,"00",Q41),L41)</f>
        <v>50</v>
      </c>
      <c r="U41" s="40" t="str">
        <f>IF(L41="",IF(G41&gt;0,"W","E"),"")</f>
        <v>W</v>
      </c>
      <c r="V41" s="41"/>
      <c r="W41" s="22">
        <f>IF(S41="due",90*(I41+K41),S41+T41/60)</f>
        <v>89.833333333333329</v>
      </c>
      <c r="X41" s="22">
        <f>IF(R41="",W41,IF(R41="N",IF(U41="E",180+W41,180-W41),IF(U41="E",360-W41,W41)))</f>
        <v>90.166666666666671</v>
      </c>
      <c r="Y41" s="22">
        <f>RADIANS(X41)</f>
        <v>1.573705208881554</v>
      </c>
      <c r="Z41" s="64"/>
      <c r="AA41" s="58">
        <f>-M41*COS(Y41)</f>
        <v>10.848793618242771</v>
      </c>
      <c r="AB41" s="58">
        <f>-M41*SIN(Y41)</f>
        <v>-3729.5300035093974</v>
      </c>
      <c r="AC41" s="64"/>
      <c r="AD41" s="22">
        <v>0</v>
      </c>
      <c r="AE41" s="22">
        <v>0</v>
      </c>
      <c r="AF41" s="22">
        <f t="shared" ref="AF41:AG43" si="0">AA41-AD41</f>
        <v>10.848793618242771</v>
      </c>
      <c r="AG41" s="22">
        <f t="shared" si="0"/>
        <v>-3729.5300035093974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721239.47</v>
      </c>
      <c r="D42" s="60">
        <v>458720.69</v>
      </c>
      <c r="E42" s="79"/>
      <c r="F42" s="72">
        <f>IF(C43=0,C42-$C$42,C42-C43)</f>
        <v>-27.430000000051223</v>
      </c>
      <c r="G42" s="72">
        <f>IF(D43=0,D42-$D$42,D42-D43)</f>
        <v>-0.71999999997206032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27.439447880793264</v>
      </c>
      <c r="N42" s="36">
        <f>IF(F42=0,,ATAN(G42/F42))</f>
        <v>2.624260701860421E-2</v>
      </c>
      <c r="O42" s="36">
        <f>ABS(DEGREES(N42))</f>
        <v>1.5035906255864135</v>
      </c>
      <c r="P42" s="37" t="str">
        <f>TEXT(INT(O42),"00")</f>
        <v>01</v>
      </c>
      <c r="Q42" s="38" t="str">
        <f>TEXT((O42-P42)*60,"00")</f>
        <v>30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30</v>
      </c>
      <c r="U42" s="40" t="str">
        <f>IF(L42="",IF(G42&gt;0,"W","E"),"")</f>
        <v>E</v>
      </c>
      <c r="V42" s="44"/>
      <c r="W42" s="22">
        <f>IF(S42="due",90*(I42+K42),S42+T42/60)</f>
        <v>1.5</v>
      </c>
      <c r="X42" s="22">
        <f>IF(R42="",W42,IF(R42="N",IF(U42="E",180+W42,180-W42),IF(U42="E",360-W42,W42)))</f>
        <v>181.5</v>
      </c>
      <c r="Y42" s="22">
        <f>RADIANS(X42)</f>
        <v>3.1677725923697082</v>
      </c>
      <c r="Z42" s="64"/>
      <c r="AA42" s="58">
        <f>-M42*COS(Y42)</f>
        <v>27.430045067320016</v>
      </c>
      <c r="AB42" s="58">
        <f>-M42*SIN(Y42)</f>
        <v>0.71828100877210543</v>
      </c>
      <c r="AC42" s="64"/>
      <c r="AD42" s="82">
        <f>$AA$40/$M$40*M42</f>
        <v>4.7286407818611415E-5</v>
      </c>
      <c r="AE42" s="82">
        <f>$AB$40/$M$40*M42</f>
        <v>-9.3393597113037223E-6</v>
      </c>
      <c r="AF42" s="22">
        <f t="shared" si="0"/>
        <v>27.429997780912199</v>
      </c>
      <c r="AG42" s="22">
        <f t="shared" si="0"/>
        <v>0.71829034813181669</v>
      </c>
      <c r="AH42" s="63"/>
      <c r="AI42" s="38">
        <f>A42</f>
        <v>1</v>
      </c>
      <c r="AJ42" s="82">
        <f t="shared" ref="AJ42:AK44" si="1">AJ41+AF41</f>
        <v>721239.46879361826</v>
      </c>
      <c r="AK42" s="82">
        <f t="shared" si="1"/>
        <v>458720.68999649055</v>
      </c>
      <c r="AL42" s="66"/>
      <c r="AM42" s="9" t="str">
        <f>IF(A43=0,A42&amp;" - 1",A42&amp;" - "&amp;A43)</f>
        <v>1 - 2</v>
      </c>
      <c r="AN42" s="18">
        <f>F42</f>
        <v>-27.430000000051223</v>
      </c>
      <c r="AO42" s="18">
        <f>AN42*G42</f>
        <v>19.749599999270494</v>
      </c>
      <c r="AP42" s="9" t="str">
        <f>D42&amp;","&amp;C42</f>
        <v>458720.69,721239.47</v>
      </c>
    </row>
    <row r="43" spans="1:44">
      <c r="A43" s="20">
        <f>A42+1</f>
        <v>2</v>
      </c>
      <c r="B43" s="44"/>
      <c r="C43" s="60">
        <v>721266.9</v>
      </c>
      <c r="D43" s="60">
        <v>458721.41</v>
      </c>
      <c r="E43" s="79"/>
      <c r="F43" s="72">
        <f>IF(C44=0,C43-$C$42,C43-C44)</f>
        <v>0.47999999998137355</v>
      </c>
      <c r="G43" s="72">
        <f>IF(D44=0,D43-$D$42,D43-D44)</f>
        <v>-16.720000000030268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16.726888533167017</v>
      </c>
      <c r="N43" s="36">
        <f>IF(F43=0,,ATAN(G43/F43))</f>
        <v>-1.5420960755965885</v>
      </c>
      <c r="O43" s="36">
        <f>ABS(DEGREES(N43))</f>
        <v>88.355596735371662</v>
      </c>
      <c r="P43" s="37" t="str">
        <f>TEXT(INT(O43),"00")</f>
        <v>88</v>
      </c>
      <c r="Q43" s="38" t="str">
        <f>TEXT((O43-P43)*60,"00")</f>
        <v>21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21</v>
      </c>
      <c r="U43" s="40" t="str">
        <f>IF(L43="",IF(G43&gt;0,"W","E"),"")</f>
        <v>E</v>
      </c>
      <c r="V43" s="44"/>
      <c r="W43" s="22">
        <f>IF(S43="due",90*(I43+K43),S43+T43/60)</f>
        <v>88.35</v>
      </c>
      <c r="X43" s="22">
        <f>IF(R43="",W43,IF(R43="N",IF(U43="E",180+W43,180-W43),IF(U43="E",360-W43,W43)))</f>
        <v>271.64999999999998</v>
      </c>
      <c r="Y43" s="22">
        <f>RADIANS(X43)</f>
        <v>4.7411869130425961</v>
      </c>
      <c r="Z43" s="64"/>
      <c r="AA43" s="58">
        <f>-M43*COS(Y43)</f>
        <v>-0.48163323169326011</v>
      </c>
      <c r="AB43" s="58">
        <f>-M43*SIN(Y43)</f>
        <v>16.719953033161396</v>
      </c>
      <c r="AC43" s="64"/>
      <c r="AD43" s="82">
        <f>$AA$40/$M$40*M43</f>
        <v>2.8825451450480287E-5</v>
      </c>
      <c r="AE43" s="82">
        <f>$AB$40/$M$40*M43</f>
        <v>-5.6932059836187942E-6</v>
      </c>
      <c r="AF43" s="22">
        <f t="shared" si="0"/>
        <v>-0.48166205714471061</v>
      </c>
      <c r="AG43" s="22">
        <f t="shared" si="0"/>
        <v>16.719958726367381</v>
      </c>
      <c r="AH43" s="64"/>
      <c r="AI43" s="25">
        <f>A43</f>
        <v>2</v>
      </c>
      <c r="AJ43" s="82">
        <f t="shared" si="1"/>
        <v>721266.8987913992</v>
      </c>
      <c r="AK43" s="82">
        <f t="shared" si="1"/>
        <v>458721.40828683868</v>
      </c>
      <c r="AL43" s="66"/>
      <c r="AM43" s="9" t="str">
        <f>IF(A44=0,A43&amp;" - 1",A43&amp;" - "&amp;A44)</f>
        <v>2 - 3</v>
      </c>
      <c r="AN43" s="18">
        <f>AN42+F42+F43</f>
        <v>-54.380000000121072</v>
      </c>
      <c r="AO43" s="18">
        <f>AN43*G43</f>
        <v>909.23360000367029</v>
      </c>
      <c r="AP43" s="9" t="str">
        <f>D43&amp;","&amp;C43</f>
        <v>458721.41,721266.9</v>
      </c>
    </row>
    <row r="44" spans="1:44" s="46" customFormat="1">
      <c r="A44" s="20">
        <f>A43+1</f>
        <v>3</v>
      </c>
      <c r="B44" s="44"/>
      <c r="C44" s="60">
        <v>721266.42</v>
      </c>
      <c r="D44" s="60">
        <v>458738.13</v>
      </c>
      <c r="E44" s="79"/>
      <c r="F44" s="72">
        <f>IF(C45=0,C44-$C$42,C44-C45)</f>
        <v>28.050000000046566</v>
      </c>
      <c r="G44" s="72">
        <f>IF(D45=0,D44-$D$42,D44-D45)</f>
        <v>0.63000000000465661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28.057073974358378</v>
      </c>
      <c r="N44" s="22">
        <f>IF(F44=0,,ATAN(G44/F44))</f>
        <v>2.2456117583876806E-2</v>
      </c>
      <c r="O44" s="22">
        <f>ABS(DEGREES(N44))</f>
        <v>1.2866407618056563</v>
      </c>
      <c r="P44" s="24" t="str">
        <f>TEXT(INT(O44),"00")</f>
        <v>01</v>
      </c>
      <c r="Q44" s="25" t="str">
        <f>TEXT((O44-P44)*60,"00")</f>
        <v>17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17</v>
      </c>
      <c r="U44" s="24" t="str">
        <f>IF(L44="",IF(G44&gt;0,"W","E"),"")</f>
        <v>W</v>
      </c>
      <c r="V44" s="44"/>
      <c r="W44" s="22">
        <f>IF(S44="due",90*(I44+K44),S44+T44/60)</f>
        <v>1.2833333333333332</v>
      </c>
      <c r="X44" s="22">
        <f>IF(R44="",W44,IF(R44="N",IF(U44="E",180+W44,180-W44),IF(U44="E",360-W44,W44)))</f>
        <v>1.2833333333333332</v>
      </c>
      <c r="Y44" s="22">
        <f>RADIANS(X44)</f>
        <v>2.2398392067260561E-2</v>
      </c>
      <c r="Z44" s="64"/>
      <c r="AA44" s="58">
        <f>-M44*COS(Y44)</f>
        <v>-28.050036320387417</v>
      </c>
      <c r="AB44" s="58">
        <f>-M44*SIN(Y44)</f>
        <v>-0.62838079821481341</v>
      </c>
      <c r="AC44" s="64"/>
      <c r="AD44" s="82">
        <f>$AA$40/$M$40*M44</f>
        <v>4.8350763029642416E-5</v>
      </c>
      <c r="AE44" s="82">
        <f>$AB$40/$M$40*M44</f>
        <v>-9.5495764867997588E-6</v>
      </c>
      <c r="AF44" s="22">
        <f>AA44-AD44</f>
        <v>-28.050084671150447</v>
      </c>
      <c r="AG44" s="22">
        <f>AB44-AE44</f>
        <v>-0.62837124863832661</v>
      </c>
      <c r="AH44" s="64"/>
      <c r="AI44" s="25">
        <f>A44</f>
        <v>3</v>
      </c>
      <c r="AJ44" s="82">
        <f t="shared" si="1"/>
        <v>721266.41712934209</v>
      </c>
      <c r="AK44" s="82">
        <f t="shared" si="1"/>
        <v>458738.12824556505</v>
      </c>
      <c r="AL44" s="66"/>
      <c r="AM44" s="9" t="str">
        <f>IF(A45=0,A44&amp;" - 1",A44&amp;" - "&amp;A45)</f>
        <v>3 - 4</v>
      </c>
      <c r="AN44" s="18">
        <f>AN43+F43+F44</f>
        <v>-25.850000000093132</v>
      </c>
      <c r="AO44" s="18">
        <f>AN44*G44</f>
        <v>-16.285500000179045</v>
      </c>
      <c r="AP44" s="9" t="str">
        <f>D44&amp;","&amp;C44</f>
        <v>458738.13,721266.42</v>
      </c>
    </row>
    <row r="45" spans="1:44" s="46" customFormat="1">
      <c r="A45" s="20">
        <f>A44+1</f>
        <v>4</v>
      </c>
      <c r="B45" s="44"/>
      <c r="C45" s="60">
        <v>721238.37</v>
      </c>
      <c r="D45" s="60">
        <v>458737.5</v>
      </c>
      <c r="E45" s="79"/>
      <c r="F45" s="72">
        <f>IF(C46=0,C45-$C$42,C45-C46)</f>
        <v>-1.0999999999767169</v>
      </c>
      <c r="G45" s="72">
        <f>IF(D46=0,D45-$D$42,D45-D46)</f>
        <v>16.809999999997672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16.845952036019529</v>
      </c>
      <c r="N45" s="22">
        <f>IF(F45=0,,ATAN(G45/F45))</f>
        <v>-1.5054522492797386</v>
      </c>
      <c r="O45" s="22">
        <f>ABS(DEGREES(N45))</f>
        <v>86.256060142205754</v>
      </c>
      <c r="P45" s="24" t="str">
        <f>TEXT(INT(O45),"00")</f>
        <v>86</v>
      </c>
      <c r="Q45" s="25" t="str">
        <f>TEXT((O45-P45)*60,"00")</f>
        <v>15</v>
      </c>
      <c r="R45" s="23" t="str">
        <f>IF(L45="",IF(F45&gt;0,"S","N"),"")</f>
        <v>N</v>
      </c>
      <c r="S45" s="25" t="str">
        <f>IF(L45="",IF(INT(Q45)=60,INT(P45+1),P45),"due")</f>
        <v>86</v>
      </c>
      <c r="T45" s="25" t="str">
        <f>IF(L45="",IF(INT(Q45)=60,"00",Q45),L45)</f>
        <v>15</v>
      </c>
      <c r="U45" s="24" t="str">
        <f>IF(L45="",IF(G45&gt;0,"W","E"),"")</f>
        <v>W</v>
      </c>
      <c r="V45" s="44"/>
      <c r="W45" s="22">
        <f>IF(S45="due",90*(I45+K45),S45+T45/60)</f>
        <v>86.25</v>
      </c>
      <c r="X45" s="22">
        <f>IF(R45="",W45,IF(R45="N",IF(U45="E",180+W45,180-W45),IF(U45="E",360-W45,W45)))</f>
        <v>93.75</v>
      </c>
      <c r="Y45" s="22">
        <f>RADIANS(X45)</f>
        <v>1.6362461737446838</v>
      </c>
      <c r="Z45" s="64"/>
      <c r="AA45" s="58">
        <f>-M45*COS(Y45)</f>
        <v>1.1017779780165746</v>
      </c>
      <c r="AB45" s="58">
        <f>-M45*SIN(Y45)</f>
        <v>-16.809883559591608</v>
      </c>
      <c r="AC45" s="64"/>
      <c r="AD45" s="82">
        <f>$AA$40/$M$40*M45</f>
        <v>2.9030633616559409E-5</v>
      </c>
      <c r="AE45" s="82">
        <f>$AB$40/$M$40*M45</f>
        <v>-5.7337307378506674E-6</v>
      </c>
      <c r="AF45" s="22">
        <f>AA45-AD45</f>
        <v>1.101748947382958</v>
      </c>
      <c r="AG45" s="22">
        <f>AB45-AE45</f>
        <v>-16.80987782586087</v>
      </c>
      <c r="AH45" s="64"/>
      <c r="AI45" s="25">
        <f>A45</f>
        <v>4</v>
      </c>
      <c r="AJ45" s="82">
        <f t="shared" ref="AJ45" si="2">AJ44+AF44</f>
        <v>721238.36704467097</v>
      </c>
      <c r="AK45" s="82">
        <f t="shared" ref="AK45" si="3">AK44+AG44</f>
        <v>458737.49987431639</v>
      </c>
      <c r="AL45" s="66"/>
      <c r="AM45" s="9" t="str">
        <f>IF(A46=0,A45&amp;" - 1",A45&amp;" - "&amp;A46)</f>
        <v>4 - 1</v>
      </c>
      <c r="AN45" s="18">
        <f>AN44+F44+F45</f>
        <v>1.0999999999767169</v>
      </c>
      <c r="AO45" s="18">
        <f>AN45*G45</f>
        <v>18.49099999960605</v>
      </c>
      <c r="AP45" s="9" t="str">
        <f>D45&amp;","&amp;C45</f>
        <v>458737.5,721238.37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topLeftCell="A18" workbookViewId="0">
      <selection activeCell="C47" sqref="C4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32" t="s">
        <v>48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7" t="s">
        <v>76</v>
      </c>
      <c r="D7" s="128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7" t="s">
        <v>77</v>
      </c>
      <c r="D8" s="128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7" t="s">
        <v>59</v>
      </c>
      <c r="D9" s="128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7" t="s">
        <v>60</v>
      </c>
      <c r="D10" s="128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7" t="s">
        <v>61</v>
      </c>
      <c r="D11" s="128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7" t="s">
        <v>62</v>
      </c>
      <c r="D12" s="128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7" t="s">
        <v>63</v>
      </c>
      <c r="D13" s="128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7" t="s">
        <v>64</v>
      </c>
      <c r="D14" s="128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7" t="s">
        <v>65</v>
      </c>
      <c r="D15" s="128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7" t="s">
        <v>74</v>
      </c>
      <c r="D16" s="128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7" t="s">
        <v>78</v>
      </c>
      <c r="D19" s="128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6" t="s">
        <v>16</v>
      </c>
      <c r="B28" s="126"/>
      <c r="C28" s="33">
        <f>ABS(SUM(AO42:AO65536))</f>
        <v>946.79069999973183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9" t="s">
        <v>17</v>
      </c>
      <c r="B29" s="129"/>
      <c r="C29" s="32">
        <f>ABS(C28/2)</f>
        <v>473.39534999986591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9">
        <f>SQRT(AA40^2+AB40^2)</f>
        <v>3.8797405663502605E-3</v>
      </c>
      <c r="C32" s="129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31">
        <f>M40/B32</f>
        <v>23196.969199383311</v>
      </c>
      <c r="C33" s="13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9" t="str">
        <f>"1 : "&amp;TEXT(B35,"00")</f>
        <v>1 : 23000</v>
      </c>
      <c r="C34" s="129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30">
        <f>ROUND(B33,2-LEN(INT(B33)))</f>
        <v>23000</v>
      </c>
      <c r="C35" s="13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9" t="s">
        <v>9</v>
      </c>
      <c r="B38" s="88"/>
      <c r="C38" s="121" t="s">
        <v>7</v>
      </c>
      <c r="D38" s="121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3" t="s">
        <v>8</v>
      </c>
      <c r="N38" s="123"/>
      <c r="O38" s="123"/>
      <c r="P38" s="123"/>
      <c r="Q38" s="123"/>
      <c r="R38" s="123"/>
      <c r="S38" s="123"/>
      <c r="T38" s="123"/>
      <c r="U38" s="123"/>
      <c r="V38" s="124"/>
      <c r="W38" s="59"/>
      <c r="X38" s="59" t="s">
        <v>33</v>
      </c>
      <c r="Y38" s="59" t="s">
        <v>34</v>
      </c>
      <c r="Z38" s="80"/>
      <c r="AA38" s="119" t="s">
        <v>30</v>
      </c>
      <c r="AB38" s="119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7" t="s">
        <v>55</v>
      </c>
      <c r="AK38" s="118"/>
      <c r="AL38" s="65"/>
      <c r="AM38" s="117" t="s">
        <v>18</v>
      </c>
      <c r="AN38" s="122"/>
      <c r="AO38" s="118"/>
      <c r="AP38" s="113" t="s">
        <v>56</v>
      </c>
    </row>
    <row r="39" spans="1:44">
      <c r="A39" s="120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7" t="s">
        <v>21</v>
      </c>
      <c r="O39" s="122"/>
      <c r="P39" s="122"/>
      <c r="Q39" s="118"/>
      <c r="R39" s="117" t="s">
        <v>24</v>
      </c>
      <c r="S39" s="122"/>
      <c r="T39" s="122"/>
      <c r="U39" s="118"/>
      <c r="V39" s="125"/>
      <c r="W39" s="59"/>
      <c r="X39" s="59"/>
      <c r="Y39" s="59"/>
      <c r="Z39" s="81"/>
      <c r="AA39" s="120"/>
      <c r="AB39" s="120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3"/>
    </row>
    <row r="40" spans="1:44" s="11" customFormat="1">
      <c r="A40" s="114" t="s">
        <v>25</v>
      </c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6"/>
      <c r="M40" s="51">
        <f>SUM(M42:M65536)</f>
        <v>89.998222419224959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-3.379038204410989E-3</v>
      </c>
      <c r="AB40" s="91">
        <f>SUM(AB42:AB65536)</f>
        <v>-1.9064332338990519E-3</v>
      </c>
      <c r="AC40" s="91"/>
      <c r="AD40" s="91">
        <f>SUM(AD42:AD65536)</f>
        <v>-3.379038204410989E-3</v>
      </c>
      <c r="AE40" s="91">
        <f>SUM(AE42:AE65536)</f>
        <v>-1.9064332338990519E-3</v>
      </c>
      <c r="AF40" s="91">
        <f>SUM(AF42:AF65536)</f>
        <v>0</v>
      </c>
      <c r="AG40" s="91">
        <f>SUM(AG42:AG65536)</f>
        <v>-1.2212453270876722E-15</v>
      </c>
      <c r="AH40" s="92"/>
      <c r="AI40" s="93">
        <v>1</v>
      </c>
      <c r="AJ40" s="92">
        <f>AJ44+AF44</f>
        <v>721265.59969879105</v>
      </c>
      <c r="AK40" s="92">
        <f>AK44+AG44</f>
        <v>458754.83874256903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-8.940000000060536</v>
      </c>
      <c r="G41" s="72">
        <f>IF(D42=0,D41-$D$41,D41-D42)</f>
        <v>3695.8999999999651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3695.9108124520189</v>
      </c>
      <c r="N41" s="36">
        <f>IF(F41=0,,ATAN(G41/F41))</f>
        <v>-1.5683774348973993</v>
      </c>
      <c r="O41" s="36">
        <f>ABS(DEGREES(N41))</f>
        <v>89.861407703175018</v>
      </c>
      <c r="P41" s="37" t="str">
        <f>TEXT(INT(O41),"00")</f>
        <v>89</v>
      </c>
      <c r="Q41" s="38" t="str">
        <f>TEXT((O41-P41)*60,"00")</f>
        <v>52</v>
      </c>
      <c r="R41" s="39" t="str">
        <f>IF(L41="",IF(F41&gt;0,"S","N"),"")</f>
        <v>N</v>
      </c>
      <c r="S41" s="25" t="str">
        <f>IF(L41="",IF(INT(Q41)=60,INT(P41+1),P41),"due")</f>
        <v>89</v>
      </c>
      <c r="T41" s="38" t="str">
        <f>IF(L41="",IF(INT(Q41)=60,"00",Q41),L41)</f>
        <v>52</v>
      </c>
      <c r="U41" s="40" t="str">
        <f>IF(L41="",IF(G41&gt;0,"W","E"),"")</f>
        <v>W</v>
      </c>
      <c r="V41" s="41"/>
      <c r="W41" s="22">
        <f>IF(S41="due",90*(I41+K41),S41+T41/60)</f>
        <v>89.86666666666666</v>
      </c>
      <c r="X41" s="22">
        <f>IF(R41="",W41,IF(R41="N",IF(U41="E",180+W41,180-W41),IF(U41="E",360-W41,W41)))</f>
        <v>90.13333333333334</v>
      </c>
      <c r="Y41" s="22">
        <f>RADIANS(X41)</f>
        <v>1.5731234324642225</v>
      </c>
      <c r="Z41" s="64"/>
      <c r="AA41" s="58">
        <f>-M41*COS(Y41)</f>
        <v>8.6007672421793124</v>
      </c>
      <c r="AB41" s="58">
        <f>-M41*SIN(Y41)</f>
        <v>-3695.9008050003977</v>
      </c>
      <c r="AC41" s="64"/>
      <c r="AD41" s="22">
        <v>0</v>
      </c>
      <c r="AE41" s="22">
        <v>0</v>
      </c>
      <c r="AF41" s="22">
        <f t="shared" ref="AF41:AG43" si="0">AA41-AD41</f>
        <v>8.6007672421793124</v>
      </c>
      <c r="AG41" s="22">
        <f t="shared" si="0"/>
        <v>-3695.9008050003977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721237.56</v>
      </c>
      <c r="D42" s="60">
        <v>458754.32</v>
      </c>
      <c r="E42" s="79"/>
      <c r="F42" s="72">
        <f>IF(C43=0,C42-$C$42,C42-C43)</f>
        <v>-0.80999999993946403</v>
      </c>
      <c r="G42" s="72">
        <f>IF(D43=0,D42-$D$42,D42-D43)</f>
        <v>16.820000000006985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16.839492272635091</v>
      </c>
      <c r="N42" s="36">
        <f>IF(F42=0,,ATAN(G42/F42))</f>
        <v>-1.5226765458903668</v>
      </c>
      <c r="O42" s="36">
        <f>ABS(DEGREES(N42))</f>
        <v>87.242939643076241</v>
      </c>
      <c r="P42" s="37" t="str">
        <f>TEXT(INT(O42),"00")</f>
        <v>87</v>
      </c>
      <c r="Q42" s="38" t="str">
        <f>TEXT((O42-P42)*60,"00")</f>
        <v>15</v>
      </c>
      <c r="R42" s="39" t="str">
        <f>IF(L42="",IF(F42&gt;0,"S","N"),"")</f>
        <v>N</v>
      </c>
      <c r="S42" s="25" t="str">
        <f>IF(L42="",IF(INT(Q42)=60,INT(P42+1),P42),"due")</f>
        <v>87</v>
      </c>
      <c r="T42" s="38" t="str">
        <f>IF(L42="",IF(INT(Q42)=60,"00",Q42),L42)</f>
        <v>15</v>
      </c>
      <c r="U42" s="40" t="str">
        <f>IF(L42="",IF(G42&gt;0,"W","E"),"")</f>
        <v>W</v>
      </c>
      <c r="V42" s="44"/>
      <c r="W42" s="22">
        <f>IF(S42="due",90*(I42+K42),S42+T42/60)</f>
        <v>87.25</v>
      </c>
      <c r="X42" s="22">
        <f>IF(R42="",W42,IF(R42="N",IF(U42="E",180+W42,180-W42),IF(U42="E",360-W42,W42)))</f>
        <v>92.75</v>
      </c>
      <c r="Y42" s="22">
        <f>RADIANS(X42)</f>
        <v>1.6187928812247407</v>
      </c>
      <c r="Z42" s="64"/>
      <c r="AA42" s="58">
        <f>-M42*COS(Y42)</f>
        <v>0.80792732449066562</v>
      </c>
      <c r="AB42" s="58">
        <f>-M42*SIN(Y42)</f>
        <v>-16.820099685747355</v>
      </c>
      <c r="AC42" s="64"/>
      <c r="AD42" s="82">
        <f>$AA$40/$M$40*M42</f>
        <v>-6.3224901784240852E-4</v>
      </c>
      <c r="AE42" s="82">
        <f>$AB$40/$M$40*M42</f>
        <v>-3.5671113103762878E-4</v>
      </c>
      <c r="AF42" s="22">
        <f t="shared" si="0"/>
        <v>0.80855957350850804</v>
      </c>
      <c r="AG42" s="22">
        <f t="shared" si="0"/>
        <v>-16.819742974616318</v>
      </c>
      <c r="AH42" s="63"/>
      <c r="AI42" s="38">
        <f>A42</f>
        <v>1</v>
      </c>
      <c r="AJ42" s="82">
        <f t="shared" ref="AJ42:AK44" si="1">AJ41+AF41</f>
        <v>721237.22076724214</v>
      </c>
      <c r="AK42" s="82">
        <f t="shared" si="1"/>
        <v>458754.31919499958</v>
      </c>
      <c r="AL42" s="66"/>
      <c r="AM42" s="9" t="str">
        <f>IF(A43=0,A42&amp;" - 1",A42&amp;" - "&amp;A43)</f>
        <v>1 - 2</v>
      </c>
      <c r="AN42" s="18">
        <f>F42</f>
        <v>-0.80999999993946403</v>
      </c>
      <c r="AO42" s="18">
        <f>AN42*G42</f>
        <v>-13.624199998987443</v>
      </c>
      <c r="AP42" s="9" t="str">
        <f>D42&amp;","&amp;C42</f>
        <v>458754.32,721237.56</v>
      </c>
    </row>
    <row r="43" spans="1:44">
      <c r="A43" s="20">
        <f>A42+1</f>
        <v>2</v>
      </c>
      <c r="B43" s="44"/>
      <c r="C43" s="60">
        <v>721238.37</v>
      </c>
      <c r="D43" s="60">
        <v>458737.5</v>
      </c>
      <c r="E43" s="79"/>
      <c r="F43" s="72">
        <f>IF(C44=0,C43-$C$42,C43-C44)</f>
        <v>-28.050000000046566</v>
      </c>
      <c r="G43" s="72">
        <f>IF(D44=0,D43-$D$42,D43-D44)</f>
        <v>-0.63000000000465661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28.057073974358378</v>
      </c>
      <c r="N43" s="36">
        <f>IF(F43=0,,ATAN(G43/F43))</f>
        <v>2.2456117583876806E-2</v>
      </c>
      <c r="O43" s="36">
        <f>ABS(DEGREES(N43))</f>
        <v>1.2866407618056563</v>
      </c>
      <c r="P43" s="37" t="str">
        <f>TEXT(INT(O43),"00")</f>
        <v>01</v>
      </c>
      <c r="Q43" s="38" t="str">
        <f>TEXT((O43-P43)*60,"00")</f>
        <v>17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17</v>
      </c>
      <c r="U43" s="40" t="str">
        <f>IF(L43="",IF(G43&gt;0,"W","E"),"")</f>
        <v>E</v>
      </c>
      <c r="V43" s="44"/>
      <c r="W43" s="22">
        <f>IF(S43="due",90*(I43+K43),S43+T43/60)</f>
        <v>1.2833333333333332</v>
      </c>
      <c r="X43" s="22">
        <f>IF(R43="",W43,IF(R43="N",IF(U43="E",180+W43,180-W43),IF(U43="E",360-W43,W43)))</f>
        <v>181.28333333333333</v>
      </c>
      <c r="Y43" s="22">
        <f>RADIANS(X43)</f>
        <v>3.1639910456570539</v>
      </c>
      <c r="Z43" s="64"/>
      <c r="AA43" s="58">
        <f>-M43*COS(Y43)</f>
        <v>28.050036320387417</v>
      </c>
      <c r="AB43" s="58">
        <f>-M43*SIN(Y43)</f>
        <v>0.62838079821481663</v>
      </c>
      <c r="AC43" s="64"/>
      <c r="AD43" s="82">
        <f>$AA$40/$M$40*M43</f>
        <v>-1.0534199711381218E-3</v>
      </c>
      <c r="AE43" s="82">
        <f>$AB$40/$M$40*M43</f>
        <v>-5.9433327495649448E-4</v>
      </c>
      <c r="AF43" s="22">
        <f t="shared" si="0"/>
        <v>28.051089740358556</v>
      </c>
      <c r="AG43" s="22">
        <f t="shared" si="0"/>
        <v>0.62897513148977313</v>
      </c>
      <c r="AH43" s="64"/>
      <c r="AI43" s="25">
        <f>A43</f>
        <v>2</v>
      </c>
      <c r="AJ43" s="82">
        <f t="shared" si="1"/>
        <v>721238.02932681562</v>
      </c>
      <c r="AK43" s="82">
        <f t="shared" si="1"/>
        <v>458737.49945202499</v>
      </c>
      <c r="AL43" s="66"/>
      <c r="AM43" s="9" t="str">
        <f>IF(A44=0,A43&amp;" - 1",A43&amp;" - "&amp;A44)</f>
        <v>2 - 3</v>
      </c>
      <c r="AN43" s="18">
        <f>AN42+F42+F43</f>
        <v>-29.669999999925494</v>
      </c>
      <c r="AO43" s="18">
        <f>AN43*G43</f>
        <v>18.692100000091223</v>
      </c>
      <c r="AP43" s="9" t="str">
        <f>D43&amp;","&amp;C43</f>
        <v>458737.5,721238.37</v>
      </c>
    </row>
    <row r="44" spans="1:44" s="46" customFormat="1">
      <c r="A44" s="20">
        <f>A43+1</f>
        <v>3</v>
      </c>
      <c r="B44" s="44"/>
      <c r="C44" s="60">
        <v>721266.42</v>
      </c>
      <c r="D44" s="60">
        <v>458738.13</v>
      </c>
      <c r="E44" s="79"/>
      <c r="F44" s="72">
        <f>IF(C45=0,C44-$C$42,C44-C45)</f>
        <v>0.48000000009778887</v>
      </c>
      <c r="G44" s="72">
        <f>IF(D45=0,D44-$D$42,D44-D45)</f>
        <v>-16.710000000020955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16.716892653863464</v>
      </c>
      <c r="N44" s="22">
        <f>IF(F44=0,,ATAN(G44/F44))</f>
        <v>-1.5420789095337728</v>
      </c>
      <c r="O44" s="22">
        <f>ABS(DEGREES(N44))</f>
        <v>88.354613192421468</v>
      </c>
      <c r="P44" s="24" t="str">
        <f>TEXT(INT(O44),"00")</f>
        <v>88</v>
      </c>
      <c r="Q44" s="25" t="str">
        <f>TEXT((O44-P44)*60,"00")</f>
        <v>21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21</v>
      </c>
      <c r="U44" s="24" t="str">
        <f>IF(L44="",IF(G44&gt;0,"W","E"),"")</f>
        <v>E</v>
      </c>
      <c r="V44" s="44"/>
      <c r="W44" s="22">
        <f>IF(S44="due",90*(I44+K44),S44+T44/60)</f>
        <v>88.35</v>
      </c>
      <c r="X44" s="22">
        <f>IF(R44="",W44,IF(R44="N",IF(U44="E",180+W44,180-W44),IF(U44="E",360-W44,W44)))</f>
        <v>271.64999999999998</v>
      </c>
      <c r="Y44" s="22">
        <f>RADIANS(X44)</f>
        <v>4.7411869130425961</v>
      </c>
      <c r="Z44" s="64"/>
      <c r="AA44" s="58">
        <f>-M44*COS(Y44)</f>
        <v>-0.48134541082071475</v>
      </c>
      <c r="AB44" s="58">
        <f>-M44*SIN(Y44)</f>
        <v>16.709961298467334</v>
      </c>
      <c r="AC44" s="64"/>
      <c r="AD44" s="82">
        <f>$AA$40/$M$40*M44</f>
        <v>-6.2764594030887875E-4</v>
      </c>
      <c r="AE44" s="82">
        <f>$AB$40/$M$40*M44</f>
        <v>-3.5411410210298112E-4</v>
      </c>
      <c r="AF44" s="22">
        <f>AA44-AD44</f>
        <v>-0.48071776488040585</v>
      </c>
      <c r="AG44" s="22">
        <f>AB44-AE44</f>
        <v>16.710315412569436</v>
      </c>
      <c r="AH44" s="64"/>
      <c r="AI44" s="25">
        <f>A44</f>
        <v>3</v>
      </c>
      <c r="AJ44" s="82">
        <f t="shared" si="1"/>
        <v>721266.08041655598</v>
      </c>
      <c r="AK44" s="82">
        <f t="shared" si="1"/>
        <v>458738.12842715648</v>
      </c>
      <c r="AL44" s="66"/>
      <c r="AM44" s="9" t="str">
        <f>IF(A45=0,A44&amp;" - 1",A44&amp;" - "&amp;A45)</f>
        <v>3 - 4</v>
      </c>
      <c r="AN44" s="18">
        <f>AN43+F43+F44</f>
        <v>-57.239999999874271</v>
      </c>
      <c r="AO44" s="18">
        <f>AN44*G44</f>
        <v>956.48039999909849</v>
      </c>
      <c r="AP44" s="9" t="str">
        <f>D44&amp;","&amp;C44</f>
        <v>458738.13,721266.42</v>
      </c>
    </row>
    <row r="45" spans="1:44" s="46" customFormat="1">
      <c r="A45" s="20">
        <f>A44+1</f>
        <v>4</v>
      </c>
      <c r="B45" s="44"/>
      <c r="C45" s="60">
        <v>721265.94</v>
      </c>
      <c r="D45" s="60">
        <v>458754.84</v>
      </c>
      <c r="E45" s="79"/>
      <c r="F45" s="72">
        <f>IF(C46=0,C45-$C$42,C45-C46)</f>
        <v>28.379999999888241</v>
      </c>
      <c r="G45" s="72">
        <f>IF(D46=0,D45-$D$42,D45-D46)</f>
        <v>0.52000000001862645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28.384763518368018</v>
      </c>
      <c r="N45" s="22">
        <f>IF(F45=0,,ATAN(G45/F45))</f>
        <v>1.8320712461048921E-2</v>
      </c>
      <c r="O45" s="22">
        <f>ABS(DEGREES(N45))</f>
        <v>1.0496995016908388</v>
      </c>
      <c r="P45" s="24" t="str">
        <f>TEXT(INT(O45),"00")</f>
        <v>01</v>
      </c>
      <c r="Q45" s="25" t="str">
        <f>TEXT((O45-P45)*60,"00")</f>
        <v>03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03</v>
      </c>
      <c r="U45" s="24" t="str">
        <f>IF(L45="",IF(G45&gt;0,"W","E"),"")</f>
        <v>W</v>
      </c>
      <c r="V45" s="44"/>
      <c r="W45" s="22">
        <f>IF(S45="due",90*(I45+K45),S45+T45/60)</f>
        <v>1.05</v>
      </c>
      <c r="X45" s="22">
        <f>IF(R45="",W45,IF(R45="N",IF(U45="E",180+W45,180-W45),IF(U45="E",360-W45,W45)))</f>
        <v>1.05</v>
      </c>
      <c r="Y45" s="22">
        <f>RADIANS(X45)</f>
        <v>1.8325957145940461E-2</v>
      </c>
      <c r="Z45" s="64"/>
      <c r="AA45" s="58">
        <f>-M45*COS(Y45)</f>
        <v>-28.379997272261779</v>
      </c>
      <c r="AB45" s="58">
        <f>-M45*SIN(Y45)</f>
        <v>-0.52014884416869533</v>
      </c>
      <c r="AC45" s="64"/>
      <c r="AD45" s="82">
        <f>$AA$40/$M$40*M45</f>
        <v>-1.06572327512158E-3</v>
      </c>
      <c r="AE45" s="82">
        <f>$AB$40/$M$40*M45</f>
        <v>-6.0127472580194757E-4</v>
      </c>
      <c r="AF45" s="22">
        <f>AA45-AD45</f>
        <v>-28.378931548986657</v>
      </c>
      <c r="AG45" s="22">
        <f>AB45-AE45</f>
        <v>-0.51954756944289338</v>
      </c>
      <c r="AH45" s="64"/>
      <c r="AI45" s="25">
        <f>A45</f>
        <v>4</v>
      </c>
      <c r="AJ45" s="82">
        <f t="shared" ref="AJ45" si="2">AJ44+AF44</f>
        <v>721265.59969879105</v>
      </c>
      <c r="AK45" s="82">
        <f t="shared" ref="AK45" si="3">AK44+AG44</f>
        <v>458754.83874256903</v>
      </c>
      <c r="AL45" s="66"/>
      <c r="AM45" s="9" t="str">
        <f>IF(A46=0,A45&amp;" - 1",A45&amp;" - "&amp;A46)</f>
        <v>4 - 1</v>
      </c>
      <c r="AN45" s="18">
        <f>AN44+F44+F45</f>
        <v>-28.379999999888241</v>
      </c>
      <c r="AO45" s="18">
        <f>AN45*G45</f>
        <v>-14.757600000470504</v>
      </c>
      <c r="AP45" s="9" t="str">
        <f>D45&amp;","&amp;C45</f>
        <v>458754.84,721265.94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topLeftCell="A16" workbookViewId="0">
      <selection activeCell="M26" sqref="M2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32" t="s">
        <v>48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7" t="s">
        <v>79</v>
      </c>
      <c r="D7" s="128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7" t="s">
        <v>80</v>
      </c>
      <c r="D8" s="128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7" t="s">
        <v>59</v>
      </c>
      <c r="D9" s="128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7" t="s">
        <v>81</v>
      </c>
      <c r="D10" s="128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7" t="s">
        <v>82</v>
      </c>
      <c r="D11" s="128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7" t="s">
        <v>62</v>
      </c>
      <c r="D12" s="128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7" t="s">
        <v>63</v>
      </c>
      <c r="D13" s="128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7" t="s">
        <v>64</v>
      </c>
      <c r="D14" s="128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7" t="s">
        <v>65</v>
      </c>
      <c r="D15" s="128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7" t="s">
        <v>83</v>
      </c>
      <c r="D16" s="128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7" t="s">
        <v>84</v>
      </c>
      <c r="D19" s="128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6" t="s">
        <v>16</v>
      </c>
      <c r="B28" s="126"/>
      <c r="C28" s="33">
        <f>ABS(SUM(AO42:AO65536))</f>
        <v>957.83319999676144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9" t="s">
        <v>17</v>
      </c>
      <c r="B29" s="129"/>
      <c r="C29" s="32">
        <f>ABS(C28/2)</f>
        <v>478.91659999838072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9">
        <f>SQRT(AA40^2+AB40^2)</f>
        <v>4.3789064360886133E-3</v>
      </c>
      <c r="C32" s="129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31">
        <f>M40/B32</f>
        <v>20702.369553608496</v>
      </c>
      <c r="C33" s="13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9" t="str">
        <f>"1 : "&amp;TEXT(B35,"00")</f>
        <v>1 : 21000</v>
      </c>
      <c r="C34" s="129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30">
        <f>ROUND(B33,2-LEN(INT(B33)))</f>
        <v>21000</v>
      </c>
      <c r="C35" s="13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9" t="s">
        <v>9</v>
      </c>
      <c r="B38" s="88"/>
      <c r="C38" s="121" t="s">
        <v>7</v>
      </c>
      <c r="D38" s="121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3" t="s">
        <v>8</v>
      </c>
      <c r="N38" s="123"/>
      <c r="O38" s="123"/>
      <c r="P38" s="123"/>
      <c r="Q38" s="123"/>
      <c r="R38" s="123"/>
      <c r="S38" s="123"/>
      <c r="T38" s="123"/>
      <c r="U38" s="123"/>
      <c r="V38" s="124"/>
      <c r="W38" s="59"/>
      <c r="X38" s="59" t="s">
        <v>33</v>
      </c>
      <c r="Y38" s="59" t="s">
        <v>34</v>
      </c>
      <c r="Z38" s="80"/>
      <c r="AA38" s="119" t="s">
        <v>30</v>
      </c>
      <c r="AB38" s="119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7" t="s">
        <v>55</v>
      </c>
      <c r="AK38" s="118"/>
      <c r="AL38" s="65"/>
      <c r="AM38" s="117" t="s">
        <v>18</v>
      </c>
      <c r="AN38" s="122"/>
      <c r="AO38" s="118"/>
      <c r="AP38" s="113" t="s">
        <v>56</v>
      </c>
    </row>
    <row r="39" spans="1:44">
      <c r="A39" s="120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7" t="s">
        <v>21</v>
      </c>
      <c r="O39" s="122"/>
      <c r="P39" s="122"/>
      <c r="Q39" s="118"/>
      <c r="R39" s="117" t="s">
        <v>24</v>
      </c>
      <c r="S39" s="122"/>
      <c r="T39" s="122"/>
      <c r="U39" s="118"/>
      <c r="V39" s="125"/>
      <c r="W39" s="59"/>
      <c r="X39" s="59"/>
      <c r="Y39" s="59"/>
      <c r="Z39" s="81"/>
      <c r="AA39" s="120"/>
      <c r="AB39" s="120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3"/>
    </row>
    <row r="40" spans="1:44" s="11" customFormat="1">
      <c r="A40" s="114" t="s">
        <v>25</v>
      </c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6"/>
      <c r="M40" s="51">
        <f>SUM(M42:M65536)</f>
        <v>90.653739280581192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-3.5541040250792744E-3</v>
      </c>
      <c r="AB40" s="91">
        <f>SUM(AB42:AB65536)</f>
        <v>2.5579613278807756E-3</v>
      </c>
      <c r="AC40" s="91"/>
      <c r="AD40" s="91">
        <f>SUM(AD42:AD65536)</f>
        <v>-3.5541040250792748E-3</v>
      </c>
      <c r="AE40" s="91">
        <f>SUM(AE42:AE65536)</f>
        <v>2.557961327880776E-3</v>
      </c>
      <c r="AF40" s="91">
        <f>SUM(AF42:AF65536)</f>
        <v>2.3314683517128287E-15</v>
      </c>
      <c r="AG40" s="91">
        <f>SUM(AG42:AG65536)</f>
        <v>0</v>
      </c>
      <c r="AH40" s="92"/>
      <c r="AI40" s="93">
        <v>1</v>
      </c>
      <c r="AJ40" s="92">
        <f>AJ44+AF44</f>
        <v>721236.42198807129</v>
      </c>
      <c r="AK40" s="92">
        <f>AK44+AG44</f>
        <v>458771.13975950307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-8.940000000060536</v>
      </c>
      <c r="G41" s="72">
        <f>IF(D42=0,D41-$D$41,D41-D42)</f>
        <v>3695.8999999999651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3695.9108124520189</v>
      </c>
      <c r="N41" s="36">
        <f>IF(F41=0,,ATAN(G41/F41))</f>
        <v>-1.5683774348973993</v>
      </c>
      <c r="O41" s="36">
        <f>ABS(DEGREES(N41))</f>
        <v>89.861407703175018</v>
      </c>
      <c r="P41" s="37" t="str">
        <f>TEXT(INT(O41),"00")</f>
        <v>89</v>
      </c>
      <c r="Q41" s="38" t="str">
        <f>TEXT((O41-P41)*60,"00")</f>
        <v>52</v>
      </c>
      <c r="R41" s="39" t="str">
        <f>IF(L41="",IF(F41&gt;0,"S","N"),"")</f>
        <v>N</v>
      </c>
      <c r="S41" s="25" t="str">
        <f>IF(L41="",IF(INT(Q41)=60,INT(P41+1),P41),"due")</f>
        <v>89</v>
      </c>
      <c r="T41" s="38" t="str">
        <f>IF(L41="",IF(INT(Q41)=60,"00",Q41),L41)</f>
        <v>52</v>
      </c>
      <c r="U41" s="40" t="str">
        <f>IF(L41="",IF(G41&gt;0,"W","E"),"")</f>
        <v>W</v>
      </c>
      <c r="V41" s="41"/>
      <c r="W41" s="22">
        <f>IF(S41="due",90*(I41+K41),S41+T41/60)</f>
        <v>89.86666666666666</v>
      </c>
      <c r="X41" s="22">
        <f>IF(R41="",W41,IF(R41="N",IF(U41="E",180+W41,180-W41),IF(U41="E",360-W41,W41)))</f>
        <v>90.13333333333334</v>
      </c>
      <c r="Y41" s="22">
        <f>RADIANS(X41)</f>
        <v>1.5731234324642225</v>
      </c>
      <c r="Z41" s="64"/>
      <c r="AA41" s="58">
        <f>-M41*COS(Y41)</f>
        <v>8.6007672421793124</v>
      </c>
      <c r="AB41" s="58">
        <f>-M41*SIN(Y41)</f>
        <v>-3695.9008050003977</v>
      </c>
      <c r="AC41" s="64"/>
      <c r="AD41" s="22">
        <v>0</v>
      </c>
      <c r="AE41" s="22">
        <v>0</v>
      </c>
      <c r="AF41" s="22">
        <f t="shared" ref="AF41:AG43" si="0">AA41-AD41</f>
        <v>8.6007672421793124</v>
      </c>
      <c r="AG41" s="22">
        <f t="shared" si="0"/>
        <v>-3695.9008050003977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721237.56</v>
      </c>
      <c r="D42" s="60">
        <v>458754.32</v>
      </c>
      <c r="E42" s="79"/>
      <c r="F42" s="72">
        <f>IF(C43=0,C42-$C$42,C42-C43)</f>
        <v>-28.379999999888241</v>
      </c>
      <c r="G42" s="72">
        <f>IF(D43=0,D42-$D$42,D42-D43)</f>
        <v>-0.52000000001862645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28.384763518368018</v>
      </c>
      <c r="N42" s="36">
        <f>IF(F42=0,,ATAN(G42/F42))</f>
        <v>1.8320712461048921E-2</v>
      </c>
      <c r="O42" s="36">
        <f>ABS(DEGREES(N42))</f>
        <v>1.0496995016908388</v>
      </c>
      <c r="P42" s="37" t="str">
        <f>TEXT(INT(O42),"00")</f>
        <v>01</v>
      </c>
      <c r="Q42" s="38" t="str">
        <f>TEXT((O42-P42)*60,"00")</f>
        <v>03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03</v>
      </c>
      <c r="U42" s="40" t="str">
        <f>IF(L42="",IF(G42&gt;0,"W","E"),"")</f>
        <v>E</v>
      </c>
      <c r="V42" s="44"/>
      <c r="W42" s="22">
        <f>IF(S42="due",90*(I42+K42),S42+T42/60)</f>
        <v>1.05</v>
      </c>
      <c r="X42" s="22">
        <f>IF(R42="",W42,IF(R42="N",IF(U42="E",180+W42,180-W42),IF(U42="E",360-W42,W42)))</f>
        <v>181.05</v>
      </c>
      <c r="Y42" s="22">
        <f>RADIANS(X42)</f>
        <v>3.1599186107357338</v>
      </c>
      <c r="Z42" s="64"/>
      <c r="AA42" s="58">
        <f>-M42*COS(Y42)</f>
        <v>28.379997272261779</v>
      </c>
      <c r="AB42" s="58">
        <f>-M42*SIN(Y42)</f>
        <v>0.52014884416869733</v>
      </c>
      <c r="AC42" s="64"/>
      <c r="AD42" s="82">
        <f>$AA$40/$M$40*M42</f>
        <v>-1.112832223713523E-3</v>
      </c>
      <c r="AE42" s="82">
        <f>$AB$40/$M$40*M42</f>
        <v>8.0092810243933882E-4</v>
      </c>
      <c r="AF42" s="22">
        <f t="shared" si="0"/>
        <v>28.381110104485494</v>
      </c>
      <c r="AG42" s="22">
        <f t="shared" si="0"/>
        <v>0.51934791606625796</v>
      </c>
      <c r="AH42" s="63"/>
      <c r="AI42" s="38">
        <f>A42</f>
        <v>1</v>
      </c>
      <c r="AJ42" s="82">
        <f t="shared" ref="AJ42:AK44" si="1">AJ41+AF41</f>
        <v>721237.22076724214</v>
      </c>
      <c r="AK42" s="82">
        <f t="shared" si="1"/>
        <v>458754.31919499958</v>
      </c>
      <c r="AL42" s="66"/>
      <c r="AM42" s="9" t="str">
        <f>IF(A43=0,A42&amp;" - 1",A42&amp;" - "&amp;A43)</f>
        <v>1 - 2</v>
      </c>
      <c r="AN42" s="18">
        <f>F42</f>
        <v>-28.379999999888241</v>
      </c>
      <c r="AO42" s="18">
        <f>AN42*G42</f>
        <v>14.757600000470504</v>
      </c>
      <c r="AP42" s="9" t="str">
        <f>D42&amp;","&amp;C42</f>
        <v>458754.32,721237.56</v>
      </c>
    </row>
    <row r="43" spans="1:44">
      <c r="A43" s="20">
        <f>A42+1</f>
        <v>2</v>
      </c>
      <c r="B43" s="44"/>
      <c r="C43" s="60">
        <v>721265.94</v>
      </c>
      <c r="D43" s="60">
        <v>458754.84</v>
      </c>
      <c r="E43" s="79"/>
      <c r="F43" s="72">
        <f>IF(C44=0,C43-$C$42,C43-C44)</f>
        <v>0.47999999998137355</v>
      </c>
      <c r="G43" s="72">
        <f>IF(D44=0,D43-$D$42,D43-D44)</f>
        <v>-16.71999999997206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16.726888533108834</v>
      </c>
      <c r="N43" s="36">
        <f>IF(F43=0,,ATAN(G43/F43))</f>
        <v>-1.5420960755964888</v>
      </c>
      <c r="O43" s="36">
        <f>ABS(DEGREES(N43))</f>
        <v>88.35559673536595</v>
      </c>
      <c r="P43" s="37" t="str">
        <f>TEXT(INT(O43),"00")</f>
        <v>88</v>
      </c>
      <c r="Q43" s="38" t="str">
        <f>TEXT((O43-P43)*60,"00")</f>
        <v>21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21</v>
      </c>
      <c r="U43" s="40" t="str">
        <f>IF(L43="",IF(G43&gt;0,"W","E"),"")</f>
        <v>E</v>
      </c>
      <c r="V43" s="44"/>
      <c r="W43" s="22">
        <f>IF(S43="due",90*(I43+K43),S43+T43/60)</f>
        <v>88.35</v>
      </c>
      <c r="X43" s="22">
        <f>IF(R43="",W43,IF(R43="N",IF(U43="E",180+W43,180-W43),IF(U43="E",360-W43,W43)))</f>
        <v>271.64999999999998</v>
      </c>
      <c r="Y43" s="22">
        <f>RADIANS(X43)</f>
        <v>4.7411869130425961</v>
      </c>
      <c r="Z43" s="64"/>
      <c r="AA43" s="58">
        <f>-M43*COS(Y43)</f>
        <v>-0.48163323169158484</v>
      </c>
      <c r="AB43" s="58">
        <f>-M43*SIN(Y43)</f>
        <v>16.719953033103234</v>
      </c>
      <c r="AC43" s="64"/>
      <c r="AD43" s="82">
        <f>$AA$40/$M$40*M43</f>
        <v>-6.557821258599641E-4</v>
      </c>
      <c r="AE43" s="82">
        <f>$AB$40/$M$40*M43</f>
        <v>4.7197980296252463E-4</v>
      </c>
      <c r="AF43" s="22">
        <f t="shared" si="0"/>
        <v>-0.48097744956572486</v>
      </c>
      <c r="AG43" s="22">
        <f t="shared" si="0"/>
        <v>16.719481053300271</v>
      </c>
      <c r="AH43" s="64"/>
      <c r="AI43" s="25">
        <f>A43</f>
        <v>2</v>
      </c>
      <c r="AJ43" s="82">
        <f t="shared" si="1"/>
        <v>721265.60187734663</v>
      </c>
      <c r="AK43" s="82">
        <f t="shared" si="1"/>
        <v>458754.83854291565</v>
      </c>
      <c r="AL43" s="66"/>
      <c r="AM43" s="9" t="str">
        <f>IF(A44=0,A43&amp;" - 1",A43&amp;" - "&amp;A44)</f>
        <v>2 - 3</v>
      </c>
      <c r="AN43" s="18">
        <f>AN42+F42+F43</f>
        <v>-56.279999999795109</v>
      </c>
      <c r="AO43" s="18">
        <f>AN43*G43</f>
        <v>941.00159999500181</v>
      </c>
      <c r="AP43" s="9" t="str">
        <f>D43&amp;","&amp;C43</f>
        <v>458754.84,721265.94</v>
      </c>
    </row>
    <row r="44" spans="1:44" s="46" customFormat="1">
      <c r="A44" s="20">
        <f>A43+1</f>
        <v>3</v>
      </c>
      <c r="B44" s="44"/>
      <c r="C44" s="60">
        <v>721265.46</v>
      </c>
      <c r="D44" s="60">
        <v>458771.56</v>
      </c>
      <c r="E44" s="79"/>
      <c r="F44" s="72">
        <f>IF(C45=0,C44-$C$42,C44-C45)</f>
        <v>28.699999999953434</v>
      </c>
      <c r="G44" s="72">
        <f>IF(D45=0,D44-$D$42,D44-D45)</f>
        <v>0.41999999998370185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28.703073006166314</v>
      </c>
      <c r="N44" s="22">
        <f>IF(F44=0,,ATAN(G44/F44))</f>
        <v>1.463310180079695E-2</v>
      </c>
      <c r="O44" s="22">
        <f>ABS(DEGREES(N44))</f>
        <v>0.83841497437094992</v>
      </c>
      <c r="P44" s="24" t="str">
        <f>TEXT(INT(O44),"00")</f>
        <v>00</v>
      </c>
      <c r="Q44" s="25" t="str">
        <f>TEXT((O44-P44)*60,"00")</f>
        <v>50</v>
      </c>
      <c r="R44" s="23" t="str">
        <f>IF(L44="",IF(F44&gt;0,"S","N"),"")</f>
        <v>S</v>
      </c>
      <c r="S44" s="25" t="str">
        <f>IF(L44="",IF(INT(Q44)=60,INT(P44+1),P44),"due")</f>
        <v>00</v>
      </c>
      <c r="T44" s="25" t="str">
        <f>IF(L44="",IF(INT(Q44)=60,"00",Q44),L44)</f>
        <v>50</v>
      </c>
      <c r="U44" s="24" t="str">
        <f>IF(L44="",IF(G44&gt;0,"W","E"),"")</f>
        <v>W</v>
      </c>
      <c r="V44" s="44"/>
      <c r="W44" s="22">
        <f>IF(S44="due",90*(I44+K44),S44+T44/60)</f>
        <v>0.83333333333333337</v>
      </c>
      <c r="X44" s="22">
        <f>IF(R44="",W44,IF(R44="N",IF(U44="E",180+W44,180-W44),IF(U44="E",360-W44,W44)))</f>
        <v>0.83333333333333337</v>
      </c>
      <c r="Y44" s="22">
        <f>RADIANS(X44)</f>
        <v>1.454441043328608E-2</v>
      </c>
      <c r="Z44" s="64"/>
      <c r="AA44" s="58">
        <f>-M44*COS(Y44)</f>
        <v>-28.700037137448358</v>
      </c>
      <c r="AB44" s="58">
        <f>-M44*SIN(Y44)</f>
        <v>-0.41745455608758775</v>
      </c>
      <c r="AC44" s="64"/>
      <c r="AD44" s="82">
        <f>$AA$40/$M$40*M44</f>
        <v>-1.1253116320730982E-3</v>
      </c>
      <c r="AE44" s="82">
        <f>$AB$40/$M$40*M44</f>
        <v>8.0990978776801005E-4</v>
      </c>
      <c r="AF44" s="22">
        <f>AA44-AD44</f>
        <v>-28.698911825816285</v>
      </c>
      <c r="AG44" s="22">
        <f>AB44-AE44</f>
        <v>-0.41826446587535576</v>
      </c>
      <c r="AH44" s="64"/>
      <c r="AI44" s="25">
        <f>A44</f>
        <v>3</v>
      </c>
      <c r="AJ44" s="82">
        <f t="shared" si="1"/>
        <v>721265.12089989707</v>
      </c>
      <c r="AK44" s="82">
        <f t="shared" si="1"/>
        <v>458771.55802396894</v>
      </c>
      <c r="AL44" s="66"/>
      <c r="AM44" s="9" t="str">
        <f>IF(A45=0,A44&amp;" - 1",A44&amp;" - "&amp;A45)</f>
        <v>3 - 4</v>
      </c>
      <c r="AN44" s="18">
        <f>AN43+F43+F44</f>
        <v>-27.099999999860302</v>
      </c>
      <c r="AO44" s="18">
        <f>AN44*G44</f>
        <v>-11.381999999499646</v>
      </c>
      <c r="AP44" s="9" t="str">
        <f>D44&amp;","&amp;C44</f>
        <v>458771.56,721265.46</v>
      </c>
    </row>
    <row r="45" spans="1:44" s="46" customFormat="1">
      <c r="A45" s="20">
        <f>A44+1</f>
        <v>4</v>
      </c>
      <c r="B45" s="44"/>
      <c r="C45" s="60">
        <v>721236.76</v>
      </c>
      <c r="D45" s="60">
        <v>458771.14</v>
      </c>
      <c r="E45" s="79"/>
      <c r="F45" s="72">
        <f>IF(C46=0,C45-$C$42,C45-C46)</f>
        <v>-0.80000000004656613</v>
      </c>
      <c r="G45" s="72">
        <f>IF(D46=0,D45-$D$42,D45-D46)</f>
        <v>16.820000000006985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16.839014222938037</v>
      </c>
      <c r="N45" s="22">
        <f>IF(F45=0,,ATAN(G45/F45))</f>
        <v>-1.5232697174985013</v>
      </c>
      <c r="O45" s="22">
        <f>ABS(DEGREES(N45))</f>
        <v>87.276925872749331</v>
      </c>
      <c r="P45" s="24" t="str">
        <f>TEXT(INT(O45),"00")</f>
        <v>87</v>
      </c>
      <c r="Q45" s="25" t="str">
        <f>TEXT((O45-P45)*60,"00")</f>
        <v>17</v>
      </c>
      <c r="R45" s="23" t="str">
        <f>IF(L45="",IF(F45&gt;0,"S","N"),"")</f>
        <v>N</v>
      </c>
      <c r="S45" s="25" t="str">
        <f>IF(L45="",IF(INT(Q45)=60,INT(P45+1),P45),"due")</f>
        <v>87</v>
      </c>
      <c r="T45" s="25" t="str">
        <f>IF(L45="",IF(INT(Q45)=60,"00",Q45),L45)</f>
        <v>17</v>
      </c>
      <c r="U45" s="24" t="str">
        <f>IF(L45="",IF(G45&gt;0,"W","E"),"")</f>
        <v>W</v>
      </c>
      <c r="V45" s="44"/>
      <c r="W45" s="22">
        <f>IF(S45="due",90*(I45+K45),S45+T45/60)</f>
        <v>87.283333333333331</v>
      </c>
      <c r="X45" s="22">
        <f>IF(R45="",W45,IF(R45="N",IF(U45="E",180+W45,180-W45),IF(U45="E",360-W45,W45)))</f>
        <v>92.716666666666669</v>
      </c>
      <c r="Y45" s="22">
        <f>RADIANS(X45)</f>
        <v>1.6182111048074093</v>
      </c>
      <c r="Z45" s="64"/>
      <c r="AA45" s="58">
        <f>-M45*COS(Y45)</f>
        <v>0.79811899285308585</v>
      </c>
      <c r="AB45" s="58">
        <f>-M45*SIN(Y45)</f>
        <v>-16.820089359856464</v>
      </c>
      <c r="AC45" s="64"/>
      <c r="AD45" s="82">
        <f>$AA$40/$M$40*M45</f>
        <v>-6.6017804343268928E-4</v>
      </c>
      <c r="AE45" s="82">
        <f>$AB$40/$M$40*M45</f>
        <v>4.751436347109023E-4</v>
      </c>
      <c r="AF45" s="22">
        <f>AA45-AD45</f>
        <v>0.79877917089651851</v>
      </c>
      <c r="AG45" s="22">
        <f>AB45-AE45</f>
        <v>-16.820564503491173</v>
      </c>
      <c r="AH45" s="64"/>
      <c r="AI45" s="25">
        <f>A45</f>
        <v>4</v>
      </c>
      <c r="AJ45" s="82">
        <f t="shared" ref="AJ45" si="2">AJ44+AF44</f>
        <v>721236.42198807129</v>
      </c>
      <c r="AK45" s="82">
        <f t="shared" ref="AK45" si="3">AK44+AG44</f>
        <v>458771.13975950307</v>
      </c>
      <c r="AL45" s="66"/>
      <c r="AM45" s="9" t="str">
        <f>IF(A46=0,A45&amp;" - 1",A45&amp;" - "&amp;A46)</f>
        <v>4 - 1</v>
      </c>
      <c r="AN45" s="18">
        <f>AN44+F44+F45</f>
        <v>0.80000000004656613</v>
      </c>
      <c r="AO45" s="18">
        <f>AN45*G45</f>
        <v>13.45600000078883</v>
      </c>
      <c r="AP45" s="9" t="str">
        <f>D45&amp;","&amp;C45</f>
        <v>458771.14,721236.76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topLeftCell="A10" workbookViewId="0">
      <selection activeCell="C10" sqref="C10:D10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32" t="s">
        <v>48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7" t="s">
        <v>85</v>
      </c>
      <c r="D7" s="128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7" t="s">
        <v>87</v>
      </c>
      <c r="D8" s="128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7" t="s">
        <v>86</v>
      </c>
      <c r="D9" s="128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7" t="s">
        <v>60</v>
      </c>
      <c r="D10" s="128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7" t="s">
        <v>61</v>
      </c>
      <c r="D11" s="128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7" t="s">
        <v>62</v>
      </c>
      <c r="D12" s="128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7" t="s">
        <v>63</v>
      </c>
      <c r="D13" s="128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7" t="s">
        <v>64</v>
      </c>
      <c r="D14" s="128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7" t="s">
        <v>65</v>
      </c>
      <c r="D15" s="128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7" t="s">
        <v>66</v>
      </c>
      <c r="D16" s="128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7" t="s">
        <v>88</v>
      </c>
      <c r="D19" s="128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6" t="s">
        <v>16</v>
      </c>
      <c r="B28" s="126"/>
      <c r="C28" s="33">
        <f>ABS(SUM(AO42:AO65536))</f>
        <v>968.31430000049579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9" t="s">
        <v>17</v>
      </c>
      <c r="B29" s="129"/>
      <c r="C29" s="32">
        <f>ABS(C28/2)</f>
        <v>484.1571500002479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9">
        <f>SQRT(AA40^2+AB40^2)</f>
        <v>6.1391237527366332E-3</v>
      </c>
      <c r="C32" s="129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31">
        <f>M40/B32</f>
        <v>14870.381628829162</v>
      </c>
      <c r="C33" s="13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9" t="str">
        <f>"1 : "&amp;TEXT(B35,"00")</f>
        <v>1 : 15000</v>
      </c>
      <c r="C34" s="129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30">
        <f>ROUND(B33,2-LEN(INT(B33)))</f>
        <v>15000</v>
      </c>
      <c r="C35" s="13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9" t="s">
        <v>9</v>
      </c>
      <c r="B38" s="88"/>
      <c r="C38" s="121" t="s">
        <v>7</v>
      </c>
      <c r="D38" s="121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3" t="s">
        <v>8</v>
      </c>
      <c r="N38" s="123"/>
      <c r="O38" s="123"/>
      <c r="P38" s="123"/>
      <c r="Q38" s="123"/>
      <c r="R38" s="123"/>
      <c r="S38" s="123"/>
      <c r="T38" s="123"/>
      <c r="U38" s="123"/>
      <c r="V38" s="124"/>
      <c r="W38" s="59"/>
      <c r="X38" s="59" t="s">
        <v>33</v>
      </c>
      <c r="Y38" s="59" t="s">
        <v>34</v>
      </c>
      <c r="Z38" s="80"/>
      <c r="AA38" s="119" t="s">
        <v>30</v>
      </c>
      <c r="AB38" s="119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7" t="s">
        <v>55</v>
      </c>
      <c r="AK38" s="118"/>
      <c r="AL38" s="65"/>
      <c r="AM38" s="117" t="s">
        <v>18</v>
      </c>
      <c r="AN38" s="122"/>
      <c r="AO38" s="118"/>
      <c r="AP38" s="113" t="s">
        <v>56</v>
      </c>
    </row>
    <row r="39" spans="1:44">
      <c r="A39" s="120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7" t="s">
        <v>21</v>
      </c>
      <c r="O39" s="122"/>
      <c r="P39" s="122"/>
      <c r="Q39" s="118"/>
      <c r="R39" s="117" t="s">
        <v>24</v>
      </c>
      <c r="S39" s="122"/>
      <c r="T39" s="122"/>
      <c r="U39" s="118"/>
      <c r="V39" s="125"/>
      <c r="W39" s="59"/>
      <c r="X39" s="59"/>
      <c r="Y39" s="59"/>
      <c r="Z39" s="81"/>
      <c r="AA39" s="120"/>
      <c r="AB39" s="120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3"/>
    </row>
    <row r="40" spans="1:44" s="11" customFormat="1">
      <c r="A40" s="114" t="s">
        <v>25</v>
      </c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6"/>
      <c r="M40" s="51">
        <f>SUM(M42:M65536)</f>
        <v>91.291113069803572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-3.354599881959075E-3</v>
      </c>
      <c r="AB40" s="91">
        <f>SUM(AB42:AB65536)</f>
        <v>-5.1415464680750755E-3</v>
      </c>
      <c r="AC40" s="91"/>
      <c r="AD40" s="91">
        <f>SUM(AD42:AD65536)</f>
        <v>-3.354599881959075E-3</v>
      </c>
      <c r="AE40" s="91">
        <f>SUM(AE42:AE65536)</f>
        <v>-5.1415464680750755E-3</v>
      </c>
      <c r="AF40" s="91">
        <f>SUM(AF42:AF65536)</f>
        <v>0</v>
      </c>
      <c r="AG40" s="91">
        <f>SUM(AG42:AG65536)</f>
        <v>1.3322676295501878E-15</v>
      </c>
      <c r="AH40" s="92"/>
      <c r="AI40" s="93">
        <v>1</v>
      </c>
      <c r="AJ40" s="92">
        <f>AJ44+AF44</f>
        <v>721265.10607438954</v>
      </c>
      <c r="AK40" s="92">
        <f>AK44+AG44</f>
        <v>458788.27107937587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-7.3299999999580905</v>
      </c>
      <c r="G41" s="72">
        <f>IF(D42=0,D41-$D$41,D41-D42)</f>
        <v>3662.2599999999511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3662.2673354767044</v>
      </c>
      <c r="N41" s="36">
        <f>IF(F41=0,,ATAN(G41/F41))</f>
        <v>-1.5687948331237704</v>
      </c>
      <c r="O41" s="36">
        <f>ABS(DEGREES(N41))</f>
        <v>89.885322859922326</v>
      </c>
      <c r="P41" s="37" t="str">
        <f>TEXT(INT(O41),"00")</f>
        <v>89</v>
      </c>
      <c r="Q41" s="38" t="str">
        <f>TEXT((O41-P41)*60,"00")</f>
        <v>53</v>
      </c>
      <c r="R41" s="39" t="str">
        <f>IF(L41="",IF(F41&gt;0,"S","N"),"")</f>
        <v>N</v>
      </c>
      <c r="S41" s="25" t="str">
        <f>IF(L41="",IF(INT(Q41)=60,INT(P41+1),P41),"due")</f>
        <v>89</v>
      </c>
      <c r="T41" s="38" t="str">
        <f>IF(L41="",IF(INT(Q41)=60,"00",Q41),L41)</f>
        <v>53</v>
      </c>
      <c r="U41" s="40" t="str">
        <f>IF(L41="",IF(G41&gt;0,"W","E"),"")</f>
        <v>W</v>
      </c>
      <c r="V41" s="41"/>
      <c r="W41" s="22">
        <f>IF(S41="due",90*(I41+K41),S41+T41/60)</f>
        <v>89.88333333333334</v>
      </c>
      <c r="X41" s="22">
        <f>IF(R41="",W41,IF(R41="N",IF(U41="E",180+W41,180-W41),IF(U41="E",360-W41,W41)))</f>
        <v>90.11666666666666</v>
      </c>
      <c r="Y41" s="22">
        <f>RADIANS(X41)</f>
        <v>1.5728325442555566</v>
      </c>
      <c r="Z41" s="64"/>
      <c r="AA41" s="58">
        <f>-M41*COS(Y41)</f>
        <v>7.4571675409715787</v>
      </c>
      <c r="AB41" s="58">
        <f>-M41*SIN(Y41)</f>
        <v>-3662.2597432667039</v>
      </c>
      <c r="AC41" s="64"/>
      <c r="AD41" s="22">
        <v>0</v>
      </c>
      <c r="AE41" s="22">
        <v>0</v>
      </c>
      <c r="AF41" s="22">
        <f t="shared" ref="AF41:AG43" si="0">AA41-AD41</f>
        <v>7.4571675409715787</v>
      </c>
      <c r="AG41" s="22">
        <f t="shared" si="0"/>
        <v>-3662.2597432667039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721235.95</v>
      </c>
      <c r="D42" s="60">
        <v>458787.96</v>
      </c>
      <c r="E42" s="79"/>
      <c r="F42" s="72">
        <f>IF(C43=0,C42-$C$42,C42-C43)</f>
        <v>-0.81000000005587935</v>
      </c>
      <c r="G42" s="72">
        <f>IF(D43=0,D42-$D$42,D42-D43)</f>
        <v>16.820000000006985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16.83949227264069</v>
      </c>
      <c r="N42" s="36">
        <f>IF(F42=0,,ATAN(G42/F42))</f>
        <v>-1.5226765458834615</v>
      </c>
      <c r="O42" s="36">
        <f>ABS(DEGREES(N42))</f>
        <v>87.242939642680582</v>
      </c>
      <c r="P42" s="37" t="str">
        <f>TEXT(INT(O42),"00")</f>
        <v>87</v>
      </c>
      <c r="Q42" s="38" t="str">
        <f>TEXT((O42-P42)*60,"00")</f>
        <v>15</v>
      </c>
      <c r="R42" s="39" t="str">
        <f>IF(L42="",IF(F42&gt;0,"S","N"),"")</f>
        <v>N</v>
      </c>
      <c r="S42" s="25" t="str">
        <f>IF(L42="",IF(INT(Q42)=60,INT(P42+1),P42),"due")</f>
        <v>87</v>
      </c>
      <c r="T42" s="38" t="str">
        <f>IF(L42="",IF(INT(Q42)=60,"00",Q42),L42)</f>
        <v>15</v>
      </c>
      <c r="U42" s="40" t="str">
        <f>IF(L42="",IF(G42&gt;0,"W","E"),"")</f>
        <v>W</v>
      </c>
      <c r="V42" s="44"/>
      <c r="W42" s="22">
        <f>IF(S42="due",90*(I42+K42),S42+T42/60)</f>
        <v>87.25</v>
      </c>
      <c r="X42" s="22">
        <f>IF(R42="",W42,IF(R42="N",IF(U42="E",180+W42,180-W42),IF(U42="E",360-W42,W42)))</f>
        <v>92.75</v>
      </c>
      <c r="Y42" s="22">
        <f>RADIANS(X42)</f>
        <v>1.6187928812247407</v>
      </c>
      <c r="Z42" s="64"/>
      <c r="AA42" s="58">
        <f>-M42*COS(Y42)</f>
        <v>0.8079273244909343</v>
      </c>
      <c r="AB42" s="58">
        <f>-M42*SIN(Y42)</f>
        <v>-16.82009968575295</v>
      </c>
      <c r="AC42" s="64"/>
      <c r="AD42" s="82">
        <f>$AA$40/$M$40*M42</f>
        <v>-6.1878705265492457E-4</v>
      </c>
      <c r="AE42" s="82">
        <f>$AB$40/$M$40*M42</f>
        <v>-9.4840591934037589E-4</v>
      </c>
      <c r="AF42" s="22">
        <f t="shared" si="0"/>
        <v>0.80854611154358924</v>
      </c>
      <c r="AG42" s="22">
        <f t="shared" si="0"/>
        <v>-16.819151279833608</v>
      </c>
      <c r="AH42" s="63"/>
      <c r="AI42" s="38">
        <f>A42</f>
        <v>1</v>
      </c>
      <c r="AJ42" s="82">
        <f t="shared" ref="AJ42:AK44" si="1">AJ41+AF41</f>
        <v>721236.07716754102</v>
      </c>
      <c r="AK42" s="82">
        <f t="shared" si="1"/>
        <v>458787.96025673329</v>
      </c>
      <c r="AL42" s="66"/>
      <c r="AM42" s="9" t="str">
        <f>IF(A43=0,A42&amp;" - 1",A42&amp;" - "&amp;A43)</f>
        <v>1 - 2</v>
      </c>
      <c r="AN42" s="18">
        <f>F42</f>
        <v>-0.81000000005587935</v>
      </c>
      <c r="AO42" s="18">
        <f>AN42*G42</f>
        <v>-13.624200000945548</v>
      </c>
      <c r="AP42" s="9" t="str">
        <f>D42&amp;","&amp;C42</f>
        <v>458787.96,721235.95</v>
      </c>
    </row>
    <row r="43" spans="1:44">
      <c r="A43" s="20">
        <f>A42+1</f>
        <v>2</v>
      </c>
      <c r="B43" s="44"/>
      <c r="C43" s="60">
        <v>721236.76</v>
      </c>
      <c r="D43" s="60">
        <v>458771.14</v>
      </c>
      <c r="E43" s="79"/>
      <c r="F43" s="72">
        <f>IF(C44=0,C43-$C$42,C43-C44)</f>
        <v>-28.699999999953434</v>
      </c>
      <c r="G43" s="72">
        <f>IF(D44=0,D43-$D$42,D43-D44)</f>
        <v>-0.41999999998370185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28.703073006166314</v>
      </c>
      <c r="N43" s="36">
        <f>IF(F43=0,,ATAN(G43/F43))</f>
        <v>1.463310180079695E-2</v>
      </c>
      <c r="O43" s="36">
        <f>ABS(DEGREES(N43))</f>
        <v>0.83841497437094992</v>
      </c>
      <c r="P43" s="37" t="str">
        <f>TEXT(INT(O43),"00")</f>
        <v>00</v>
      </c>
      <c r="Q43" s="38" t="str">
        <f>TEXT((O43-P43)*60,"00")</f>
        <v>50</v>
      </c>
      <c r="R43" s="39" t="str">
        <f>IF(L43="",IF(F43&gt;0,"S","N"),"")</f>
        <v>N</v>
      </c>
      <c r="S43" s="25" t="str">
        <f>IF(L43="",IF(INT(Q43)=60,INT(P43+1),P43),"due")</f>
        <v>00</v>
      </c>
      <c r="T43" s="38" t="str">
        <f>IF(L43="",IF(INT(Q43)=60,"00",Q43),L43)</f>
        <v>50</v>
      </c>
      <c r="U43" s="40" t="str">
        <f>IF(L43="",IF(G43&gt;0,"W","E"),"")</f>
        <v>E</v>
      </c>
      <c r="V43" s="44"/>
      <c r="W43" s="22">
        <f>IF(S43="due",90*(I43+K43),S43+T43/60)</f>
        <v>0.83333333333333337</v>
      </c>
      <c r="X43" s="22">
        <f>IF(R43="",W43,IF(R43="N",IF(U43="E",180+W43,180-W43),IF(U43="E",360-W43,W43)))</f>
        <v>180.83333333333334</v>
      </c>
      <c r="Y43" s="22">
        <f>RADIANS(X43)</f>
        <v>3.1561370640230795</v>
      </c>
      <c r="Z43" s="64"/>
      <c r="AA43" s="58">
        <f>-M43*COS(Y43)</f>
        <v>28.700037137448358</v>
      </c>
      <c r="AB43" s="58">
        <f>-M43*SIN(Y43)</f>
        <v>0.4174545560875923</v>
      </c>
      <c r="AC43" s="64"/>
      <c r="AD43" s="82">
        <f>$AA$40/$M$40*M43</f>
        <v>-1.0547283528542853E-3</v>
      </c>
      <c r="AE43" s="82">
        <f>$AB$40/$M$40*M43</f>
        <v>-1.6165668122034322E-3</v>
      </c>
      <c r="AF43" s="22">
        <f t="shared" si="0"/>
        <v>28.701091865801214</v>
      </c>
      <c r="AG43" s="22">
        <f t="shared" si="0"/>
        <v>0.41907112289979576</v>
      </c>
      <c r="AH43" s="64"/>
      <c r="AI43" s="25">
        <f>A43</f>
        <v>2</v>
      </c>
      <c r="AJ43" s="82">
        <f t="shared" si="1"/>
        <v>721236.88571365259</v>
      </c>
      <c r="AK43" s="82">
        <f t="shared" si="1"/>
        <v>458771.14110545348</v>
      </c>
      <c r="AL43" s="66"/>
      <c r="AM43" s="9" t="str">
        <f>IF(A44=0,A43&amp;" - 1",A43&amp;" - "&amp;A44)</f>
        <v>2 - 3</v>
      </c>
      <c r="AN43" s="18">
        <f>AN42+F42+F43</f>
        <v>-30.320000000065193</v>
      </c>
      <c r="AO43" s="18">
        <f>AN43*G43</f>
        <v>12.73439999953322</v>
      </c>
      <c r="AP43" s="9" t="str">
        <f>D43&amp;","&amp;C43</f>
        <v>458771.14,721236.76</v>
      </c>
    </row>
    <row r="44" spans="1:44" s="46" customFormat="1">
      <c r="A44" s="20">
        <f>A43+1</f>
        <v>3</v>
      </c>
      <c r="B44" s="44"/>
      <c r="C44" s="60">
        <v>721265.46</v>
      </c>
      <c r="D44" s="60">
        <v>458771.56</v>
      </c>
      <c r="E44" s="79"/>
      <c r="F44" s="72">
        <f>IF(C45=0,C44-$C$42,C44-C45)</f>
        <v>0.47999999998137355</v>
      </c>
      <c r="G44" s="72">
        <f>IF(D45=0,D44-$D$42,D44-D45)</f>
        <v>-16.710000000020955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16.716892653860121</v>
      </c>
      <c r="N44" s="22">
        <f>IF(F44=0,,ATAN(G44/F44))</f>
        <v>-1.5420789095407337</v>
      </c>
      <c r="O44" s="22">
        <f>ABS(DEGREES(N44))</f>
        <v>88.354613192820295</v>
      </c>
      <c r="P44" s="24" t="str">
        <f>TEXT(INT(O44),"00")</f>
        <v>88</v>
      </c>
      <c r="Q44" s="25" t="str">
        <f>TEXT((O44-P44)*60,"00")</f>
        <v>21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21</v>
      </c>
      <c r="U44" s="24" t="str">
        <f>IF(L44="",IF(G44&gt;0,"W","E"),"")</f>
        <v>E</v>
      </c>
      <c r="V44" s="44"/>
      <c r="W44" s="22">
        <f>IF(S44="due",90*(I44+K44),S44+T44/60)</f>
        <v>88.35</v>
      </c>
      <c r="X44" s="22">
        <f>IF(R44="",W44,IF(R44="N",IF(U44="E",180+W44,180-W44),IF(U44="E",360-W44,W44)))</f>
        <v>271.64999999999998</v>
      </c>
      <c r="Y44" s="22">
        <f>RADIANS(X44)</f>
        <v>4.7411869130425961</v>
      </c>
      <c r="Z44" s="64"/>
      <c r="AA44" s="58">
        <f>-M44*COS(Y44)</f>
        <v>-0.48134541082061849</v>
      </c>
      <c r="AB44" s="58">
        <f>-M44*SIN(Y44)</f>
        <v>16.709961298463991</v>
      </c>
      <c r="AC44" s="64"/>
      <c r="AD44" s="82">
        <f>$AA$40/$M$40*M44</f>
        <v>-6.1428198471501401E-4</v>
      </c>
      <c r="AE44" s="82">
        <f>$AB$40/$M$40*M44</f>
        <v>-9.4150106720601091E-4</v>
      </c>
      <c r="AF44" s="22">
        <f>AA44-AD44</f>
        <v>-0.48073112883590347</v>
      </c>
      <c r="AG44" s="22">
        <f>AB44-AE44</f>
        <v>16.710902799531198</v>
      </c>
      <c r="AH44" s="64"/>
      <c r="AI44" s="25">
        <f>A44</f>
        <v>3</v>
      </c>
      <c r="AJ44" s="82">
        <f t="shared" si="1"/>
        <v>721265.58680551837</v>
      </c>
      <c r="AK44" s="82">
        <f t="shared" si="1"/>
        <v>458771.56017657637</v>
      </c>
      <c r="AL44" s="66"/>
      <c r="AM44" s="9" t="str">
        <f>IF(A45=0,A44&amp;" - 1",A44&amp;" - "&amp;A45)</f>
        <v>3 - 4</v>
      </c>
      <c r="AN44" s="18">
        <f>AN43+F43+F44</f>
        <v>-58.540000000037253</v>
      </c>
      <c r="AO44" s="18">
        <f>AN44*G44</f>
        <v>978.20340000184922</v>
      </c>
      <c r="AP44" s="9" t="str">
        <f>D44&amp;","&amp;C44</f>
        <v>458771.56,721265.46</v>
      </c>
    </row>
    <row r="45" spans="1:44" s="46" customFormat="1">
      <c r="A45" s="20">
        <f>A44+1</f>
        <v>4</v>
      </c>
      <c r="B45" s="44"/>
      <c r="C45" s="60">
        <v>721264.98</v>
      </c>
      <c r="D45" s="60">
        <v>458788.27</v>
      </c>
      <c r="E45" s="79"/>
      <c r="F45" s="72">
        <f>IF(C46=0,C45-$C$42,C45-C46)</f>
        <v>29.03000000002794</v>
      </c>
      <c r="G45" s="72">
        <f>IF(D46=0,D45-$D$42,D45-D46)</f>
        <v>0.30999999999767169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29.03165513713644</v>
      </c>
      <c r="N45" s="22">
        <f>IF(F45=0,,ATAN(G45/F45))</f>
        <v>1.0678202460454776E-2</v>
      </c>
      <c r="O45" s="22">
        <f>ABS(DEGREES(N45))</f>
        <v>0.61181593377026999</v>
      </c>
      <c r="P45" s="24" t="str">
        <f>TEXT(INT(O45),"00")</f>
        <v>00</v>
      </c>
      <c r="Q45" s="25" t="str">
        <f>TEXT((O45-P45)*60,"00")</f>
        <v>37</v>
      </c>
      <c r="R45" s="23" t="str">
        <f>IF(L45="",IF(F45&gt;0,"S","N"),"")</f>
        <v>S</v>
      </c>
      <c r="S45" s="25" t="str">
        <f>IF(L45="",IF(INT(Q45)=60,INT(P45+1),P45),"due")</f>
        <v>00</v>
      </c>
      <c r="T45" s="25" t="str">
        <f>IF(L45="",IF(INT(Q45)=60,"00",Q45),L45)</f>
        <v>37</v>
      </c>
      <c r="U45" s="24" t="str">
        <f>IF(L45="",IF(G45&gt;0,"W","E"),"")</f>
        <v>W</v>
      </c>
      <c r="V45" s="44"/>
      <c r="W45" s="22">
        <f>IF(S45="due",90*(I45+K45),S45+T45/60)</f>
        <v>0.6166666666666667</v>
      </c>
      <c r="X45" s="22">
        <f>IF(R45="",W45,IF(R45="N",IF(U45="E",180+W45,180-W45),IF(U45="E",360-W45,W45)))</f>
        <v>0.6166666666666667</v>
      </c>
      <c r="Y45" s="22">
        <f>RADIANS(X45)</f>
        <v>1.0762863720631699E-2</v>
      </c>
      <c r="Z45" s="64"/>
      <c r="AA45" s="58">
        <f>-M45*COS(Y45)</f>
        <v>-29.029973651000631</v>
      </c>
      <c r="AB45" s="58">
        <f>-M45*SIN(Y45)</f>
        <v>-0.31245771526670718</v>
      </c>
      <c r="AC45" s="64"/>
      <c r="AD45" s="82">
        <f>$AA$40/$M$40*M45</f>
        <v>-1.0668024917348511E-3</v>
      </c>
      <c r="AE45" s="82">
        <f>$AB$40/$M$40*M45</f>
        <v>-1.6350726693252558E-3</v>
      </c>
      <c r="AF45" s="22">
        <f>AA45-AD45</f>
        <v>-29.028906848508896</v>
      </c>
      <c r="AG45" s="22">
        <f>AB45-AE45</f>
        <v>-0.3108226425973819</v>
      </c>
      <c r="AH45" s="64"/>
      <c r="AI45" s="25">
        <f>A45</f>
        <v>4</v>
      </c>
      <c r="AJ45" s="82">
        <f t="shared" ref="AJ45" si="2">AJ44+AF44</f>
        <v>721265.10607438954</v>
      </c>
      <c r="AK45" s="82">
        <f t="shared" ref="AK45" si="3">AK44+AG44</f>
        <v>458788.27107937587</v>
      </c>
      <c r="AL45" s="66"/>
      <c r="AM45" s="9" t="str">
        <f>IF(A46=0,A45&amp;" - 1",A45&amp;" - "&amp;A46)</f>
        <v>4 - 1</v>
      </c>
      <c r="AN45" s="18">
        <f>AN44+F44+F45</f>
        <v>-29.03000000002794</v>
      </c>
      <c r="AO45" s="18">
        <f>AN45*G45</f>
        <v>-8.999299999941071</v>
      </c>
      <c r="AP45" s="9" t="str">
        <f>D45&amp;","&amp;C45</f>
        <v>458788.27,721264.98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topLeftCell="A17" workbookViewId="0">
      <selection activeCell="R31" sqref="R31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32" t="s">
        <v>48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7" t="s">
        <v>89</v>
      </c>
      <c r="D7" s="128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7" t="s">
        <v>90</v>
      </c>
      <c r="D8" s="128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7" t="s">
        <v>91</v>
      </c>
      <c r="D9" s="128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7" t="s">
        <v>60</v>
      </c>
      <c r="D10" s="128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7" t="s">
        <v>61</v>
      </c>
      <c r="D11" s="128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7" t="s">
        <v>62</v>
      </c>
      <c r="D12" s="128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7" t="s">
        <v>63</v>
      </c>
      <c r="D13" s="128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7" t="s">
        <v>64</v>
      </c>
      <c r="D14" s="128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7" t="s">
        <v>65</v>
      </c>
      <c r="D15" s="128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7" t="s">
        <v>74</v>
      </c>
      <c r="D16" s="128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7" t="s">
        <v>92</v>
      </c>
      <c r="D19" s="128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6" t="s">
        <v>16</v>
      </c>
      <c r="B28" s="126"/>
      <c r="C28" s="33">
        <f>ABS(SUM(AO42:AO65536))</f>
        <v>984.63239999855966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9" t="s">
        <v>17</v>
      </c>
      <c r="B29" s="129"/>
      <c r="C29" s="32">
        <f>ABS(C28/2)</f>
        <v>492.31619999927983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9">
        <f>SQRT(AA40^2+AB40^2)</f>
        <v>4.1510530004356941E-3</v>
      </c>
      <c r="C32" s="129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31">
        <f>M40/B32</f>
        <v>22233.228817386727</v>
      </c>
      <c r="C33" s="13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9" t="str">
        <f>"1 : "&amp;TEXT(B35,"00")</f>
        <v>1 : 22000</v>
      </c>
      <c r="C34" s="129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30">
        <f>ROUND(B33,2-LEN(INT(B33)))</f>
        <v>22000</v>
      </c>
      <c r="C35" s="13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9" t="s">
        <v>9</v>
      </c>
      <c r="B38" s="88"/>
      <c r="C38" s="121" t="s">
        <v>7</v>
      </c>
      <c r="D38" s="121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3" t="s">
        <v>8</v>
      </c>
      <c r="N38" s="123"/>
      <c r="O38" s="123"/>
      <c r="P38" s="123"/>
      <c r="Q38" s="123"/>
      <c r="R38" s="123"/>
      <c r="S38" s="123"/>
      <c r="T38" s="123"/>
      <c r="U38" s="123"/>
      <c r="V38" s="124"/>
      <c r="W38" s="59"/>
      <c r="X38" s="59" t="s">
        <v>33</v>
      </c>
      <c r="Y38" s="59" t="s">
        <v>34</v>
      </c>
      <c r="Z38" s="80"/>
      <c r="AA38" s="119" t="s">
        <v>30</v>
      </c>
      <c r="AB38" s="119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7" t="s">
        <v>55</v>
      </c>
      <c r="AK38" s="118"/>
      <c r="AL38" s="65"/>
      <c r="AM38" s="117" t="s">
        <v>18</v>
      </c>
      <c r="AN38" s="122"/>
      <c r="AO38" s="118"/>
      <c r="AP38" s="113" t="s">
        <v>56</v>
      </c>
    </row>
    <row r="39" spans="1:44">
      <c r="A39" s="120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7" t="s">
        <v>21</v>
      </c>
      <c r="O39" s="122"/>
      <c r="P39" s="122"/>
      <c r="Q39" s="118"/>
      <c r="R39" s="117" t="s">
        <v>24</v>
      </c>
      <c r="S39" s="122"/>
      <c r="T39" s="122"/>
      <c r="U39" s="118"/>
      <c r="V39" s="125"/>
      <c r="W39" s="59"/>
      <c r="X39" s="59"/>
      <c r="Y39" s="59"/>
      <c r="Z39" s="81"/>
      <c r="AA39" s="120"/>
      <c r="AB39" s="120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3"/>
    </row>
    <row r="40" spans="1:44" s="11" customFormat="1">
      <c r="A40" s="114" t="s">
        <v>25</v>
      </c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6"/>
      <c r="M40" s="51">
        <f>SUM(M42:M65536)</f>
        <v>92.291311191786519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4.0214056296822287E-3</v>
      </c>
      <c r="AB40" s="91">
        <f>SUM(AB42:AB65536)</f>
        <v>-1.0293385128257171E-3</v>
      </c>
      <c r="AC40" s="91"/>
      <c r="AD40" s="91">
        <f>SUM(AD42:AD65536)</f>
        <v>4.0214056296822278E-3</v>
      </c>
      <c r="AE40" s="91">
        <f>SUM(AE42:AE65536)</f>
        <v>-1.0293385128257171E-3</v>
      </c>
      <c r="AF40" s="91">
        <f>SUM(AF42:AF65536)</f>
        <v>2.1094237467877974E-15</v>
      </c>
      <c r="AG40" s="91">
        <f>SUM(AG42:AG65536)</f>
        <v>0</v>
      </c>
      <c r="AH40" s="92"/>
      <c r="AI40" s="93">
        <v>1</v>
      </c>
      <c r="AJ40" s="92">
        <f>AJ44+AF44</f>
        <v>721235.28610762162</v>
      </c>
      <c r="AK40" s="92">
        <f>AK44+AG44</f>
        <v>458804.74998483708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-7.3299999999580905</v>
      </c>
      <c r="G41" s="72">
        <f>IF(D42=0,D41-$D$41,D41-D42)</f>
        <v>3662.2599999999511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3662.2673354767044</v>
      </c>
      <c r="N41" s="36">
        <f>IF(F41=0,,ATAN(G41/F41))</f>
        <v>-1.5687948331237704</v>
      </c>
      <c r="O41" s="36">
        <f>ABS(DEGREES(N41))</f>
        <v>89.885322859922326</v>
      </c>
      <c r="P41" s="37" t="str">
        <f>TEXT(INT(O41),"00")</f>
        <v>89</v>
      </c>
      <c r="Q41" s="38" t="str">
        <f>TEXT((O41-P41)*60,"00")</f>
        <v>53</v>
      </c>
      <c r="R41" s="39" t="str">
        <f>IF(L41="",IF(F41&gt;0,"S","N"),"")</f>
        <v>N</v>
      </c>
      <c r="S41" s="25" t="str">
        <f>IF(L41="",IF(INT(Q41)=60,INT(P41+1),P41),"due")</f>
        <v>89</v>
      </c>
      <c r="T41" s="38" t="str">
        <f>IF(L41="",IF(INT(Q41)=60,"00",Q41),L41)</f>
        <v>53</v>
      </c>
      <c r="U41" s="40" t="str">
        <f>IF(L41="",IF(G41&gt;0,"W","E"),"")</f>
        <v>W</v>
      </c>
      <c r="V41" s="41"/>
      <c r="W41" s="22">
        <f>IF(S41="due",90*(I41+K41),S41+T41/60)</f>
        <v>89.88333333333334</v>
      </c>
      <c r="X41" s="22">
        <f>IF(R41="",W41,IF(R41="N",IF(U41="E",180+W41,180-W41),IF(U41="E",360-W41,W41)))</f>
        <v>90.11666666666666</v>
      </c>
      <c r="Y41" s="22">
        <f>RADIANS(X41)</f>
        <v>1.5728325442555566</v>
      </c>
      <c r="Z41" s="64"/>
      <c r="AA41" s="58">
        <f>-M41*COS(Y41)</f>
        <v>7.4571675409715787</v>
      </c>
      <c r="AB41" s="58">
        <f>-M41*SIN(Y41)</f>
        <v>-3662.2597432667039</v>
      </c>
      <c r="AC41" s="64"/>
      <c r="AD41" s="22">
        <v>0</v>
      </c>
      <c r="AE41" s="22">
        <v>0</v>
      </c>
      <c r="AF41" s="22">
        <f t="shared" ref="AF41:AG43" si="0">AA41-AD41</f>
        <v>7.4571675409715787</v>
      </c>
      <c r="AG41" s="22">
        <f t="shared" si="0"/>
        <v>-3662.2597432667039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721235.95</v>
      </c>
      <c r="D42" s="60">
        <v>458787.96</v>
      </c>
      <c r="E42" s="79"/>
      <c r="F42" s="72">
        <f>IF(C43=0,C42-$C$42,C42-C43)</f>
        <v>-29.03000000002794</v>
      </c>
      <c r="G42" s="72">
        <f>IF(D43=0,D42-$D$42,D42-D43)</f>
        <v>-0.30999999999767169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29.03165513713644</v>
      </c>
      <c r="N42" s="36">
        <f>IF(F42=0,,ATAN(G42/F42))</f>
        <v>1.0678202460454776E-2</v>
      </c>
      <c r="O42" s="36">
        <f>ABS(DEGREES(N42))</f>
        <v>0.61181593377026999</v>
      </c>
      <c r="P42" s="37" t="str">
        <f>TEXT(INT(O42),"00")</f>
        <v>00</v>
      </c>
      <c r="Q42" s="38" t="str">
        <f>TEXT((O42-P42)*60,"00")</f>
        <v>37</v>
      </c>
      <c r="R42" s="39" t="str">
        <f>IF(L42="",IF(F42&gt;0,"S","N"),"")</f>
        <v>N</v>
      </c>
      <c r="S42" s="25" t="str">
        <f>IF(L42="",IF(INT(Q42)=60,INT(P42+1),P42),"due")</f>
        <v>00</v>
      </c>
      <c r="T42" s="38" t="str">
        <f>IF(L42="",IF(INT(Q42)=60,"00",Q42),L42)</f>
        <v>37</v>
      </c>
      <c r="U42" s="40" t="str">
        <f>IF(L42="",IF(G42&gt;0,"W","E"),"")</f>
        <v>E</v>
      </c>
      <c r="V42" s="44"/>
      <c r="W42" s="22">
        <f>IF(S42="due",90*(I42+K42),S42+T42/60)</f>
        <v>0.6166666666666667</v>
      </c>
      <c r="X42" s="22">
        <f>IF(R42="",W42,IF(R42="N",IF(U42="E",180+W42,180-W42),IF(U42="E",360-W42,W42)))</f>
        <v>180.61666666666667</v>
      </c>
      <c r="Y42" s="22">
        <f>RADIANS(X42)</f>
        <v>3.1523555173104252</v>
      </c>
      <c r="Z42" s="64"/>
      <c r="AA42" s="58">
        <f>-M42*COS(Y42)</f>
        <v>29.029973651000631</v>
      </c>
      <c r="AB42" s="58">
        <f>-M42*SIN(Y42)</f>
        <v>0.31245771526671423</v>
      </c>
      <c r="AC42" s="64"/>
      <c r="AD42" s="82">
        <f>$AA$40/$M$40*M42</f>
        <v>1.2649951539301944E-3</v>
      </c>
      <c r="AE42" s="82">
        <f>$AB$40/$M$40*M42</f>
        <v>-3.237943023870333E-4</v>
      </c>
      <c r="AF42" s="22">
        <f t="shared" si="0"/>
        <v>29.0287086558467</v>
      </c>
      <c r="AG42" s="22">
        <f t="shared" si="0"/>
        <v>0.31278150956910128</v>
      </c>
      <c r="AH42" s="63"/>
      <c r="AI42" s="38">
        <f>A42</f>
        <v>1</v>
      </c>
      <c r="AJ42" s="82">
        <f t="shared" ref="AJ42:AK44" si="1">AJ41+AF41</f>
        <v>721236.07716754102</v>
      </c>
      <c r="AK42" s="82">
        <f t="shared" si="1"/>
        <v>458787.96025673329</v>
      </c>
      <c r="AL42" s="66"/>
      <c r="AM42" s="9" t="str">
        <f>IF(A43=0,A42&amp;" - 1",A42&amp;" - "&amp;A43)</f>
        <v>1 - 2</v>
      </c>
      <c r="AN42" s="18">
        <f>F42</f>
        <v>-29.03000000002794</v>
      </c>
      <c r="AO42" s="18">
        <f>AN42*G42</f>
        <v>8.999299999941071</v>
      </c>
      <c r="AP42" s="9" t="str">
        <f>D42&amp;","&amp;C42</f>
        <v>458787.96,721235.95</v>
      </c>
    </row>
    <row r="43" spans="1:44">
      <c r="A43" s="20">
        <f>A42+1</f>
        <v>2</v>
      </c>
      <c r="B43" s="44"/>
      <c r="C43" s="60">
        <v>721264.98</v>
      </c>
      <c r="D43" s="60">
        <v>458788.27</v>
      </c>
      <c r="E43" s="79"/>
      <c r="F43" s="72">
        <f>IF(C44=0,C43-$C$42,C43-C44)</f>
        <v>7.9999999958090484E-2</v>
      </c>
      <c r="G43" s="72">
        <f>IF(D44=0,D43-$D$42,D43-D44)</f>
        <v>-16.709999999962747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16.710191500959773</v>
      </c>
      <c r="N43" s="36">
        <f>IF(F43=0,,ATAN(G43/F43))</f>
        <v>-1.5660088110109864</v>
      </c>
      <c r="O43" s="36">
        <f>ABS(DEGREES(N43))</f>
        <v>89.725695551229677</v>
      </c>
      <c r="P43" s="37" t="str">
        <f>TEXT(INT(O43),"00")</f>
        <v>89</v>
      </c>
      <c r="Q43" s="38" t="str">
        <f>TEXT((O43-P43)*60,"00")</f>
        <v>44</v>
      </c>
      <c r="R43" s="39" t="str">
        <f>IF(L43="",IF(F43&gt;0,"S","N"),"")</f>
        <v>S</v>
      </c>
      <c r="S43" s="25" t="str">
        <f>IF(L43="",IF(INT(Q43)=60,INT(P43+1),P43),"due")</f>
        <v>89</v>
      </c>
      <c r="T43" s="38" t="str">
        <f>IF(L43="",IF(INT(Q43)=60,"00",Q43),L43)</f>
        <v>44</v>
      </c>
      <c r="U43" s="40" t="str">
        <f>IF(L43="",IF(G43&gt;0,"W","E"),"")</f>
        <v>E</v>
      </c>
      <c r="V43" s="44"/>
      <c r="W43" s="22">
        <f>IF(S43="due",90*(I43+K43),S43+T43/60)</f>
        <v>89.733333333333334</v>
      </c>
      <c r="X43" s="22">
        <f>IF(R43="",W43,IF(R43="N",IF(U43="E",180+W43,180-W43),IF(U43="E",360-W43,W43)))</f>
        <v>270.26666666666665</v>
      </c>
      <c r="Y43" s="22">
        <f>RADIANS(X43)</f>
        <v>4.7170431917233406</v>
      </c>
      <c r="Z43" s="64"/>
      <c r="AA43" s="58">
        <f>-M43*COS(Y43)</f>
        <v>-7.7772481973605714E-2</v>
      </c>
      <c r="AB43" s="58">
        <f>-M43*SIN(Y43)</f>
        <v>16.710010515849351</v>
      </c>
      <c r="AC43" s="64"/>
      <c r="AD43" s="82">
        <f>$AA$40/$M$40*M43</f>
        <v>7.2811250926303988E-4</v>
      </c>
      <c r="AE43" s="82">
        <f>$AB$40/$M$40*M43</f>
        <v>-1.8637121356838656E-4</v>
      </c>
      <c r="AF43" s="22">
        <f t="shared" si="0"/>
        <v>-7.8500594482868752E-2</v>
      </c>
      <c r="AG43" s="22">
        <f t="shared" si="0"/>
        <v>16.710196887062921</v>
      </c>
      <c r="AH43" s="64"/>
      <c r="AI43" s="25">
        <f>A43</f>
        <v>2</v>
      </c>
      <c r="AJ43" s="82">
        <f t="shared" si="1"/>
        <v>721265.10587619687</v>
      </c>
      <c r="AK43" s="82">
        <f t="shared" si="1"/>
        <v>458788.27303824289</v>
      </c>
      <c r="AL43" s="66"/>
      <c r="AM43" s="9" t="str">
        <f>IF(A44=0,A43&amp;" - 1",A43&amp;" - "&amp;A44)</f>
        <v>2 - 3</v>
      </c>
      <c r="AN43" s="18">
        <f>AN42+F42+F43</f>
        <v>-57.980000000097789</v>
      </c>
      <c r="AO43" s="18">
        <f>AN43*G43</f>
        <v>968.84579999947414</v>
      </c>
      <c r="AP43" s="9" t="str">
        <f>D43&amp;","&amp;C43</f>
        <v>458788.27,721264.98</v>
      </c>
    </row>
    <row r="44" spans="1:44" s="46" customFormat="1">
      <c r="A44" s="20">
        <f>A43+1</f>
        <v>3</v>
      </c>
      <c r="B44" s="44"/>
      <c r="C44" s="60">
        <v>721264.9</v>
      </c>
      <c r="D44" s="60">
        <v>458804.98</v>
      </c>
      <c r="E44" s="79"/>
      <c r="F44" s="72">
        <f>IF(C45=0,C44-$C$42,C44-C45)</f>
        <v>29.739999999990687</v>
      </c>
      <c r="G44" s="72">
        <f>IF(D45=0,D44-$D$42,D44-D45)</f>
        <v>0.22999999998137355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29.740889361272259</v>
      </c>
      <c r="N44" s="22">
        <f>IF(F44=0,,ATAN(G44/F44))</f>
        <v>7.7335378182003837E-3</v>
      </c>
      <c r="O44" s="22">
        <f>ABS(DEGREES(N44))</f>
        <v>0.44309907768769291</v>
      </c>
      <c r="P44" s="24" t="str">
        <f>TEXT(INT(O44),"00")</f>
        <v>00</v>
      </c>
      <c r="Q44" s="25" t="str">
        <f>TEXT((O44-P44)*60,"00")</f>
        <v>27</v>
      </c>
      <c r="R44" s="23" t="str">
        <f>IF(L44="",IF(F44&gt;0,"S","N"),"")</f>
        <v>S</v>
      </c>
      <c r="S44" s="25" t="str">
        <f>IF(L44="",IF(INT(Q44)=60,INT(P44+1),P44),"due")</f>
        <v>00</v>
      </c>
      <c r="T44" s="25" t="str">
        <f>IF(L44="",IF(INT(Q44)=60,"00",Q44),L44)</f>
        <v>27</v>
      </c>
      <c r="U44" s="24" t="str">
        <f>IF(L44="",IF(G44&gt;0,"W","E"),"")</f>
        <v>W</v>
      </c>
      <c r="V44" s="44"/>
      <c r="W44" s="22">
        <f>IF(S44="due",90*(I44+K44),S44+T44/60)</f>
        <v>0.45</v>
      </c>
      <c r="X44" s="22">
        <f>IF(R44="",W44,IF(R44="N",IF(U44="E",180+W44,180-W44),IF(U44="E",360-W44,W44)))</f>
        <v>0.45</v>
      </c>
      <c r="Y44" s="22">
        <f>RADIANS(X44)</f>
        <v>7.8539816339744835E-3</v>
      </c>
      <c r="Z44" s="64"/>
      <c r="AA44" s="58">
        <f>-M44*COS(Y44)</f>
        <v>-29.739972082198307</v>
      </c>
      <c r="AB44" s="58">
        <f>-M44*SIN(Y44)</f>
        <v>-0.23358199738556165</v>
      </c>
      <c r="AC44" s="64"/>
      <c r="AD44" s="82">
        <f>$AA$40/$M$40*M44</f>
        <v>1.2958985885533761E-3</v>
      </c>
      <c r="AE44" s="82">
        <f>$AB$40/$M$40*M44</f>
        <v>-3.31704495579543E-4</v>
      </c>
      <c r="AF44" s="22">
        <f>AA44-AD44</f>
        <v>-29.741267980786859</v>
      </c>
      <c r="AG44" s="22">
        <f>AB44-AE44</f>
        <v>-0.23325029288998211</v>
      </c>
      <c r="AH44" s="64"/>
      <c r="AI44" s="25">
        <f>A44</f>
        <v>3</v>
      </c>
      <c r="AJ44" s="82">
        <f t="shared" si="1"/>
        <v>721265.0273756024</v>
      </c>
      <c r="AK44" s="82">
        <f t="shared" si="1"/>
        <v>458804.98323512997</v>
      </c>
      <c r="AL44" s="66"/>
      <c r="AM44" s="9" t="str">
        <f>IF(A45=0,A44&amp;" - 1",A44&amp;" - "&amp;A45)</f>
        <v>3 - 4</v>
      </c>
      <c r="AN44" s="18">
        <f>AN43+F43+F44</f>
        <v>-28.160000000149012</v>
      </c>
      <c r="AO44" s="18">
        <f>AN44*G44</f>
        <v>-6.476799999509752</v>
      </c>
      <c r="AP44" s="9" t="str">
        <f>D44&amp;","&amp;C44</f>
        <v>458804.98,721264.9</v>
      </c>
    </row>
    <row r="45" spans="1:44" s="46" customFormat="1">
      <c r="A45" s="20">
        <f>A44+1</f>
        <v>4</v>
      </c>
      <c r="B45" s="44"/>
      <c r="C45" s="60">
        <v>721235.16</v>
      </c>
      <c r="D45" s="60">
        <v>458804.75</v>
      </c>
      <c r="E45" s="79"/>
      <c r="F45" s="72">
        <f>IF(C46=0,C45-$C$42,C45-C46)</f>
        <v>-0.78999999992083758</v>
      </c>
      <c r="G45" s="72">
        <f>IF(D46=0,D45-$D$42,D45-D46)</f>
        <v>16.789999999979045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16.808575192418044</v>
      </c>
      <c r="N45" s="22">
        <f>IF(F45=0,,ATAN(G45/F45))</f>
        <v>-1.5237791864481511</v>
      </c>
      <c r="O45" s="22">
        <f>ABS(DEGREES(N45))</f>
        <v>87.306116293357221</v>
      </c>
      <c r="P45" s="24" t="str">
        <f>TEXT(INT(O45),"00")</f>
        <v>87</v>
      </c>
      <c r="Q45" s="25" t="str">
        <f>TEXT((O45-P45)*60,"00")</f>
        <v>18</v>
      </c>
      <c r="R45" s="23" t="str">
        <f>IF(L45="",IF(F45&gt;0,"S","N"),"")</f>
        <v>N</v>
      </c>
      <c r="S45" s="25" t="str">
        <f>IF(L45="",IF(INT(Q45)=60,INT(P45+1),P45),"due")</f>
        <v>87</v>
      </c>
      <c r="T45" s="25" t="str">
        <f>IF(L45="",IF(INT(Q45)=60,"00",Q45),L45)</f>
        <v>18</v>
      </c>
      <c r="U45" s="24" t="str">
        <f>IF(L45="",IF(G45&gt;0,"W","E"),"")</f>
        <v>W</v>
      </c>
      <c r="V45" s="44"/>
      <c r="W45" s="22">
        <f>IF(S45="due",90*(I45+K45),S45+T45/60)</f>
        <v>87.3</v>
      </c>
      <c r="X45" s="22">
        <f>IF(R45="",W45,IF(R45="N",IF(U45="E",180+W45,180-W45),IF(U45="E",360-W45,W45)))</f>
        <v>92.7</v>
      </c>
      <c r="Y45" s="22">
        <f>RADIANS(X45)</f>
        <v>1.6179202165987436</v>
      </c>
      <c r="Z45" s="64"/>
      <c r="AA45" s="58">
        <f>-M45*COS(Y45)</f>
        <v>0.7917923188009649</v>
      </c>
      <c r="AB45" s="58">
        <f>-M45*SIN(Y45)</f>
        <v>-16.789915572243331</v>
      </c>
      <c r="AC45" s="64"/>
      <c r="AD45" s="82">
        <f>$AA$40/$M$40*M45</f>
        <v>7.3239937793561781E-4</v>
      </c>
      <c r="AE45" s="82">
        <f>$AB$40/$M$40*M45</f>
        <v>-1.8746850129075423E-4</v>
      </c>
      <c r="AF45" s="22">
        <f>AA45-AD45</f>
        <v>0.79105991942302933</v>
      </c>
      <c r="AG45" s="22">
        <f>AB45-AE45</f>
        <v>-16.789728103742039</v>
      </c>
      <c r="AH45" s="64"/>
      <c r="AI45" s="25">
        <f>A45</f>
        <v>4</v>
      </c>
      <c r="AJ45" s="82">
        <f t="shared" ref="AJ45" si="2">AJ44+AF44</f>
        <v>721235.28610762162</v>
      </c>
      <c r="AK45" s="82">
        <f t="shared" ref="AK45" si="3">AK44+AG44</f>
        <v>458804.74998483708</v>
      </c>
      <c r="AL45" s="66"/>
      <c r="AM45" s="9" t="str">
        <f>IF(A46=0,A45&amp;" - 1",A45&amp;" - "&amp;A46)</f>
        <v>4 - 1</v>
      </c>
      <c r="AN45" s="18">
        <f>AN44+F44+F45</f>
        <v>0.78999999992083758</v>
      </c>
      <c r="AO45" s="18">
        <f>AN45*G45</f>
        <v>13.264099998654309</v>
      </c>
      <c r="AP45" s="9" t="str">
        <f>D45&amp;","&amp;C45</f>
        <v>458804.75,721235.16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topLeftCell="A7" workbookViewId="0">
      <selection activeCell="C7" sqref="C7:D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32" t="s">
        <v>48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7" t="s">
        <v>89</v>
      </c>
      <c r="D7" s="128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7" t="s">
        <v>93</v>
      </c>
      <c r="D8" s="128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7" t="s">
        <v>94</v>
      </c>
      <c r="D9" s="128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7" t="s">
        <v>95</v>
      </c>
      <c r="D10" s="128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7" t="s">
        <v>96</v>
      </c>
      <c r="D11" s="128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7" t="s">
        <v>97</v>
      </c>
      <c r="D12" s="128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7" t="s">
        <v>63</v>
      </c>
      <c r="D13" s="128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7" t="s">
        <v>64</v>
      </c>
      <c r="D14" s="128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7" t="s">
        <v>98</v>
      </c>
      <c r="D15" s="128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7" t="s">
        <v>74</v>
      </c>
      <c r="D16" s="128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7" t="s">
        <v>99</v>
      </c>
      <c r="D19" s="128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100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/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6" t="s">
        <v>16</v>
      </c>
      <c r="B28" s="126"/>
      <c r="C28" s="33">
        <f>ABS(SUM(AO42:AO65536))</f>
        <v>990.28800000167973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9" t="s">
        <v>17</v>
      </c>
      <c r="B29" s="129"/>
      <c r="C29" s="32">
        <f>ABS(C28/2)</f>
        <v>495.14400000083987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9">
        <f>SQRT(AA40^2+AB40^2)</f>
        <v>3.4581379304718541E-3</v>
      </c>
      <c r="C32" s="129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31">
        <f>M40/B32</f>
        <v>26776.837378676653</v>
      </c>
      <c r="C33" s="13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9" t="str">
        <f>"1 : "&amp;TEXT(B35,"00")</f>
        <v>1 : 27000</v>
      </c>
      <c r="C34" s="129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30">
        <f>ROUND(B33,2-LEN(INT(B33)))</f>
        <v>27000</v>
      </c>
      <c r="C35" s="13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9" t="s">
        <v>9</v>
      </c>
      <c r="B38" s="88"/>
      <c r="C38" s="121" t="s">
        <v>7</v>
      </c>
      <c r="D38" s="121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3" t="s">
        <v>8</v>
      </c>
      <c r="N38" s="123"/>
      <c r="O38" s="123"/>
      <c r="P38" s="123"/>
      <c r="Q38" s="123"/>
      <c r="R38" s="123"/>
      <c r="S38" s="123"/>
      <c r="T38" s="123"/>
      <c r="U38" s="123"/>
      <c r="V38" s="124"/>
      <c r="W38" s="59"/>
      <c r="X38" s="59" t="s">
        <v>33</v>
      </c>
      <c r="Y38" s="59" t="s">
        <v>34</v>
      </c>
      <c r="Z38" s="80"/>
      <c r="AA38" s="119" t="s">
        <v>30</v>
      </c>
      <c r="AB38" s="119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7" t="s">
        <v>55</v>
      </c>
      <c r="AK38" s="118"/>
      <c r="AL38" s="65"/>
      <c r="AM38" s="117" t="s">
        <v>18</v>
      </c>
      <c r="AN38" s="122"/>
      <c r="AO38" s="118"/>
      <c r="AP38" s="113" t="s">
        <v>56</v>
      </c>
    </row>
    <row r="39" spans="1:44">
      <c r="A39" s="120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7" t="s">
        <v>21</v>
      </c>
      <c r="O39" s="122"/>
      <c r="P39" s="122"/>
      <c r="Q39" s="118"/>
      <c r="R39" s="117" t="s">
        <v>24</v>
      </c>
      <c r="S39" s="122"/>
      <c r="T39" s="122"/>
      <c r="U39" s="118"/>
      <c r="V39" s="125"/>
      <c r="W39" s="59"/>
      <c r="X39" s="59"/>
      <c r="Y39" s="59"/>
      <c r="Z39" s="81"/>
      <c r="AA39" s="120"/>
      <c r="AB39" s="120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3"/>
    </row>
    <row r="40" spans="1:44" s="11" customFormat="1">
      <c r="A40" s="114" t="s">
        <v>25</v>
      </c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6"/>
      <c r="M40" s="51">
        <f>SUM(M42:M65536)</f>
        <v>92.597996997278273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-3.4119135253334321E-3</v>
      </c>
      <c r="AB40" s="91">
        <f>SUM(AB42:AB65536)</f>
        <v>-5.6352820853525221E-4</v>
      </c>
      <c r="AC40" s="91"/>
      <c r="AD40" s="91">
        <f>SUM(AD42:AD65536)</f>
        <v>-3.4119135253334321E-3</v>
      </c>
      <c r="AE40" s="91">
        <f>SUM(AE42:AE65536)</f>
        <v>-5.6352820853525221E-4</v>
      </c>
      <c r="AF40" s="91">
        <f>SUM(AF42:AF65536)</f>
        <v>0</v>
      </c>
      <c r="AG40" s="91">
        <f>SUM(AG42:AG65536)</f>
        <v>2.3175905639050143E-15</v>
      </c>
      <c r="AH40" s="92"/>
      <c r="AI40" s="93">
        <v>1</v>
      </c>
      <c r="AJ40" s="92">
        <f>AJ44+AF44</f>
        <v>721263.57655049802</v>
      </c>
      <c r="AK40" s="92">
        <f>AK44+AG44</f>
        <v>458821.7000195572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-5.7199999999720603</v>
      </c>
      <c r="G41" s="72">
        <f>IF(D42=0,D41-$D$41,D41-D42)</f>
        <v>3628.6399999999558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3628.6445083529024</v>
      </c>
      <c r="N41" s="36">
        <f>IF(F41=0,,ATAN(G41/F41))</f>
        <v>-1.5692199799370783</v>
      </c>
      <c r="O41" s="36">
        <f>ABS(DEGREES(N41))</f>
        <v>89.909681977998304</v>
      </c>
      <c r="P41" s="37" t="str">
        <f>TEXT(INT(O41),"00")</f>
        <v>89</v>
      </c>
      <c r="Q41" s="38" t="str">
        <f>TEXT((O41-P41)*60,"00")</f>
        <v>55</v>
      </c>
      <c r="R41" s="39" t="str">
        <f>IF(L41="",IF(F41&gt;0,"S","N"),"")</f>
        <v>N</v>
      </c>
      <c r="S41" s="25" t="str">
        <f>IF(L41="",IF(INT(Q41)=60,INT(P41+1),P41),"due")</f>
        <v>89</v>
      </c>
      <c r="T41" s="38" t="str">
        <f>IF(L41="",IF(INT(Q41)=60,"00",Q41),L41)</f>
        <v>55</v>
      </c>
      <c r="U41" s="40" t="str">
        <f>IF(L41="",IF(G41&gt;0,"W","E"),"")</f>
        <v>W</v>
      </c>
      <c r="V41" s="41"/>
      <c r="W41" s="22">
        <f>IF(S41="due",90*(I41+K41),S41+T41/60)</f>
        <v>89.916666666666671</v>
      </c>
      <c r="X41" s="22">
        <f>IF(R41="",W41,IF(R41="N",IF(U41="E",180+W41,180-W41),IF(U41="E",360-W41,W41)))</f>
        <v>90.083333333333329</v>
      </c>
      <c r="Y41" s="22">
        <f>RADIANS(X41)</f>
        <v>1.5722507678382251</v>
      </c>
      <c r="Z41" s="64"/>
      <c r="AA41" s="58">
        <f>-M41*COS(Y41)</f>
        <v>5.2776476438751407</v>
      </c>
      <c r="AB41" s="58">
        <f>-M41*SIN(Y41)</f>
        <v>-3628.6406703385533</v>
      </c>
      <c r="AC41" s="64"/>
      <c r="AD41" s="22">
        <v>0</v>
      </c>
      <c r="AE41" s="22">
        <v>0</v>
      </c>
      <c r="AF41" s="22">
        <f t="shared" ref="AF41:AG43" si="0">AA41-AD41</f>
        <v>5.2776476438751407</v>
      </c>
      <c r="AG41" s="22">
        <f t="shared" si="0"/>
        <v>-3628.6406703385533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721234.34</v>
      </c>
      <c r="D42" s="60">
        <v>458821.58</v>
      </c>
      <c r="E42" s="79"/>
      <c r="F42" s="72">
        <f>IF(C43=0,C42-$C$42,C42-C43)</f>
        <v>-0.82000000006519258</v>
      </c>
      <c r="G42" s="72">
        <f>IF(D43=0,D42-$D$42,D42-D43)</f>
        <v>16.830000000016298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16.849964391673222</v>
      </c>
      <c r="N42" s="36">
        <f>IF(F42=0,,ATAN(G42/F42))</f>
        <v>-1.5221123065276805</v>
      </c>
      <c r="O42" s="36">
        <f>ABS(DEGREES(N42))</f>
        <v>87.210611108959156</v>
      </c>
      <c r="P42" s="37" t="str">
        <f>TEXT(INT(O42),"00")</f>
        <v>87</v>
      </c>
      <c r="Q42" s="38" t="str">
        <f>TEXT((O42-P42)*60,"00")</f>
        <v>13</v>
      </c>
      <c r="R42" s="39" t="str">
        <f>IF(L42="",IF(F42&gt;0,"S","N"),"")</f>
        <v>N</v>
      </c>
      <c r="S42" s="25" t="str">
        <f>IF(L42="",IF(INT(Q42)=60,INT(P42+1),P42),"due")</f>
        <v>87</v>
      </c>
      <c r="T42" s="38" t="str">
        <f>IF(L42="",IF(INT(Q42)=60,"00",Q42),L42)</f>
        <v>13</v>
      </c>
      <c r="U42" s="40" t="str">
        <f>IF(L42="",IF(G42&gt;0,"W","E"),"")</f>
        <v>W</v>
      </c>
      <c r="V42" s="44"/>
      <c r="W42" s="22">
        <f>IF(S42="due",90*(I42+K42),S42+T42/60)</f>
        <v>87.216666666666669</v>
      </c>
      <c r="X42" s="22">
        <f>IF(R42="",W42,IF(R42="N",IF(U42="E",180+W42,180-W42),IF(U42="E",360-W42,W42)))</f>
        <v>92.783333333333331</v>
      </c>
      <c r="Y42" s="22">
        <f>RADIANS(X42)</f>
        <v>1.619374657642072</v>
      </c>
      <c r="Z42" s="64"/>
      <c r="AA42" s="58">
        <f>-M42*COS(Y42)</f>
        <v>0.8182212425494142</v>
      </c>
      <c r="AB42" s="58">
        <f>-M42*SIN(Y42)</f>
        <v>-16.830086571342893</v>
      </c>
      <c r="AC42" s="64"/>
      <c r="AD42" s="82">
        <f>$AA$40/$M$40*M42</f>
        <v>-6.2086247298660682E-4</v>
      </c>
      <c r="AE42" s="82">
        <f>$AB$40/$M$40*M42</f>
        <v>-1.0254466139047803E-4</v>
      </c>
      <c r="AF42" s="22">
        <f t="shared" si="0"/>
        <v>0.81884210502240085</v>
      </c>
      <c r="AG42" s="22">
        <f t="shared" si="0"/>
        <v>-16.829984026681501</v>
      </c>
      <c r="AH42" s="63"/>
      <c r="AI42" s="38">
        <f>A42</f>
        <v>1</v>
      </c>
      <c r="AJ42" s="82">
        <f t="shared" ref="AJ42:AK44" si="1">AJ41+AF41</f>
        <v>721233.89764764393</v>
      </c>
      <c r="AK42" s="82">
        <f t="shared" si="1"/>
        <v>458821.57932966144</v>
      </c>
      <c r="AL42" s="66"/>
      <c r="AM42" s="9" t="str">
        <f>IF(A43=0,A42&amp;" - 1",A42&amp;" - "&amp;A43)</f>
        <v>1 - 2</v>
      </c>
      <c r="AN42" s="18">
        <f>F42</f>
        <v>-0.82000000006519258</v>
      </c>
      <c r="AO42" s="18">
        <f>AN42*G42</f>
        <v>-13.800600001110556</v>
      </c>
      <c r="AP42" s="9" t="str">
        <f>D42&amp;","&amp;C42</f>
        <v>458821.58,721234.34</v>
      </c>
    </row>
    <row r="43" spans="1:44">
      <c r="A43" s="20">
        <f>A42+1</f>
        <v>2</v>
      </c>
      <c r="B43" s="44"/>
      <c r="C43" s="60">
        <v>721235.16</v>
      </c>
      <c r="D43" s="60">
        <v>458804.75</v>
      </c>
      <c r="E43" s="79"/>
      <c r="F43" s="72">
        <f>IF(C44=0,C43-$C$42,C43-C44)</f>
        <v>-29.339999999967404</v>
      </c>
      <c r="G43" s="72">
        <f>IF(D44=0,D43-$D$42,D43-D44)</f>
        <v>-0.22999999998137355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29.340901485777131</v>
      </c>
      <c r="N43" s="36">
        <f>IF(F43=0,,ATAN(G43/F43))</f>
        <v>7.8389668998468057E-3</v>
      </c>
      <c r="O43" s="36">
        <f>ABS(DEGREES(N43))</f>
        <v>0.44913971910397305</v>
      </c>
      <c r="P43" s="37" t="str">
        <f>TEXT(INT(O43),"00")</f>
        <v>00</v>
      </c>
      <c r="Q43" s="38" t="str">
        <f>TEXT((O43-P43)*60,"00")</f>
        <v>27</v>
      </c>
      <c r="R43" s="39" t="str">
        <f>IF(L43="",IF(F43&gt;0,"S","N"),"")</f>
        <v>N</v>
      </c>
      <c r="S43" s="25" t="str">
        <f>IF(L43="",IF(INT(Q43)=60,INT(P43+1),P43),"due")</f>
        <v>00</v>
      </c>
      <c r="T43" s="38" t="str">
        <f>IF(L43="",IF(INT(Q43)=60,"00",Q43),L43)</f>
        <v>27</v>
      </c>
      <c r="U43" s="40" t="str">
        <f>IF(L43="",IF(G43&gt;0,"W","E"),"")</f>
        <v>E</v>
      </c>
      <c r="V43" s="44"/>
      <c r="W43" s="22">
        <f>IF(S43="due",90*(I43+K43),S43+T43/60)</f>
        <v>0.45</v>
      </c>
      <c r="X43" s="22">
        <f>IF(R43="",W43,IF(R43="N",IF(U43="E",180+W43,180-W43),IF(U43="E",360-W43,W43)))</f>
        <v>180.45</v>
      </c>
      <c r="Y43" s="22">
        <f>RADIANS(X43)</f>
        <v>3.1494466352237676</v>
      </c>
      <c r="Z43" s="64"/>
      <c r="AA43" s="58">
        <f>-M43*COS(Y43)</f>
        <v>29.339996543271315</v>
      </c>
      <c r="AB43" s="58">
        <f>-M43*SIN(Y43)</f>
        <v>0.23044053225473177</v>
      </c>
      <c r="AC43" s="64"/>
      <c r="AD43" s="82">
        <f>$AA$40/$M$40*M43</f>
        <v>-1.081109979384773E-3</v>
      </c>
      <c r="AE43" s="82">
        <f>$AB$40/$M$40*M43</f>
        <v>-1.7856137483811127E-4</v>
      </c>
      <c r="AF43" s="22">
        <f t="shared" si="0"/>
        <v>29.3410776532507</v>
      </c>
      <c r="AG43" s="22">
        <f t="shared" si="0"/>
        <v>0.23061909362956987</v>
      </c>
      <c r="AH43" s="64"/>
      <c r="AI43" s="25">
        <f>A43</f>
        <v>2</v>
      </c>
      <c r="AJ43" s="82">
        <f t="shared" si="1"/>
        <v>721234.71648974891</v>
      </c>
      <c r="AK43" s="82">
        <f t="shared" si="1"/>
        <v>458804.74934563477</v>
      </c>
      <c r="AL43" s="66"/>
      <c r="AM43" s="9" t="str">
        <f>IF(A44=0,A43&amp;" - 1",A43&amp;" - "&amp;A44)</f>
        <v>2 - 3</v>
      </c>
      <c r="AN43" s="18">
        <f>AN42+F42+F43</f>
        <v>-30.980000000097789</v>
      </c>
      <c r="AO43" s="18">
        <f>AN43*G43</f>
        <v>7.1253999994454436</v>
      </c>
      <c r="AP43" s="9" t="str">
        <f>D43&amp;","&amp;C43</f>
        <v>458804.75,721235.16</v>
      </c>
    </row>
    <row r="44" spans="1:44" s="46" customFormat="1">
      <c r="A44" s="20">
        <f>A43+1</f>
        <v>3</v>
      </c>
      <c r="B44" s="44"/>
      <c r="C44" s="60">
        <v>721264.5</v>
      </c>
      <c r="D44" s="60">
        <v>458804.98</v>
      </c>
      <c r="E44" s="79"/>
      <c r="F44" s="72">
        <f>IF(C45=0,C44-$C$42,C44-C45)</f>
        <v>0.47999999998137355</v>
      </c>
      <c r="G44" s="72">
        <f>IF(D45=0,D44-$D$42,D44-D45)</f>
        <v>-16.720000000030268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16.726888533167017</v>
      </c>
      <c r="N44" s="22">
        <f>IF(F44=0,,ATAN(G44/F44))</f>
        <v>-1.5420960755965885</v>
      </c>
      <c r="O44" s="22">
        <f>ABS(DEGREES(N44))</f>
        <v>88.355596735371662</v>
      </c>
      <c r="P44" s="24" t="str">
        <f>TEXT(INT(O44),"00")</f>
        <v>88</v>
      </c>
      <c r="Q44" s="25" t="str">
        <f>TEXT((O44-P44)*60,"00")</f>
        <v>21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21</v>
      </c>
      <c r="U44" s="24" t="str">
        <f>IF(L44="",IF(G44&gt;0,"W","E"),"")</f>
        <v>E</v>
      </c>
      <c r="V44" s="44"/>
      <c r="W44" s="22">
        <f>IF(S44="due",90*(I44+K44),S44+T44/60)</f>
        <v>88.35</v>
      </c>
      <c r="X44" s="22">
        <f>IF(R44="",W44,IF(R44="N",IF(U44="E",180+W44,180-W44),IF(U44="E",360-W44,W44)))</f>
        <v>271.64999999999998</v>
      </c>
      <c r="Y44" s="22">
        <f>RADIANS(X44)</f>
        <v>4.7411869130425961</v>
      </c>
      <c r="Z44" s="64"/>
      <c r="AA44" s="58">
        <f>-M44*COS(Y44)</f>
        <v>-0.48163323169326011</v>
      </c>
      <c r="AB44" s="58">
        <f>-M44*SIN(Y44)</f>
        <v>16.719953033161396</v>
      </c>
      <c r="AC44" s="64"/>
      <c r="AD44" s="82">
        <f>$AA$40/$M$40*M44</f>
        <v>-6.1632755646685009E-4</v>
      </c>
      <c r="AE44" s="82">
        <f>$AB$40/$M$40*M44</f>
        <v>-1.0179565255327847E-4</v>
      </c>
      <c r="AF44" s="22">
        <f>AA44-AD44</f>
        <v>-0.48101690413679327</v>
      </c>
      <c r="AG44" s="22">
        <f>AB44-AE44</f>
        <v>16.72005482881395</v>
      </c>
      <c r="AH44" s="64"/>
      <c r="AI44" s="25">
        <f>A44</f>
        <v>3</v>
      </c>
      <c r="AJ44" s="82">
        <f t="shared" si="1"/>
        <v>721264.05756740214</v>
      </c>
      <c r="AK44" s="82">
        <f t="shared" si="1"/>
        <v>458804.97996472841</v>
      </c>
      <c r="AL44" s="66"/>
      <c r="AM44" s="9" t="str">
        <f>IF(A45=0,A44&amp;" - 1",A44&amp;" - "&amp;A45)</f>
        <v>3 - 4</v>
      </c>
      <c r="AN44" s="18">
        <f>AN43+F43+F44</f>
        <v>-59.840000000083819</v>
      </c>
      <c r="AO44" s="18">
        <f>AN44*G44</f>
        <v>1000.5248000032127</v>
      </c>
      <c r="AP44" s="9" t="str">
        <f>D44&amp;","&amp;C44</f>
        <v>458804.98,721264.5</v>
      </c>
    </row>
    <row r="45" spans="1:44" s="46" customFormat="1">
      <c r="A45" s="20">
        <f>A44+1</f>
        <v>4</v>
      </c>
      <c r="B45" s="44"/>
      <c r="C45" s="60">
        <v>721264.02</v>
      </c>
      <c r="D45" s="60">
        <v>458821.7</v>
      </c>
      <c r="E45" s="79"/>
      <c r="F45" s="72">
        <f>IF(C46=0,C45-$C$42,C45-C46)</f>
        <v>29.680000000051223</v>
      </c>
      <c r="G45" s="72">
        <f>IF(D46=0,D45-$D$42,D45-D46)</f>
        <v>0.11999999999534339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29.680242586660903</v>
      </c>
      <c r="N45" s="22">
        <f>IF(F45=0,,ATAN(G45/F45))</f>
        <v>4.0431046538616598E-3</v>
      </c>
      <c r="O45" s="22">
        <f>ABS(DEGREES(N45))</f>
        <v>0.23165283279597468</v>
      </c>
      <c r="P45" s="24" t="str">
        <f>TEXT(INT(O45),"00")</f>
        <v>00</v>
      </c>
      <c r="Q45" s="25" t="str">
        <f>TEXT((O45-P45)*60,"00")</f>
        <v>14</v>
      </c>
      <c r="R45" s="23" t="str">
        <f>IF(L45="",IF(F45&gt;0,"S","N"),"")</f>
        <v>S</v>
      </c>
      <c r="S45" s="25" t="str">
        <f>IF(L45="",IF(INT(Q45)=60,INT(P45+1),P45),"due")</f>
        <v>00</v>
      </c>
      <c r="T45" s="25" t="str">
        <f>IF(L45="",IF(INT(Q45)=60,"00",Q45),L45)</f>
        <v>14</v>
      </c>
      <c r="U45" s="24" t="str">
        <f>IF(L45="",IF(G45&gt;0,"W","E"),"")</f>
        <v>W</v>
      </c>
      <c r="V45" s="44"/>
      <c r="W45" s="22">
        <f>IF(S45="due",90*(I45+K45),S45+T45/60)</f>
        <v>0.23333333333333334</v>
      </c>
      <c r="X45" s="22">
        <f>IF(R45="",W45,IF(R45="N",IF(U45="E",180+W45,180-W45),IF(U45="E",360-W45,W45)))</f>
        <v>0.23333333333333334</v>
      </c>
      <c r="Y45" s="22">
        <f>RADIANS(X45)</f>
        <v>4.0724349213201025E-3</v>
      </c>
      <c r="Z45" s="64"/>
      <c r="AA45" s="58">
        <f>-M45*COS(Y45)</f>
        <v>-29.679996467652803</v>
      </c>
      <c r="AB45" s="58">
        <f>-M45*SIN(Y45)</f>
        <v>-0.12087052228177078</v>
      </c>
      <c r="AC45" s="64"/>
      <c r="AD45" s="82">
        <f>$AA$40/$M$40*M45</f>
        <v>-1.0936135164952021E-3</v>
      </c>
      <c r="AE45" s="82">
        <f>$AB$40/$M$40*M45</f>
        <v>-1.8062651975338446E-4</v>
      </c>
      <c r="AF45" s="22">
        <f>AA45-AD45</f>
        <v>-29.678902854136307</v>
      </c>
      <c r="AG45" s="22">
        <f>AB45-AE45</f>
        <v>-0.1206898957620174</v>
      </c>
      <c r="AH45" s="64"/>
      <c r="AI45" s="25">
        <f>A45</f>
        <v>4</v>
      </c>
      <c r="AJ45" s="82">
        <f t="shared" ref="AJ45" si="2">AJ44+AF44</f>
        <v>721263.57655049802</v>
      </c>
      <c r="AK45" s="82">
        <f t="shared" ref="AK45" si="3">AK44+AG44</f>
        <v>458821.7000195572</v>
      </c>
      <c r="AL45" s="66"/>
      <c r="AM45" s="9" t="str">
        <f>IF(A46=0,A45&amp;" - 1",A45&amp;" - "&amp;A46)</f>
        <v>4 - 1</v>
      </c>
      <c r="AN45" s="18">
        <f>AN44+F44+F45</f>
        <v>-29.680000000051223</v>
      </c>
      <c r="AO45" s="18">
        <f>AN45*G45</f>
        <v>-3.5615999998679384</v>
      </c>
      <c r="AP45" s="9" t="str">
        <f>D45&amp;","&amp;C45</f>
        <v>458821.7,721264.02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topLeftCell="A17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32" t="s">
        <v>48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 t="s">
        <v>107</v>
      </c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7" t="s">
        <v>101</v>
      </c>
      <c r="D7" s="128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7" t="s">
        <v>102</v>
      </c>
      <c r="D8" s="128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7" t="s">
        <v>103</v>
      </c>
      <c r="D9" s="128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7" t="s">
        <v>104</v>
      </c>
      <c r="D10" s="128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7" t="s">
        <v>105</v>
      </c>
      <c r="D11" s="128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7" t="s">
        <v>97</v>
      </c>
      <c r="D12" s="128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7" t="s">
        <v>106</v>
      </c>
      <c r="D13" s="128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7" t="s">
        <v>108</v>
      </c>
      <c r="D14" s="128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7" t="s">
        <v>98</v>
      </c>
      <c r="D15" s="128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7" t="s">
        <v>109</v>
      </c>
      <c r="D16" s="128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7" t="s">
        <v>110</v>
      </c>
      <c r="D19" s="128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111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6" t="s">
        <v>16</v>
      </c>
      <c r="B28" s="126"/>
      <c r="C28" s="33">
        <f>ABS(SUM(AO42:AO65536))</f>
        <v>1001.0519999988156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9" t="s">
        <v>17</v>
      </c>
      <c r="B29" s="129"/>
      <c r="C29" s="32">
        <f>ABS(C28/2)</f>
        <v>500.52599999940782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9">
        <f>SQRT(AA40^2+AB40^2)</f>
        <v>2.3298995880946479E-3</v>
      </c>
      <c r="C32" s="129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31">
        <f>M40/B32</f>
        <v>40002.766612045765</v>
      </c>
      <c r="C33" s="13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9" t="str">
        <f>"1 : "&amp;TEXT(B35,"00")</f>
        <v>1 : 40000</v>
      </c>
      <c r="C34" s="129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30">
        <f>ROUND(B33,2-LEN(INT(B33)))</f>
        <v>40000</v>
      </c>
      <c r="C35" s="13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9" t="s">
        <v>9</v>
      </c>
      <c r="B38" s="88"/>
      <c r="C38" s="121" t="s">
        <v>7</v>
      </c>
      <c r="D38" s="121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3" t="s">
        <v>8</v>
      </c>
      <c r="N38" s="123"/>
      <c r="O38" s="123"/>
      <c r="P38" s="123"/>
      <c r="Q38" s="123"/>
      <c r="R38" s="123"/>
      <c r="S38" s="123"/>
      <c r="T38" s="123"/>
      <c r="U38" s="123"/>
      <c r="V38" s="124"/>
      <c r="W38" s="59"/>
      <c r="X38" s="59" t="s">
        <v>33</v>
      </c>
      <c r="Y38" s="59" t="s">
        <v>34</v>
      </c>
      <c r="Z38" s="80"/>
      <c r="AA38" s="119" t="s">
        <v>30</v>
      </c>
      <c r="AB38" s="119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7" t="s">
        <v>55</v>
      </c>
      <c r="AK38" s="118"/>
      <c r="AL38" s="65"/>
      <c r="AM38" s="117" t="s">
        <v>18</v>
      </c>
      <c r="AN38" s="122"/>
      <c r="AO38" s="118"/>
      <c r="AP38" s="113" t="s">
        <v>56</v>
      </c>
    </row>
    <row r="39" spans="1:44">
      <c r="A39" s="120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7" t="s">
        <v>21</v>
      </c>
      <c r="O39" s="122"/>
      <c r="P39" s="122"/>
      <c r="Q39" s="118"/>
      <c r="R39" s="117" t="s">
        <v>24</v>
      </c>
      <c r="S39" s="122"/>
      <c r="T39" s="122"/>
      <c r="U39" s="118"/>
      <c r="V39" s="125"/>
      <c r="W39" s="59"/>
      <c r="X39" s="59"/>
      <c r="Y39" s="59"/>
      <c r="Z39" s="81"/>
      <c r="AA39" s="120"/>
      <c r="AB39" s="120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3"/>
    </row>
    <row r="40" spans="1:44" s="11" customFormat="1">
      <c r="A40" s="114" t="s">
        <v>25</v>
      </c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6"/>
      <c r="M40" s="51">
        <f>SUM(M42:M65536)</f>
        <v>93.20242945205176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2.329145285940637E-3</v>
      </c>
      <c r="AB40" s="91">
        <f>SUM(AB42:AB65536)</f>
        <v>5.9281764347218768E-5</v>
      </c>
      <c r="AC40" s="91"/>
      <c r="AD40" s="91">
        <f>SUM(AD42:AD65536)</f>
        <v>2.329145285940637E-3</v>
      </c>
      <c r="AE40" s="91">
        <f>SUM(AE42:AE65536)</f>
        <v>5.9281764347218762E-5</v>
      </c>
      <c r="AF40" s="91">
        <f>SUM(AF42:AF65536)</f>
        <v>1.7763568394002505E-15</v>
      </c>
      <c r="AG40" s="91">
        <f>SUM(AG42:AG65536)</f>
        <v>0</v>
      </c>
      <c r="AH40" s="92"/>
      <c r="AI40" s="93">
        <v>1</v>
      </c>
      <c r="AJ40" s="92">
        <f>AJ44+AF44</f>
        <v>721233.18777881481</v>
      </c>
      <c r="AK40" s="92">
        <f>AK44+AG44</f>
        <v>458838.409328148</v>
      </c>
      <c r="AL40" s="92"/>
      <c r="AM40" s="51"/>
      <c r="AN40" s="57"/>
      <c r="AO40" s="52"/>
      <c r="AP40" s="103"/>
    </row>
    <row r="41" spans="1:44">
      <c r="A41" s="34" t="str">
        <f>IF(A22=0, " ",  A22)</f>
        <v>BLLM1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-5.7199999999720603</v>
      </c>
      <c r="G41" s="72">
        <f>IF(D42=0,D41-$D$41,D41-D42)</f>
        <v>3628.6399999999558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3628.6445083529024</v>
      </c>
      <c r="N41" s="36">
        <f>IF(F41=0,,ATAN(G41/F41))</f>
        <v>-1.5692199799370783</v>
      </c>
      <c r="O41" s="36">
        <f>ABS(DEGREES(N41))</f>
        <v>89.909681977998304</v>
      </c>
      <c r="P41" s="37" t="str">
        <f>TEXT(INT(O41),"00")</f>
        <v>89</v>
      </c>
      <c r="Q41" s="38" t="str">
        <f>TEXT((O41-P41)*60,"00")</f>
        <v>55</v>
      </c>
      <c r="R41" s="39" t="str">
        <f>IF(L41="",IF(F41&gt;0,"S","N"),"")</f>
        <v>N</v>
      </c>
      <c r="S41" s="25" t="str">
        <f>IF(L41="",IF(INT(Q41)=60,INT(P41+1),P41),"due")</f>
        <v>89</v>
      </c>
      <c r="T41" s="38" t="str">
        <f>IF(L41="",IF(INT(Q41)=60,"00",Q41),L41)</f>
        <v>55</v>
      </c>
      <c r="U41" s="40" t="str">
        <f>IF(L41="",IF(G41&gt;0,"W","E"),"")</f>
        <v>W</v>
      </c>
      <c r="V41" s="41"/>
      <c r="W41" s="22">
        <f>IF(S41="due",90*(I41+K41),S41+T41/60)</f>
        <v>89.916666666666671</v>
      </c>
      <c r="X41" s="22">
        <f>IF(R41="",W41,IF(R41="N",IF(U41="E",180+W41,180-W41),IF(U41="E",360-W41,W41)))</f>
        <v>90.083333333333329</v>
      </c>
      <c r="Y41" s="22">
        <f>RADIANS(X41)</f>
        <v>1.5722507678382251</v>
      </c>
      <c r="Z41" s="64"/>
      <c r="AA41" s="58">
        <f>-M41*COS(Y41)</f>
        <v>5.2776476438751407</v>
      </c>
      <c r="AB41" s="58">
        <f>-M41*SIN(Y41)</f>
        <v>-3628.6406703385533</v>
      </c>
      <c r="AC41" s="64"/>
      <c r="AD41" s="22">
        <v>0</v>
      </c>
      <c r="AE41" s="22">
        <v>0</v>
      </c>
      <c r="AF41" s="22">
        <f t="shared" ref="AF41:AG43" si="0">AA41-AD41</f>
        <v>5.2776476438751407</v>
      </c>
      <c r="AG41" s="22">
        <f t="shared" si="0"/>
        <v>-3628.6406703385533</v>
      </c>
      <c r="AH41" s="63"/>
      <c r="AI41" s="36" t="str">
        <f>A41</f>
        <v>BLLM1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BLLM1 - 1</v>
      </c>
      <c r="AN41" s="42"/>
      <c r="AO41" s="43"/>
      <c r="AP41" s="9"/>
    </row>
    <row r="42" spans="1:44">
      <c r="A42" s="20">
        <v>1</v>
      </c>
      <c r="B42" s="44"/>
      <c r="C42" s="60">
        <v>721234.34</v>
      </c>
      <c r="D42" s="60">
        <v>458821.58</v>
      </c>
      <c r="E42" s="79"/>
      <c r="F42" s="72">
        <f>IF(C43=0,C42-$C$42,C42-C43)</f>
        <v>-29.680000000051223</v>
      </c>
      <c r="G42" s="72">
        <f>IF(D43=0,D42-$D$42,D42-D43)</f>
        <v>-0.11999999999534339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29.680242586660903</v>
      </c>
      <c r="N42" s="36">
        <f>IF(F42=0,,ATAN(G42/F42))</f>
        <v>4.0431046538616598E-3</v>
      </c>
      <c r="O42" s="36">
        <f>ABS(DEGREES(N42))</f>
        <v>0.23165283279597468</v>
      </c>
      <c r="P42" s="37" t="str">
        <f>TEXT(INT(O42),"00")</f>
        <v>00</v>
      </c>
      <c r="Q42" s="38" t="str">
        <f>TEXT((O42-P42)*60,"00")</f>
        <v>14</v>
      </c>
      <c r="R42" s="39" t="str">
        <f>IF(L42="",IF(F42&gt;0,"S","N"),"")</f>
        <v>N</v>
      </c>
      <c r="S42" s="25" t="str">
        <f>IF(L42="",IF(INT(Q42)=60,INT(P42+1),P42),"due")</f>
        <v>00</v>
      </c>
      <c r="T42" s="38" t="str">
        <f>IF(L42="",IF(INT(Q42)=60,"00",Q42),L42)</f>
        <v>14</v>
      </c>
      <c r="U42" s="40" t="str">
        <f>IF(L42="",IF(G42&gt;0,"W","E"),"")</f>
        <v>E</v>
      </c>
      <c r="V42" s="44"/>
      <c r="W42" s="22">
        <f>IF(S42="due",90*(I42+K42),S42+T42/60)</f>
        <v>0.23333333333333334</v>
      </c>
      <c r="X42" s="22">
        <f>IF(R42="",W42,IF(R42="N",IF(U42="E",180+W42,180-W42),IF(U42="E",360-W42,W42)))</f>
        <v>180.23333333333332</v>
      </c>
      <c r="Y42" s="22">
        <f>RADIANS(X42)</f>
        <v>3.1456650885111133</v>
      </c>
      <c r="Z42" s="64"/>
      <c r="AA42" s="58">
        <f>-M42*COS(Y42)</f>
        <v>29.679996467652803</v>
      </c>
      <c r="AB42" s="58">
        <f>-M42*SIN(Y42)</f>
        <v>0.12087052228176842</v>
      </c>
      <c r="AC42" s="64"/>
      <c r="AD42" s="82">
        <f>$AA$40/$M$40*M42</f>
        <v>7.4171454019725616E-4</v>
      </c>
      <c r="AE42" s="82">
        <f>$AB$40/$M$40*M42</f>
        <v>1.8878232650532961E-5</v>
      </c>
      <c r="AF42" s="22">
        <f t="shared" si="0"/>
        <v>29.679254753112605</v>
      </c>
      <c r="AG42" s="22">
        <f t="shared" si="0"/>
        <v>0.12085164404911788</v>
      </c>
      <c r="AH42" s="63"/>
      <c r="AI42" s="38">
        <f>A42</f>
        <v>1</v>
      </c>
      <c r="AJ42" s="82">
        <f t="shared" ref="AJ42:AK44" si="1">AJ41+AF41</f>
        <v>721233.89764764393</v>
      </c>
      <c r="AK42" s="82">
        <f t="shared" si="1"/>
        <v>458821.57932966144</v>
      </c>
      <c r="AL42" s="66"/>
      <c r="AM42" s="9" t="str">
        <f>IF(A43=0,A42&amp;" - 1",A42&amp;" - "&amp;A43)</f>
        <v>1 - 2</v>
      </c>
      <c r="AN42" s="18">
        <f>F42</f>
        <v>-29.680000000051223</v>
      </c>
      <c r="AO42" s="18">
        <f>AN42*G42</f>
        <v>3.5615999998679384</v>
      </c>
      <c r="AP42" s="9" t="str">
        <f>D42&amp;","&amp;C42</f>
        <v>458821.58,721234.34</v>
      </c>
    </row>
    <row r="43" spans="1:44">
      <c r="A43" s="20">
        <f>A42+1</f>
        <v>2</v>
      </c>
      <c r="B43" s="44"/>
      <c r="C43" s="60">
        <v>721264.02</v>
      </c>
      <c r="D43" s="60">
        <v>458821.7</v>
      </c>
      <c r="E43" s="79"/>
      <c r="F43" s="72">
        <f>IF(C44=0,C43-$C$42,C43-C44)</f>
        <v>0.48999999999068677</v>
      </c>
      <c r="G43" s="72">
        <f>IF(D44=0,D43-$D$42,D43-D44)</f>
        <v>-16.769999999960419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16.777157089288497</v>
      </c>
      <c r="N43" s="36">
        <f>IF(F43=0,,ATAN(G43/F43))</f>
        <v>-1.5415857944724254</v>
      </c>
      <c r="O43" s="36">
        <f>ABS(DEGREES(N43))</f>
        <v>88.326359780591929</v>
      </c>
      <c r="P43" s="37" t="str">
        <f>TEXT(INT(O43),"00")</f>
        <v>88</v>
      </c>
      <c r="Q43" s="38" t="str">
        <f>TEXT((O43-P43)*60,"00")</f>
        <v>20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20</v>
      </c>
      <c r="U43" s="40" t="str">
        <f>IF(L43="",IF(G43&gt;0,"W","E"),"")</f>
        <v>E</v>
      </c>
      <c r="V43" s="44"/>
      <c r="W43" s="22">
        <f>IF(S43="due",90*(I43+K43),S43+T43/60)</f>
        <v>88.333333333333329</v>
      </c>
      <c r="X43" s="22">
        <f>IF(R43="",W43,IF(R43="N",IF(U43="E",180+W43,180-W43),IF(U43="E",360-W43,W43)))</f>
        <v>271.66666666666669</v>
      </c>
      <c r="Y43" s="22">
        <f>RADIANS(X43)</f>
        <v>4.7414778012512624</v>
      </c>
      <c r="Z43" s="64"/>
      <c r="AA43" s="58">
        <f>-M43*COS(Y43)</f>
        <v>-0.48795889525095981</v>
      </c>
      <c r="AB43" s="58">
        <f>-M43*SIN(Y43)</f>
        <v>16.770059514360966</v>
      </c>
      <c r="AC43" s="64"/>
      <c r="AD43" s="82">
        <f>$AA$40/$M$40*M43</f>
        <v>4.1926413909741287E-4</v>
      </c>
      <c r="AE43" s="82">
        <f>$AB$40/$M$40*M43</f>
        <v>1.0671175406378602E-5</v>
      </c>
      <c r="AF43" s="22">
        <f t="shared" si="0"/>
        <v>-0.48837815939005724</v>
      </c>
      <c r="AG43" s="22">
        <f t="shared" si="0"/>
        <v>16.77004884318556</v>
      </c>
      <c r="AH43" s="64"/>
      <c r="AI43" s="25">
        <f>A43</f>
        <v>2</v>
      </c>
      <c r="AJ43" s="82">
        <f t="shared" si="1"/>
        <v>721263.57690239709</v>
      </c>
      <c r="AK43" s="82">
        <f t="shared" si="1"/>
        <v>458821.70018130547</v>
      </c>
      <c r="AL43" s="66"/>
      <c r="AM43" s="9" t="str">
        <f>IF(A44=0,A43&amp;" - 1",A43&amp;" - "&amp;A44)</f>
        <v>2 - 3</v>
      </c>
      <c r="AN43" s="18">
        <f>AN42+F42+F43</f>
        <v>-58.870000000111759</v>
      </c>
      <c r="AO43" s="18">
        <f>AN43*G43</f>
        <v>987.24989999954403</v>
      </c>
      <c r="AP43" s="9" t="str">
        <f>D43&amp;","&amp;C43</f>
        <v>458821.7,721264.02</v>
      </c>
    </row>
    <row r="44" spans="1:44" s="46" customFormat="1">
      <c r="A44" s="20">
        <f>A43+1</f>
        <v>3</v>
      </c>
      <c r="B44" s="44"/>
      <c r="C44" s="60">
        <v>721263.53</v>
      </c>
      <c r="D44" s="60">
        <v>458838.47</v>
      </c>
      <c r="E44" s="79"/>
      <c r="F44" s="72">
        <f>IF(C45=0,C44-$C$42,C44-C45)</f>
        <v>29.900000000023283</v>
      </c>
      <c r="G44" s="72">
        <f>IF(D45=0,D44-$D$42,D44-D45)</f>
        <v>5.9999999997671694E-2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29.900060200631568</v>
      </c>
      <c r="N44" s="22">
        <f>IF(F44=0,,ATAN(G44/F44))</f>
        <v>2.0066862696256744E-3</v>
      </c>
      <c r="O44" s="22">
        <f>ABS(DEGREES(N44))</f>
        <v>0.11497465405640231</v>
      </c>
      <c r="P44" s="24" t="str">
        <f>TEXT(INT(O44),"00")</f>
        <v>00</v>
      </c>
      <c r="Q44" s="25" t="str">
        <f>TEXT((O44-P44)*60,"00")</f>
        <v>07</v>
      </c>
      <c r="R44" s="23" t="str">
        <f>IF(L44="",IF(F44&gt;0,"S","N"),"")</f>
        <v>S</v>
      </c>
      <c r="S44" s="25" t="str">
        <f>IF(L44="",IF(INT(Q44)=60,INT(P44+1),P44),"due")</f>
        <v>00</v>
      </c>
      <c r="T44" s="25" t="str">
        <f>IF(L44="",IF(INT(Q44)=60,"00",Q44),L44)</f>
        <v>07</v>
      </c>
      <c r="U44" s="24" t="str">
        <f>IF(L44="",IF(G44&gt;0,"W","E"),"")</f>
        <v>W</v>
      </c>
      <c r="V44" s="44"/>
      <c r="W44" s="22">
        <f>IF(S44="due",90*(I44+K44),S44+T44/60)</f>
        <v>0.11666666666666667</v>
      </c>
      <c r="X44" s="22">
        <f>IF(R44="",W44,IF(R44="N",IF(U44="E",180+W44,180-W44),IF(U44="E",360-W44,W44)))</f>
        <v>0.11666666666666667</v>
      </c>
      <c r="Y44" s="22">
        <f>RADIANS(X44)</f>
        <v>2.0362174606600512E-3</v>
      </c>
      <c r="Z44" s="64"/>
      <c r="AA44" s="58">
        <f>-M44*COS(Y44)</f>
        <v>-29.899998215114053</v>
      </c>
      <c r="AB44" s="58">
        <f>-M44*SIN(Y44)</f>
        <v>-6.0882982583309167E-2</v>
      </c>
      <c r="AC44" s="64"/>
      <c r="AD44" s="82">
        <f>$AA$40/$M$40*M44</f>
        <v>7.4720782145994992E-4</v>
      </c>
      <c r="AE44" s="82">
        <f>$AB$40/$M$40*M44</f>
        <v>1.9018048490821554E-5</v>
      </c>
      <c r="AF44" s="22">
        <f>AA44-AD44</f>
        <v>-29.900745422935511</v>
      </c>
      <c r="AG44" s="22">
        <f>AB44-AE44</f>
        <v>-6.0902000631799985E-2</v>
      </c>
      <c r="AH44" s="64"/>
      <c r="AI44" s="25">
        <f>A44</f>
        <v>3</v>
      </c>
      <c r="AJ44" s="82">
        <f t="shared" si="1"/>
        <v>721263.08852423774</v>
      </c>
      <c r="AK44" s="82">
        <f t="shared" si="1"/>
        <v>458838.47023014864</v>
      </c>
      <c r="AL44" s="66"/>
      <c r="AM44" s="9" t="str">
        <f>IF(A45=0,A44&amp;" - 1",A44&amp;" - "&amp;A45)</f>
        <v>3 - 4</v>
      </c>
      <c r="AN44" s="18">
        <f>AN43+F43+F44</f>
        <v>-28.480000000097789</v>
      </c>
      <c r="AO44" s="18">
        <f>AN44*G44</f>
        <v>-1.7087999999395571</v>
      </c>
      <c r="AP44" s="9" t="str">
        <f>D44&amp;","&amp;C44</f>
        <v>458838.47,721263.53</v>
      </c>
    </row>
    <row r="45" spans="1:44" s="46" customFormat="1">
      <c r="A45" s="20">
        <f>A44+1</f>
        <v>4</v>
      </c>
      <c r="B45" s="44"/>
      <c r="C45" s="60">
        <v>721233.63</v>
      </c>
      <c r="D45" s="60">
        <v>458838.41</v>
      </c>
      <c r="E45" s="79"/>
      <c r="F45" s="72">
        <f>IF(C46=0,C45-$C$42,C45-C46)</f>
        <v>-0.7099999999627471</v>
      </c>
      <c r="G45" s="72">
        <f>IF(D46=0,D45-$D$42,D45-D46)</f>
        <v>16.82999999995809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16.844969575470785</v>
      </c>
      <c r="N45" s="22">
        <f>IF(F45=0,,ATAN(G45/F45))</f>
        <v>-1.5286347550850494</v>
      </c>
      <c r="O45" s="22">
        <f>ABS(DEGREES(N45))</f>
        <v>87.584319883387593</v>
      </c>
      <c r="P45" s="24" t="str">
        <f>TEXT(INT(O45),"00")</f>
        <v>87</v>
      </c>
      <c r="Q45" s="25" t="str">
        <f>TEXT((O45-P45)*60,"00")</f>
        <v>35</v>
      </c>
      <c r="R45" s="23" t="str">
        <f>IF(L45="",IF(F45&gt;0,"S","N"),"")</f>
        <v>N</v>
      </c>
      <c r="S45" s="25" t="str">
        <f>IF(L45="",IF(INT(Q45)=60,INT(P45+1),P45),"due")</f>
        <v>87</v>
      </c>
      <c r="T45" s="25" t="str">
        <f>IF(L45="",IF(INT(Q45)=60,"00",Q45),L45)</f>
        <v>35</v>
      </c>
      <c r="U45" s="24" t="str">
        <f>IF(L45="",IF(G45&gt;0,"W","E"),"")</f>
        <v>W</v>
      </c>
      <c r="V45" s="44"/>
      <c r="W45" s="22">
        <f>IF(S45="due",90*(I45+K45),S45+T45/60)</f>
        <v>87.583333333333329</v>
      </c>
      <c r="X45" s="22">
        <f>IF(R45="",W45,IF(R45="N",IF(U45="E",180+W45,180-W45),IF(U45="E",360-W45,W45)))</f>
        <v>92.416666666666671</v>
      </c>
      <c r="Y45" s="22">
        <f>RADIANS(X45)</f>
        <v>1.6129751170514264</v>
      </c>
      <c r="Z45" s="64"/>
      <c r="AA45" s="58">
        <f>-M45*COS(Y45)</f>
        <v>0.71028978799814935</v>
      </c>
      <c r="AB45" s="58">
        <f>-M45*SIN(Y45)</f>
        <v>-16.82998777229508</v>
      </c>
      <c r="AC45" s="64"/>
      <c r="AD45" s="82">
        <f>$AA$40/$M$40*M45</f>
        <v>4.2095878518601774E-4</v>
      </c>
      <c r="AE45" s="82">
        <f>$AB$40/$M$40*M45</f>
        <v>1.0714307799485646E-5</v>
      </c>
      <c r="AF45" s="22">
        <f>AA45-AD45</f>
        <v>0.70986882921296335</v>
      </c>
      <c r="AG45" s="22">
        <f>AB45-AE45</f>
        <v>-16.829998486602879</v>
      </c>
      <c r="AH45" s="64"/>
      <c r="AI45" s="25">
        <f>A45</f>
        <v>4</v>
      </c>
      <c r="AJ45" s="82">
        <f t="shared" ref="AJ45" si="2">AJ44+AF44</f>
        <v>721233.18777881481</v>
      </c>
      <c r="AK45" s="82">
        <f t="shared" ref="AK45" si="3">AK44+AG44</f>
        <v>458838.409328148</v>
      </c>
      <c r="AL45" s="66"/>
      <c r="AM45" s="9" t="str">
        <f>IF(A46=0,A45&amp;" - 1",A45&amp;" - "&amp;A46)</f>
        <v>4 - 1</v>
      </c>
      <c r="AN45" s="18">
        <f>AN44+F44+F45</f>
        <v>0.7099999999627471</v>
      </c>
      <c r="AO45" s="18">
        <f>AN45*G45</f>
        <v>11.949299999343278</v>
      </c>
      <c r="AP45" s="9" t="str">
        <f>D45&amp;","&amp;C45</f>
        <v>458838.41,721233.63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topLeftCell="A28" workbookViewId="0">
      <selection activeCell="D47" sqref="D4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32" t="s">
        <v>48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7" t="s">
        <v>112</v>
      </c>
      <c r="D7" s="128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7" t="s">
        <v>113</v>
      </c>
      <c r="D8" s="128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7" t="s">
        <v>103</v>
      </c>
      <c r="D9" s="128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7" t="s">
        <v>104</v>
      </c>
      <c r="D10" s="128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7" t="s">
        <v>114</v>
      </c>
      <c r="D11" s="128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7" t="s">
        <v>97</v>
      </c>
      <c r="D12" s="128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7" t="s">
        <v>106</v>
      </c>
      <c r="D13" s="128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7" t="s">
        <v>108</v>
      </c>
      <c r="D14" s="128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7" t="s">
        <v>98</v>
      </c>
      <c r="D15" s="128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7" t="s">
        <v>109</v>
      </c>
      <c r="D16" s="128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7" t="s">
        <v>115</v>
      </c>
      <c r="D19" s="128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6" t="s">
        <v>16</v>
      </c>
      <c r="B28" s="126"/>
      <c r="C28" s="33">
        <f>ABS(SUM(AO42:AO65536))</f>
        <v>2804.2358000057875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9" t="s">
        <v>17</v>
      </c>
      <c r="B29" s="129"/>
      <c r="C29" s="32">
        <f>ABS(C28/2)</f>
        <v>1402.1179000028937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9">
        <f>SQRT(AA40^2+AB40^2)</f>
        <v>6.0111936360992086E-3</v>
      </c>
      <c r="C32" s="129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31">
        <f>M40/B32</f>
        <v>25299.625147194147</v>
      </c>
      <c r="C33" s="13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9" t="str">
        <f>"1 : "&amp;TEXT(B35,"00")</f>
        <v>1 : 25000</v>
      </c>
      <c r="C34" s="129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30">
        <f>ROUND(B33,2-LEN(INT(B33)))</f>
        <v>25000</v>
      </c>
      <c r="C35" s="13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9" t="s">
        <v>9</v>
      </c>
      <c r="B38" s="88"/>
      <c r="C38" s="121" t="s">
        <v>7</v>
      </c>
      <c r="D38" s="121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3" t="s">
        <v>8</v>
      </c>
      <c r="N38" s="123"/>
      <c r="O38" s="123"/>
      <c r="P38" s="123"/>
      <c r="Q38" s="123"/>
      <c r="R38" s="123"/>
      <c r="S38" s="123"/>
      <c r="T38" s="123"/>
      <c r="U38" s="123"/>
      <c r="V38" s="124"/>
      <c r="W38" s="59"/>
      <c r="X38" s="59" t="s">
        <v>33</v>
      </c>
      <c r="Y38" s="59" t="s">
        <v>34</v>
      </c>
      <c r="Z38" s="80"/>
      <c r="AA38" s="119" t="s">
        <v>30</v>
      </c>
      <c r="AB38" s="119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7" t="s">
        <v>55</v>
      </c>
      <c r="AK38" s="118"/>
      <c r="AL38" s="65"/>
      <c r="AM38" s="117" t="s">
        <v>18</v>
      </c>
      <c r="AN38" s="122"/>
      <c r="AO38" s="118"/>
      <c r="AP38" s="113" t="s">
        <v>56</v>
      </c>
    </row>
    <row r="39" spans="1:44">
      <c r="A39" s="120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7" t="s">
        <v>21</v>
      </c>
      <c r="O39" s="122"/>
      <c r="P39" s="122"/>
      <c r="Q39" s="118"/>
      <c r="R39" s="117" t="s">
        <v>24</v>
      </c>
      <c r="S39" s="122"/>
      <c r="T39" s="122"/>
      <c r="U39" s="118"/>
      <c r="V39" s="125"/>
      <c r="W39" s="59"/>
      <c r="X39" s="59"/>
      <c r="Y39" s="59"/>
      <c r="Z39" s="81"/>
      <c r="AA39" s="120"/>
      <c r="AB39" s="120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3"/>
    </row>
    <row r="40" spans="1:44" s="11" customFormat="1">
      <c r="A40" s="114" t="s">
        <v>25</v>
      </c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6"/>
      <c r="M40" s="51">
        <f>SUM(M42:M65536)</f>
        <v>152.08094568050896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-5.8737722877737486E-3</v>
      </c>
      <c r="AB40" s="91">
        <f>SUM(AB42:AB65536)</f>
        <v>1.2779859318712283E-3</v>
      </c>
      <c r="AC40" s="91"/>
      <c r="AD40" s="91">
        <f>SUM(AD42:AD65536)</f>
        <v>-5.8737722877737477E-3</v>
      </c>
      <c r="AE40" s="91">
        <f>SUM(AE42:AE65536)</f>
        <v>1.2779859318712281E-3</v>
      </c>
      <c r="AF40" s="91">
        <f>SUM(AF42:AF65536)</f>
        <v>-2.2204460492503131E-15</v>
      </c>
      <c r="AG40" s="91">
        <f>SUM(AG42:AG65536)</f>
        <v>0</v>
      </c>
      <c r="AH40" s="92"/>
      <c r="AI40" s="93">
        <v>1</v>
      </c>
      <c r="AJ40" s="92">
        <f>AJ44+AF44</f>
        <v>721234.04911893327</v>
      </c>
      <c r="AK40" s="92">
        <f>AK44+AG44</f>
        <v>458838.41386197275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-33.800000000046566</v>
      </c>
      <c r="G41" s="72">
        <f>IF(D42=0,D41-$D$41,D41-D42)</f>
        <v>3564.4399999999441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3564.6002515849664</v>
      </c>
      <c r="N41" s="36">
        <f>IF(F41=0,,ATAN(G41/F41))</f>
        <v>-1.5613140555352039</v>
      </c>
      <c r="O41" s="36">
        <f>ABS(DEGREES(N41))</f>
        <v>89.456705876621413</v>
      </c>
      <c r="P41" s="37" t="str">
        <f>TEXT(INT(O41),"00")</f>
        <v>89</v>
      </c>
      <c r="Q41" s="38" t="str">
        <f>TEXT((O41-P41)*60,"00")</f>
        <v>27</v>
      </c>
      <c r="R41" s="39" t="str">
        <f>IF(L41="",IF(F41&gt;0,"S","N"),"")</f>
        <v>N</v>
      </c>
      <c r="S41" s="25" t="str">
        <f>IF(L41="",IF(INT(Q41)=60,INT(P41+1),P41),"due")</f>
        <v>89</v>
      </c>
      <c r="T41" s="38" t="str">
        <f>IF(L41="",IF(INT(Q41)=60,"00",Q41),L41)</f>
        <v>27</v>
      </c>
      <c r="U41" s="40" t="str">
        <f>IF(L41="",IF(G41&gt;0,"W","E"),"")</f>
        <v>W</v>
      </c>
      <c r="V41" s="41"/>
      <c r="W41" s="22">
        <f>IF(S41="due",90*(I41+K41),S41+T41/60)</f>
        <v>89.45</v>
      </c>
      <c r="X41" s="22">
        <f>IF(R41="",W41,IF(R41="N",IF(U41="E",180+W41,180-W41),IF(U41="E",360-W41,W41)))</f>
        <v>90.55</v>
      </c>
      <c r="Y41" s="22">
        <f>RADIANS(X41)</f>
        <v>1.5803956376808654</v>
      </c>
      <c r="Z41" s="64"/>
      <c r="AA41" s="58">
        <f>-M41*COS(Y41)</f>
        <v>34.217180493076782</v>
      </c>
      <c r="AB41" s="58">
        <f>-M41*SIN(Y41)</f>
        <v>-3564.4360196472471</v>
      </c>
      <c r="AC41" s="64"/>
      <c r="AD41" s="22">
        <v>0</v>
      </c>
      <c r="AE41" s="22">
        <v>0</v>
      </c>
      <c r="AF41" s="22">
        <f t="shared" ref="AF41:AG43" si="0">AA41-AD41</f>
        <v>34.217180493076782</v>
      </c>
      <c r="AG41" s="22">
        <f t="shared" si="0"/>
        <v>-3564.4360196472471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721262.42</v>
      </c>
      <c r="D42" s="60">
        <v>458885.78</v>
      </c>
      <c r="E42" s="79"/>
      <c r="F42" s="72">
        <f>IF(C43=0,C42-$C$42,C42-C43)</f>
        <v>27</v>
      </c>
      <c r="G42" s="72">
        <f>IF(D43=0,D42-$D$42,D42-D43)</f>
        <v>0.70000000001164153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27.00907254979364</v>
      </c>
      <c r="N42" s="36">
        <f>IF(F42=0,,ATAN(G42/F42))</f>
        <v>2.5920119532731843E-2</v>
      </c>
      <c r="O42" s="36">
        <f>ABS(DEGREES(N42))</f>
        <v>1.485113453700142</v>
      </c>
      <c r="P42" s="37" t="str">
        <f>TEXT(INT(O42),"00")</f>
        <v>01</v>
      </c>
      <c r="Q42" s="38" t="str">
        <f>TEXT((O42-P42)*60,"00")</f>
        <v>29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29</v>
      </c>
      <c r="U42" s="40" t="str">
        <f>IF(L42="",IF(G42&gt;0,"W","E"),"")</f>
        <v>W</v>
      </c>
      <c r="V42" s="44"/>
      <c r="W42" s="22">
        <f>IF(S42="due",90*(I42+K42),S42+T42/60)</f>
        <v>1.4833333333333334</v>
      </c>
      <c r="X42" s="22">
        <f>IF(R42="",W42,IF(R42="N",IF(U42="E",180+W42,180-W42),IF(U42="E",360-W42,W42)))</f>
        <v>1.4833333333333334</v>
      </c>
      <c r="Y42" s="22">
        <f>RADIANS(X42)</f>
        <v>2.5889050571249222E-2</v>
      </c>
      <c r="Z42" s="64"/>
      <c r="AA42" s="58">
        <f>-M42*COS(Y42)</f>
        <v>-27.000021735241749</v>
      </c>
      <c r="AB42" s="58">
        <f>-M42*SIN(Y42)</f>
        <v>-0.69916113771389754</v>
      </c>
      <c r="AC42" s="64"/>
      <c r="AD42" s="82">
        <f>$AA$40/$M$40*M42</f>
        <v>-1.0431625155378084E-3</v>
      </c>
      <c r="AE42" s="82">
        <f>$AB$40/$M$40*M42</f>
        <v>2.2696607123971508E-4</v>
      </c>
      <c r="AF42" s="22">
        <f t="shared" si="0"/>
        <v>-26.998978572726212</v>
      </c>
      <c r="AG42" s="22">
        <f t="shared" si="0"/>
        <v>-0.69938810378513727</v>
      </c>
      <c r="AH42" s="63"/>
      <c r="AI42" s="38">
        <f>A42</f>
        <v>1</v>
      </c>
      <c r="AJ42" s="82">
        <f t="shared" ref="AJ42:AK44" si="1">AJ41+AF41</f>
        <v>721262.83718049305</v>
      </c>
      <c r="AK42" s="82">
        <f t="shared" si="1"/>
        <v>458885.78398035275</v>
      </c>
      <c r="AL42" s="66"/>
      <c r="AM42" s="9" t="str">
        <f>IF(A43=0,A42&amp;" - 1",A42&amp;" - "&amp;A43)</f>
        <v>1 - 2</v>
      </c>
      <c r="AN42" s="18">
        <f>F42</f>
        <v>27</v>
      </c>
      <c r="AO42" s="18">
        <f>AN42*G42</f>
        <v>18.900000000314321</v>
      </c>
      <c r="AP42" s="9" t="str">
        <f>D42&amp;","&amp;C42</f>
        <v>458885.78,721262.42</v>
      </c>
    </row>
    <row r="43" spans="1:44">
      <c r="A43" s="20">
        <f>A42+1</f>
        <v>2</v>
      </c>
      <c r="B43" s="44"/>
      <c r="C43" s="60">
        <v>721235.42</v>
      </c>
      <c r="D43" s="60">
        <v>458885.08</v>
      </c>
      <c r="E43" s="79"/>
      <c r="F43" s="72">
        <f>IF(C44=0,C43-$C$42,C43-C44)</f>
        <v>2.9200000000419095</v>
      </c>
      <c r="G43" s="72">
        <f>IF(D44=0,D43-$D$42,D43-D44)</f>
        <v>3.0800000000162981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4.2441489135449935</v>
      </c>
      <c r="N43" s="36">
        <f>IF(F43=0,,ATAN(G43/F43))</f>
        <v>0.8120585117675222</v>
      </c>
      <c r="O43" s="36">
        <f>ABS(DEGREES(N43))</f>
        <v>46.527525441953721</v>
      </c>
      <c r="P43" s="37" t="str">
        <f>TEXT(INT(O43),"00")</f>
        <v>46</v>
      </c>
      <c r="Q43" s="38" t="str">
        <f>TEXT((O43-P43)*60,"00")</f>
        <v>32</v>
      </c>
      <c r="R43" s="39" t="str">
        <f>IF(L43="",IF(F43&gt;0,"S","N"),"")</f>
        <v>S</v>
      </c>
      <c r="S43" s="25" t="str">
        <f>IF(L43="",IF(INT(Q43)=60,INT(P43+1),P43),"due")</f>
        <v>46</v>
      </c>
      <c r="T43" s="38" t="str">
        <f>IF(L43="",IF(INT(Q43)=60,"00",Q43),L43)</f>
        <v>32</v>
      </c>
      <c r="U43" s="40" t="str">
        <f>IF(L43="",IF(G43&gt;0,"W","E"),"")</f>
        <v>W</v>
      </c>
      <c r="V43" s="44"/>
      <c r="W43" s="22">
        <f>IF(S43="due",90*(I43+K43),S43+T43/60)</f>
        <v>46.533333333333331</v>
      </c>
      <c r="X43" s="22">
        <f>IF(R43="",W43,IF(R43="N",IF(U43="E",180+W43,180-W43),IF(U43="E",360-W43,W43)))</f>
        <v>46.533333333333331</v>
      </c>
      <c r="Y43" s="22">
        <f>RADIANS(X43)</f>
        <v>0.81215987859469463</v>
      </c>
      <c r="Z43" s="64"/>
      <c r="AA43" s="58">
        <f>-M43*COS(Y43)</f>
        <v>-2.9196877752129105</v>
      </c>
      <c r="AB43" s="58">
        <f>-M43*SIN(Y43)</f>
        <v>-3.0802959753272789</v>
      </c>
      <c r="AC43" s="64"/>
      <c r="AD43" s="82">
        <f>$AA$40/$M$40*M43</f>
        <v>-1.6392036597363572E-4</v>
      </c>
      <c r="AE43" s="82">
        <f>$AB$40/$M$40*M43</f>
        <v>3.5664971571597788E-5</v>
      </c>
      <c r="AF43" s="22">
        <f t="shared" si="0"/>
        <v>-2.9195238548469367</v>
      </c>
      <c r="AG43" s="22">
        <f t="shared" si="0"/>
        <v>-3.0803316402988505</v>
      </c>
      <c r="AH43" s="64"/>
      <c r="AI43" s="25">
        <f>A43</f>
        <v>2</v>
      </c>
      <c r="AJ43" s="82">
        <f t="shared" si="1"/>
        <v>721235.83820192027</v>
      </c>
      <c r="AK43" s="82">
        <f t="shared" si="1"/>
        <v>458885.08459224895</v>
      </c>
      <c r="AL43" s="66"/>
      <c r="AM43" s="9" t="str">
        <f>IF(A44=0,A43&amp;" - 1",A43&amp;" - "&amp;A44)</f>
        <v>2 - 3</v>
      </c>
      <c r="AN43" s="18">
        <f>AN42+F42+F43</f>
        <v>56.92000000004191</v>
      </c>
      <c r="AO43" s="18">
        <f>AN43*G43</f>
        <v>175.31360000105678</v>
      </c>
      <c r="AP43" s="9" t="str">
        <f>D43&amp;","&amp;C43</f>
        <v>458885.08,721235.42</v>
      </c>
    </row>
    <row r="44" spans="1:44" s="46" customFormat="1">
      <c r="A44" s="20">
        <f>A43+1</f>
        <v>3</v>
      </c>
      <c r="B44" s="44"/>
      <c r="C44" s="60">
        <v>721232.5</v>
      </c>
      <c r="D44" s="60">
        <v>458882</v>
      </c>
      <c r="E44" s="79"/>
      <c r="F44" s="72">
        <f>IF(C45=0,C44-$C$42,C44-C45)</f>
        <v>-1.1300000000046566</v>
      </c>
      <c r="G44" s="72">
        <f>IF(D45=0,D44-$D$42,D44-D45)</f>
        <v>43.590000000025611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43.60464424808719</v>
      </c>
      <c r="N44" s="22">
        <f>IF(F44=0,,ATAN(G44/F44))</f>
        <v>-1.5448787545551141</v>
      </c>
      <c r="O44" s="22">
        <f>ABS(DEGREES(N44))</f>
        <v>88.515032495435037</v>
      </c>
      <c r="P44" s="24" t="str">
        <f>TEXT(INT(O44),"00")</f>
        <v>88</v>
      </c>
      <c r="Q44" s="25" t="str">
        <f>TEXT((O44-P44)*60,"00")</f>
        <v>31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31</v>
      </c>
      <c r="U44" s="24" t="str">
        <f>IF(L44="",IF(G44&gt;0,"W","E"),"")</f>
        <v>W</v>
      </c>
      <c r="V44" s="44"/>
      <c r="W44" s="22">
        <f>IF(S44="due",90*(I44+K44),S44+T44/60)</f>
        <v>88.516666666666666</v>
      </c>
      <c r="X44" s="22">
        <f>IF(R44="",W44,IF(R44="N",IF(U44="E",180+W44,180-W44),IF(U44="E",360-W44,W44)))</f>
        <v>91.483333333333334</v>
      </c>
      <c r="Y44" s="22">
        <f>RADIANS(X44)</f>
        <v>1.5966853773661458</v>
      </c>
      <c r="Z44" s="64"/>
      <c r="AA44" s="58">
        <f>-M44*COS(Y44)</f>
        <v>1.1287567400138396</v>
      </c>
      <c r="AB44" s="58">
        <f>-M44*SIN(Y44)</f>
        <v>-43.590032211781129</v>
      </c>
      <c r="AC44" s="64"/>
      <c r="AD44" s="82">
        <f>$AA$40/$M$40*M44</f>
        <v>-1.6841278166477953E-3</v>
      </c>
      <c r="AE44" s="82">
        <f>$AB$40/$M$40*M44</f>
        <v>3.6642408859275717E-4</v>
      </c>
      <c r="AF44" s="22">
        <f>AA44-AD44</f>
        <v>1.1304408678304874</v>
      </c>
      <c r="AG44" s="22">
        <f>AB44-AE44</f>
        <v>-43.590398635869718</v>
      </c>
      <c r="AH44" s="64"/>
      <c r="AI44" s="25">
        <f>A44</f>
        <v>3</v>
      </c>
      <c r="AJ44" s="82">
        <f t="shared" si="1"/>
        <v>721232.91867806541</v>
      </c>
      <c r="AK44" s="82">
        <f t="shared" si="1"/>
        <v>458882.00426060864</v>
      </c>
      <c r="AL44" s="66"/>
      <c r="AM44" s="9" t="str">
        <f>IF(A45=0,A44&amp;" - 1",A44&amp;" - "&amp;A45)</f>
        <v>3 - 4</v>
      </c>
      <c r="AN44" s="18">
        <f>AN43+F43+F44</f>
        <v>58.710000000079162</v>
      </c>
      <c r="AO44" s="18">
        <f>AN44*G44</f>
        <v>2559.1689000049541</v>
      </c>
      <c r="AP44" s="9" t="str">
        <f>D44&amp;","&amp;C44</f>
        <v>458882,721232.5</v>
      </c>
    </row>
    <row r="45" spans="1:44" s="46" customFormat="1">
      <c r="A45" s="20">
        <f t="shared" ref="A45:A46" si="2">A44+1</f>
        <v>4</v>
      </c>
      <c r="B45" s="44"/>
      <c r="C45" s="60">
        <v>721233.63</v>
      </c>
      <c r="D45" s="60">
        <v>458838.41</v>
      </c>
      <c r="E45" s="79"/>
      <c r="F45" s="72">
        <f t="shared" ref="F45:F46" si="3">IF(C46=0,C45-$C$42,C45-C46)</f>
        <v>-29.900000000023283</v>
      </c>
      <c r="G45" s="72">
        <f t="shared" ref="G45:G46" si="4">IF(D46=0,D45-$D$42,D45-D46)</f>
        <v>-5.9999999997671694E-2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29.900060200631568</v>
      </c>
      <c r="N45" s="22">
        <f t="shared" ref="N45:N46" si="11">IF(F45=0,,ATAN(G45/F45))</f>
        <v>2.0066862696256744E-3</v>
      </c>
      <c r="O45" s="22">
        <f t="shared" ref="O45:O46" si="12">ABS(DEGREES(N45))</f>
        <v>0.11497465405640231</v>
      </c>
      <c r="P45" s="24" t="str">
        <f t="shared" ref="P45:P46" si="13">TEXT(INT(O45),"00")</f>
        <v>00</v>
      </c>
      <c r="Q45" s="25" t="str">
        <f t="shared" ref="Q45:Q46" si="14">TEXT((O45-P45)*60,"00")</f>
        <v>07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00</v>
      </c>
      <c r="T45" s="25" t="str">
        <f t="shared" ref="T45:T46" si="17">IF(L45="",IF(INT(Q45)=60,"00",Q45),L45)</f>
        <v>07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0.11666666666666667</v>
      </c>
      <c r="X45" s="22">
        <f t="shared" ref="X45:X46" si="20">IF(R45="",W45,IF(R45="N",IF(U45="E",180+W45,180-W45),IF(U45="E",360-W45,W45)))</f>
        <v>180.11666666666667</v>
      </c>
      <c r="Y45" s="22">
        <f t="shared" ref="Y45:Y46" si="21">RADIANS(X45)</f>
        <v>3.1436288710504532</v>
      </c>
      <c r="Z45" s="64"/>
      <c r="AA45" s="58">
        <f t="shared" ref="AA45:AA46" si="22">-M45*COS(Y45)</f>
        <v>29.899998215114053</v>
      </c>
      <c r="AB45" s="58">
        <f t="shared" ref="AB45:AB46" si="23">-M45*SIN(Y45)</f>
        <v>6.0882982583306142E-2</v>
      </c>
      <c r="AC45" s="64"/>
      <c r="AD45" s="82">
        <f t="shared" ref="AD45:AD46" si="24">$AA$40/$M$40*M45</f>
        <v>-1.1548201796311233E-3</v>
      </c>
      <c r="AE45" s="82">
        <f t="shared" ref="AE45:AE46" si="25">$AB$40/$M$40*M45</f>
        <v>2.5125998610493435E-4</v>
      </c>
      <c r="AF45" s="22">
        <f t="shared" ref="AF45:AF46" si="26">AA45-AD45</f>
        <v>29.901153035293685</v>
      </c>
      <c r="AG45" s="22">
        <f t="shared" ref="AG45:AG46" si="27">AB45-AE45</f>
        <v>6.0631722597201204E-2</v>
      </c>
      <c r="AH45" s="64"/>
      <c r="AI45" s="25">
        <f t="shared" ref="AI45:AI46" si="28">A45</f>
        <v>4</v>
      </c>
      <c r="AJ45" s="82">
        <f t="shared" ref="AJ45:AJ46" si="29">AJ44+AF44</f>
        <v>721234.04911893327</v>
      </c>
      <c r="AK45" s="82">
        <f t="shared" ref="AK45:AK46" si="30">AK44+AG44</f>
        <v>458838.41386197275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27.680000000051223</v>
      </c>
      <c r="AO45" s="18">
        <f t="shared" ref="AO45:AO46" si="33">AN45*G45</f>
        <v>-1.6607999999386258</v>
      </c>
      <c r="AP45" s="9" t="str">
        <f t="shared" ref="AP45:AP46" si="34">D45&amp;","&amp;C45</f>
        <v>458838.41,721233.63</v>
      </c>
    </row>
    <row r="46" spans="1:44" s="46" customFormat="1">
      <c r="A46" s="20">
        <f t="shared" si="2"/>
        <v>5</v>
      </c>
      <c r="B46" s="44"/>
      <c r="C46" s="60">
        <v>721263.53</v>
      </c>
      <c r="D46" s="60">
        <v>458838.47</v>
      </c>
      <c r="E46" s="79"/>
      <c r="F46" s="72">
        <f t="shared" si="3"/>
        <v>1.1099999999860302</v>
      </c>
      <c r="G46" s="72">
        <f t="shared" si="4"/>
        <v>-47.310000000055879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47.323019768451552</v>
      </c>
      <c r="N46" s="22">
        <f t="shared" si="11"/>
        <v>-1.5473383603961275</v>
      </c>
      <c r="O46" s="22">
        <f t="shared" si="12"/>
        <v>88.655957529390832</v>
      </c>
      <c r="P46" s="24" t="str">
        <f t="shared" si="13"/>
        <v>88</v>
      </c>
      <c r="Q46" s="25" t="str">
        <f t="shared" si="14"/>
        <v>39</v>
      </c>
      <c r="R46" s="23" t="str">
        <f t="shared" si="15"/>
        <v>S</v>
      </c>
      <c r="S46" s="25" t="str">
        <f t="shared" si="16"/>
        <v>88</v>
      </c>
      <c r="T46" s="25" t="str">
        <f t="shared" si="17"/>
        <v>39</v>
      </c>
      <c r="U46" s="24" t="str">
        <f t="shared" si="18"/>
        <v>E</v>
      </c>
      <c r="V46" s="44"/>
      <c r="W46" s="22">
        <f t="shared" si="19"/>
        <v>88.65</v>
      </c>
      <c r="X46" s="22">
        <f t="shared" si="20"/>
        <v>271.35000000000002</v>
      </c>
      <c r="Y46" s="22">
        <f t="shared" si="21"/>
        <v>4.7359509252866134</v>
      </c>
      <c r="Z46" s="64"/>
      <c r="AA46" s="58">
        <f t="shared" si="22"/>
        <v>-1.1149192169610089</v>
      </c>
      <c r="AB46" s="58">
        <f t="shared" si="23"/>
        <v>47.309884328170867</v>
      </c>
      <c r="AC46" s="64"/>
      <c r="AD46" s="82">
        <f t="shared" si="24"/>
        <v>-1.8277414099833846E-3</v>
      </c>
      <c r="AE46" s="82">
        <f t="shared" si="25"/>
        <v>3.9767081436222374E-4</v>
      </c>
      <c r="AF46" s="22">
        <f t="shared" si="26"/>
        <v>-1.1130914755510255</v>
      </c>
      <c r="AG46" s="22">
        <f t="shared" si="27"/>
        <v>47.309486657356501</v>
      </c>
      <c r="AH46" s="64"/>
      <c r="AI46" s="25">
        <f t="shared" si="28"/>
        <v>5</v>
      </c>
      <c r="AJ46" s="82">
        <f t="shared" si="29"/>
        <v>721263.95027196861</v>
      </c>
      <c r="AK46" s="82">
        <f t="shared" si="30"/>
        <v>458838.47449369536</v>
      </c>
      <c r="AL46" s="66"/>
      <c r="AM46" s="9" t="str">
        <f t="shared" si="31"/>
        <v>5 - 1</v>
      </c>
      <c r="AN46" s="18">
        <f t="shared" si="32"/>
        <v>-1.1099999999860302</v>
      </c>
      <c r="AO46" s="18">
        <f t="shared" si="33"/>
        <v>52.514099999401111</v>
      </c>
      <c r="AP46" s="9" t="str">
        <f t="shared" si="34"/>
        <v>458838.47,721263.53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2105</vt:lpstr>
      <vt:lpstr>2106</vt:lpstr>
      <vt:lpstr>2107</vt:lpstr>
      <vt:lpstr>2108</vt:lpstr>
      <vt:lpstr>2109</vt:lpstr>
      <vt:lpstr>2110</vt:lpstr>
      <vt:lpstr>2111</vt:lpstr>
      <vt:lpstr>2112</vt:lpstr>
      <vt:lpstr>2113</vt:lpstr>
      <vt:lpstr>2114</vt:lpstr>
      <vt:lpstr>Sheet1</vt:lpstr>
      <vt:lpstr>'2105'!Print_Area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2007-04-10T09:22:11Z</dcterms:modified>
</cp:coreProperties>
</file>