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4"/>
  </bookViews>
  <sheets>
    <sheet name="2115" sheetId="2" r:id="rId1"/>
    <sheet name="2116" sheetId="4" r:id="rId2"/>
    <sheet name="2117" sheetId="5" r:id="rId3"/>
    <sheet name="2118" sheetId="6" r:id="rId4"/>
    <sheet name="2119" sheetId="7" r:id="rId5"/>
    <sheet name="2120" sheetId="8" r:id="rId6"/>
    <sheet name="2121" sheetId="9" r:id="rId7"/>
    <sheet name="2122" sheetId="10" r:id="rId8"/>
    <sheet name="2123" sheetId="11" r:id="rId9"/>
    <sheet name="2124" sheetId="3" r:id="rId10"/>
  </sheets>
  <definedNames>
    <definedName name="_xlnm.Print_Area" localSheetId="0">'2115'!$A$1:$AJ$43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AM46"/>
  <c r="AI46"/>
  <c r="AM45"/>
  <c r="P45"/>
  <c r="Q45" s="1"/>
  <c r="I45"/>
  <c r="P46"/>
  <c r="Q46" s="1"/>
  <c r="I46"/>
  <c r="C28"/>
  <c r="C29" s="1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L46"/>
  <c r="L45"/>
  <c r="M40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6" i="3" l="1"/>
  <c r="AA46"/>
  <c r="AB45"/>
  <c r="AA45"/>
  <c r="AB45" i="11"/>
  <c r="AA45"/>
  <c r="AB46" i="10"/>
  <c r="AA46"/>
  <c r="AB45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D46"/>
  <c r="AF46" s="1"/>
  <c r="AD45"/>
  <c r="AF45" s="1"/>
  <c r="AE42"/>
  <c r="AE43"/>
  <c r="AG43" s="1"/>
  <c r="AE44"/>
  <c r="AG44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0"/>
  <c r="AK45"/>
  <c r="AK40"/>
  <c r="AJ40" i="10"/>
  <c r="AJ45"/>
  <c r="AJ46" s="1"/>
  <c r="AK40"/>
  <c r="AK45"/>
  <c r="AK46" s="1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<sst xmlns="http://schemas.openxmlformats.org/spreadsheetml/2006/main" count="929" uniqueCount="115">
  <si>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</si>
  <si>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</si>
  <si>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</si>
  <si>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</si>
  <si>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</si>
  <si>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</si>
  <si>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</si>
  <si>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</si>
  <si>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</si>
  <si>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</si>
  <si>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</si>
  <si>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</si>
  <si>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</si>
  <si>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</si>
  <si>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</si>
  <si>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</si>
  <si>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</si>
  <si>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</si>
  <si>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</si>
  <si>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</si>
  <si>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</si>
  <si>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</si>
  <si>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</si>
  <si>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</si>
  <si>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</si>
  <si>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</si>
  <si>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</si>
  <si>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</si>
  <si>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</si>
  <si>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</si>
  <si>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</si>
  <si>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</si>
  <si>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</si>
  <si>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</si>
  <si>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</si>
  <si>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</si>
  <si>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</si>
  <si>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</si>
  <si>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</si>
  <si>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</si>
  <si>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</si>
  <si>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</si>
  <si>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</si>
  <si>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</si>
  <si>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</si>
  <si>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</si>
  <si>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</si>
  <si>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</si>
  <si>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</si>
  <si>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</si>
  <si>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</si>
  <si>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</si>
  <si>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</si>
  <si>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</si>
  <si>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</si>
  <si>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</si>
  <si>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</si>
  <si>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2115</t>
  </si>
  <si>
    <t>Tariaga, Rodrigo</t>
  </si>
  <si>
    <t>409</t>
  </si>
  <si>
    <t>6 31 N. 124 37 E.</t>
  </si>
  <si>
    <t>Lapuz (Bo.6 )</t>
  </si>
  <si>
    <t>Norala</t>
  </si>
  <si>
    <t>South Cotabato</t>
  </si>
  <si>
    <t>Mindanao</t>
  </si>
  <si>
    <t>E.E. Orodio</t>
  </si>
  <si>
    <t>September 4-15, 1978</t>
  </si>
  <si>
    <t>694.31</t>
  </si>
  <si>
    <t>BLLM 1</t>
  </si>
  <si>
    <t>2116</t>
  </si>
  <si>
    <t>Tariaga,Rodrigo</t>
  </si>
  <si>
    <t>Cad-409</t>
  </si>
  <si>
    <t>6 31 N. 124 32 E.</t>
  </si>
  <si>
    <t>Lapuz (Bo.6)</t>
  </si>
  <si>
    <t>1,386.53</t>
  </si>
  <si>
    <t>2117</t>
  </si>
  <si>
    <t>Parino,Adriano</t>
  </si>
  <si>
    <t>6 31  N. 124 37 E.</t>
  </si>
  <si>
    <t>Lapuz, ( Bo.6 )</t>
  </si>
  <si>
    <t>1,384.79</t>
  </si>
  <si>
    <t>2118</t>
  </si>
  <si>
    <t>Bernales,Emelita</t>
  </si>
  <si>
    <t>Lapuz ( Bo.6 )</t>
  </si>
  <si>
    <t>1,382.21</t>
  </si>
  <si>
    <t>2119</t>
  </si>
  <si>
    <t>Tanco, Manuel</t>
  </si>
  <si>
    <t>409 C-3</t>
  </si>
  <si>
    <t>6 31 N. 124 37 E</t>
  </si>
  <si>
    <t>Lapuz (Bo. 6)</t>
  </si>
  <si>
    <t>South, Cotabato</t>
  </si>
  <si>
    <t>1,380.00</t>
  </si>
  <si>
    <t>2120</t>
  </si>
  <si>
    <t>Formancio, Cornelina</t>
  </si>
  <si>
    <t>6 31 124 37</t>
  </si>
  <si>
    <t>September 4-15,1978</t>
  </si>
  <si>
    <t>1378.04</t>
  </si>
  <si>
    <t>2121</t>
  </si>
  <si>
    <t>Formancion, Romeo</t>
  </si>
  <si>
    <t xml:space="preserve">6 31 124 37 </t>
  </si>
  <si>
    <t>Cotabato</t>
  </si>
  <si>
    <t>1,419.25</t>
  </si>
  <si>
    <t>2122</t>
  </si>
  <si>
    <t>Alape, Lucia</t>
  </si>
  <si>
    <t xml:space="preserve"> Lapuz (Bo. 6)</t>
  </si>
  <si>
    <t>BLLM1</t>
  </si>
  <si>
    <t>1,544.80</t>
  </si>
  <si>
    <t>2123</t>
  </si>
  <si>
    <t>Botavara, Serapio</t>
  </si>
  <si>
    <t>1,571.47</t>
  </si>
  <si>
    <t xml:space="preserve">BBLM1 </t>
  </si>
  <si>
    <t>2124</t>
  </si>
  <si>
    <t>Buenavidez, Felicito</t>
  </si>
  <si>
    <t>September 9-14, 1978</t>
  </si>
  <si>
    <t>1,537.15</t>
  </si>
  <si>
    <t>BBLM1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</si>
</sst>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19" workbookViewId="0">
      <selection activeCell="T28" sqref="T2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1" t="s">
        <v>57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1" t="s">
        <v>58</v>
      </c>
      <c r="D8" s="112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1" t="s">
        <v>59</v>
      </c>
      <c r="D9" s="112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1" t="s">
        <v>60</v>
      </c>
      <c r="D10" s="112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1" t="s">
        <v>61</v>
      </c>
      <c r="D11" s="112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1" t="s">
        <v>62</v>
      </c>
      <c r="D12" s="112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1" t="s">
        <v>63</v>
      </c>
      <c r="D13" s="112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1" t="s">
        <v>64</v>
      </c>
      <c r="D14" s="112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1" t="s">
        <v>65</v>
      </c>
      <c r="D15" s="112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1" t="s">
        <v>66</v>
      </c>
      <c r="D16" s="112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1" t="s">
        <v>67</v>
      </c>
      <c r="D19" s="112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4" t="s">
        <v>16</v>
      </c>
      <c r="B28" s="114"/>
      <c r="C28" s="33">
        <f>ABS(SUM(AO42:AO65536))</f>
        <v>1389.0930000048415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8" t="s">
        <v>17</v>
      </c>
      <c r="B29" s="118"/>
      <c r="C29" s="32">
        <f>ABS(C28/2)</f>
        <v>694.54650000242077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8">
        <f>SQRT(AA40^2+AB40^2)</f>
        <v>1.7856316922777852E-3</v>
      </c>
      <c r="C32" s="118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2">
        <f>M40/B32</f>
        <v>69396.723903633232</v>
      </c>
      <c r="C33" s="12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8" t="str">
        <f>"1 : "&amp;TEXT(B35,"00")</f>
        <v>1 : 69000</v>
      </c>
      <c r="C34" s="118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1">
        <f>ROUND(B33,2-LEN(INT(B33)))</f>
        <v>69000</v>
      </c>
      <c r="C35" s="121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7" t="s">
        <v>7</v>
      </c>
      <c r="D38" s="12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8" t="s">
        <v>8</v>
      </c>
      <c r="N38" s="128"/>
      <c r="O38" s="128"/>
      <c r="P38" s="128"/>
      <c r="Q38" s="128"/>
      <c r="R38" s="128"/>
      <c r="S38" s="128"/>
      <c r="T38" s="128"/>
      <c r="U38" s="128"/>
      <c r="V38" s="129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5" t="s">
        <v>55</v>
      </c>
      <c r="AK38" s="117"/>
      <c r="AL38" s="65"/>
      <c r="AM38" s="115" t="s">
        <v>18</v>
      </c>
      <c r="AN38" s="116"/>
      <c r="AO38" s="117"/>
      <c r="AP38" s="12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5" t="s">
        <v>21</v>
      </c>
      <c r="O39" s="116"/>
      <c r="P39" s="116"/>
      <c r="Q39" s="117"/>
      <c r="R39" s="115" t="s">
        <v>24</v>
      </c>
      <c r="S39" s="116"/>
      <c r="T39" s="116"/>
      <c r="U39" s="117"/>
      <c r="V39" s="130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3"/>
    </row>
    <row r="40" spans="1:44" s="11" customFormat="1">
      <c r="A40" s="124" t="s">
        <v>25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51">
        <f>SUM(M42:M65536)</f>
        <v>123.91698954257885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9.8424794309548425E-4</v>
      </c>
      <c r="AB40" s="91">
        <f>SUM(AB42:AB65536)</f>
        <v>-1.4898780241949794E-3</v>
      </c>
      <c r="AC40" s="91"/>
      <c r="AD40" s="91">
        <f>SUM(AD42:AD65536)</f>
        <v>9.8424794309548425E-4</v>
      </c>
      <c r="AE40" s="91">
        <f>SUM(AE42:AE65536)</f>
        <v>-1.4898780241949794E-3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721292.97460719792</v>
      </c>
      <c r="AK40" s="92">
        <f>AK44+AG44</f>
        <v>458839.31076616654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-63.17000000004191</v>
      </c>
      <c r="G41" s="72">
        <f>IF(D42=0,D41-$D$41,D41-D42)</f>
        <v>3563.679999999993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3564.2398335830258</v>
      </c>
      <c r="N41" s="36">
        <f>IF(F41=0,,ATAN(G41/F41))</f>
        <v>-1.5530721245753967</v>
      </c>
      <c r="O41" s="36">
        <f>ABS(DEGREES(N41))</f>
        <v>88.984478017586255</v>
      </c>
      <c r="P41" s="37" t="str">
        <f>TEXT(INT(O41),"00")</f>
        <v>88</v>
      </c>
      <c r="Q41" s="38" t="str">
        <f>TEXT((O41-P41)*60,"00")</f>
        <v>59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88.983333333333334</v>
      </c>
      <c r="X41" s="22">
        <f>IF(R41="",W41,IF(R41="N",IF(U41="E",180+W41,180-W41),IF(U41="E",360-W41,W41)))</f>
        <v>91.016666666666666</v>
      </c>
      <c r="Y41" s="22">
        <f>RADIANS(X41)</f>
        <v>1.5885405075235055</v>
      </c>
      <c r="Z41" s="64"/>
      <c r="AA41" s="58">
        <f>-M41*COS(Y41)</f>
        <v>63.24119700077167</v>
      </c>
      <c r="AB41" s="58">
        <f>-M41*SIN(Y41)</f>
        <v>-3563.6787372463673</v>
      </c>
      <c r="AC41" s="64"/>
      <c r="AD41" s="22">
        <v>0</v>
      </c>
      <c r="AE41" s="22">
        <v>0</v>
      </c>
      <c r="AF41" s="22">
        <f t="shared" ref="AF41:AG43" si="0">AA41-AD41</f>
        <v>63.24119700077167</v>
      </c>
      <c r="AG41" s="22">
        <f t="shared" si="0"/>
        <v>-3563.6787372463673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721291.79</v>
      </c>
      <c r="D42" s="60">
        <v>458886.54</v>
      </c>
      <c r="E42" s="79"/>
      <c r="F42" s="72">
        <f>IF(C43=0,C42-$C$42,C42-C43)</f>
        <v>14.690000000060536</v>
      </c>
      <c r="G42" s="72">
        <f>IF(D43=0,D42-$D$42,D42-D43)</f>
        <v>0.38000000000465661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14.694914086233444</v>
      </c>
      <c r="N42" s="36">
        <f>IF(F42=0,,ATAN(G42/F42))</f>
        <v>2.5862169842984856E-2</v>
      </c>
      <c r="O42" s="36">
        <f>ABS(DEGREES(N42))</f>
        <v>1.4817931810535472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-14.689989780076493</v>
      </c>
      <c r="AB42" s="58">
        <f>-M42*SIN(Y42)</f>
        <v>-0.38039487776552522</v>
      </c>
      <c r="AC42" s="64"/>
      <c r="AD42" s="82">
        <f>$AA$40/$M$40*M42</f>
        <v>1.1671877291991809E-4</v>
      </c>
      <c r="AE42" s="82">
        <f>$AB$40/$M$40*M42</f>
        <v>-1.7667980512865535E-4</v>
      </c>
      <c r="AF42" s="22">
        <f t="shared" si="0"/>
        <v>-14.690106498849413</v>
      </c>
      <c r="AG42" s="22">
        <f t="shared" si="0"/>
        <v>-0.38021819796039658</v>
      </c>
      <c r="AH42" s="63"/>
      <c r="AI42" s="38">
        <f>A42</f>
        <v>1</v>
      </c>
      <c r="AJ42" s="82">
        <f t="shared" ref="AJ42:AK44" si="1">AJ41+AF41</f>
        <v>721291.86119700072</v>
      </c>
      <c r="AK42" s="82">
        <f t="shared" si="1"/>
        <v>458886.5412627536</v>
      </c>
      <c r="AL42" s="66"/>
      <c r="AM42" s="9" t="str">
        <f>IF(A43=0,A42&amp;" - 1",A42&amp;" - "&amp;A43)</f>
        <v>1 - 2</v>
      </c>
      <c r="AN42" s="18">
        <f>F42</f>
        <v>14.690000000060536</v>
      </c>
      <c r="AO42" s="18">
        <f>AN42*G42</f>
        <v>5.5822000000914089</v>
      </c>
      <c r="AP42" s="9" t="str">
        <f>D42&amp;","&amp;C42</f>
        <v>458886.54,721291.79</v>
      </c>
    </row>
    <row r="43" spans="1:44">
      <c r="A43" s="20">
        <f>A42+1</f>
        <v>2</v>
      </c>
      <c r="B43" s="44"/>
      <c r="C43" s="60">
        <v>721277.1</v>
      </c>
      <c r="D43" s="60">
        <v>458886.16</v>
      </c>
      <c r="E43" s="79"/>
      <c r="F43" s="72">
        <f>IF(C44=0,C43-$C$42,C43-C44)</f>
        <v>-1.1099999999860302</v>
      </c>
      <c r="G43" s="72">
        <f>IF(D44=0,D43-$D$42,D43-D44)</f>
        <v>47.269999999960419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47.283030782683831</v>
      </c>
      <c r="N43" s="36">
        <f>IF(F43=0,,ATAN(G43/F43))</f>
        <v>-1.5473185174928838</v>
      </c>
      <c r="O43" s="36">
        <f>ABS(DEGREES(N43))</f>
        <v>88.654820614781684</v>
      </c>
      <c r="P43" s="37" t="str">
        <f>TEXT(INT(O43),"00")</f>
        <v>88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88.65</v>
      </c>
      <c r="X43" s="22">
        <f>IF(R43="",W43,IF(R43="N",IF(U43="E",180+W43,180-W43),IF(U43="E",360-W43,W43)))</f>
        <v>91.35</v>
      </c>
      <c r="Y43" s="22">
        <f>RADIANS(X43)</f>
        <v>1.5943582716968199</v>
      </c>
      <c r="Z43" s="64"/>
      <c r="AA43" s="58">
        <f>-M43*COS(Y43)</f>
        <v>1.1139770858603717</v>
      </c>
      <c r="AB43" s="58">
        <f>-M43*SIN(Y43)</f>
        <v>-47.269906442137206</v>
      </c>
      <c r="AC43" s="64"/>
      <c r="AD43" s="82">
        <f>$AA$40/$M$40*M43</f>
        <v>3.7555968687559289E-4</v>
      </c>
      <c r="AE43" s="82">
        <f>$AB$40/$M$40*M43</f>
        <v>-5.6849305926891963E-4</v>
      </c>
      <c r="AF43" s="22">
        <f t="shared" si="0"/>
        <v>1.1136015261734962</v>
      </c>
      <c r="AG43" s="22">
        <f t="shared" si="0"/>
        <v>-47.269337949077936</v>
      </c>
      <c r="AH43" s="64"/>
      <c r="AI43" s="25">
        <f>A43</f>
        <v>2</v>
      </c>
      <c r="AJ43" s="82">
        <f t="shared" si="1"/>
        <v>721277.17109050183</v>
      </c>
      <c r="AK43" s="82">
        <f t="shared" si="1"/>
        <v>458886.16104455566</v>
      </c>
      <c r="AL43" s="66"/>
      <c r="AM43" s="9" t="str">
        <f>IF(A44=0,A43&amp;" - 1",A43&amp;" - "&amp;A44)</f>
        <v>2 - 3</v>
      </c>
      <c r="AN43" s="18">
        <f>AN42+F42+F43</f>
        <v>28.270000000135042</v>
      </c>
      <c r="AO43" s="18">
        <f>AN43*G43</f>
        <v>1336.3229000052645</v>
      </c>
      <c r="AP43" s="9" t="str">
        <f>D43&amp;","&amp;C43</f>
        <v>458886.16,721277.1</v>
      </c>
    </row>
    <row r="44" spans="1:44" s="46" customFormat="1">
      <c r="A44" s="20">
        <f>A43+1</f>
        <v>3</v>
      </c>
      <c r="B44" s="44"/>
      <c r="C44" s="60">
        <v>721278.21</v>
      </c>
      <c r="D44" s="60">
        <v>458838.89</v>
      </c>
      <c r="E44" s="79"/>
      <c r="F44" s="72">
        <f>IF(C45=0,C44-$C$42,C44-C45)</f>
        <v>-14.690000000060536</v>
      </c>
      <c r="G44" s="72">
        <f>IF(D45=0,D44-$D$42,D44-D45)</f>
        <v>-0.41999999998370185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14.696002857980289</v>
      </c>
      <c r="N44" s="22">
        <f>IF(F44=0,,ATAN(G44/F44))</f>
        <v>2.8583091539457137E-2</v>
      </c>
      <c r="O44" s="22">
        <f>ABS(DEGREES(N44))</f>
        <v>1.6376905106469848</v>
      </c>
      <c r="P44" s="24" t="str">
        <f>TEXT(INT(O44),"00")</f>
        <v>01</v>
      </c>
      <c r="Q44" s="25" t="str">
        <f>TEXT((O44-P44)*60,"00")</f>
        <v>38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38</v>
      </c>
      <c r="U44" s="24" t="str">
        <f>IF(L44="",IF(G44&gt;0,"W","E"),"")</f>
        <v>E</v>
      </c>
      <c r="V44" s="44"/>
      <c r="W44" s="22">
        <f>IF(S44="due",90*(I44+K44),S44+T44/60)</f>
        <v>1.6333333333333333</v>
      </c>
      <c r="X44" s="22">
        <f>IF(R44="",W44,IF(R44="N",IF(U44="E",180+W44,180-W44),IF(U44="E",360-W44,W44)))</f>
        <v>181.63333333333333</v>
      </c>
      <c r="Y44" s="22">
        <f>RADIANS(X44)</f>
        <v>3.1700996980390337</v>
      </c>
      <c r="Z44" s="64"/>
      <c r="AA44" s="58">
        <f>-M44*COS(Y44)</f>
        <v>14.690031897361084</v>
      </c>
      <c r="AB44" s="58">
        <f>-M44*SIN(Y44)</f>
        <v>0.41888286701502725</v>
      </c>
      <c r="AC44" s="64"/>
      <c r="AD44" s="82">
        <f>$AA$40/$M$40*M44</f>
        <v>1.1672742081683916E-4</v>
      </c>
      <c r="AE44" s="82">
        <f>$AB$40/$M$40*M44</f>
        <v>-1.766928956427566E-4</v>
      </c>
      <c r="AF44" s="22">
        <f>AA44-AD44</f>
        <v>14.689915169940267</v>
      </c>
      <c r="AG44" s="22">
        <f>AB44-AE44</f>
        <v>0.41905955991067001</v>
      </c>
      <c r="AH44" s="64"/>
      <c r="AI44" s="25">
        <f>A44</f>
        <v>3</v>
      </c>
      <c r="AJ44" s="82">
        <f t="shared" si="1"/>
        <v>721278.28469202796</v>
      </c>
      <c r="AK44" s="82">
        <f t="shared" si="1"/>
        <v>458838.89170660661</v>
      </c>
      <c r="AL44" s="66"/>
      <c r="AM44" s="9" t="str">
        <f>IF(A45=0,A44&amp;" - 1",A44&amp;" - "&amp;A45)</f>
        <v>3 - 4</v>
      </c>
      <c r="AN44" s="18">
        <f>AN43+F43+F44</f>
        <v>12.470000000088476</v>
      </c>
      <c r="AO44" s="18">
        <f>AN44*G44</f>
        <v>-5.2373999998339222</v>
      </c>
      <c r="AP44" s="9" t="str">
        <f>D44&amp;","&amp;C44</f>
        <v>458838.89,721278.21</v>
      </c>
    </row>
    <row r="45" spans="1:44" s="46" customFormat="1">
      <c r="A45" s="20">
        <f>A44+1</f>
        <v>4</v>
      </c>
      <c r="B45" s="44"/>
      <c r="C45" s="60">
        <v>721292.9</v>
      </c>
      <c r="D45" s="60">
        <v>458839.31</v>
      </c>
      <c r="E45" s="79"/>
      <c r="F45" s="72">
        <f>IF(C46=0,C45-$C$42,C45-C46)</f>
        <v>1.1099999999860302</v>
      </c>
      <c r="G45" s="72">
        <f>IF(D46=0,D45-$D$42,D45-D46)</f>
        <v>-47.229999999981374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47.243041815681273</v>
      </c>
      <c r="N45" s="22">
        <f>IF(F45=0,,ATAN(G45/F45))</f>
        <v>-1.5472986409975602</v>
      </c>
      <c r="O45" s="22">
        <f>ABS(DEGREES(N45))</f>
        <v>88.653681775488124</v>
      </c>
      <c r="P45" s="24" t="str">
        <f>TEXT(INT(O45),"00")</f>
        <v>88</v>
      </c>
      <c r="Q45" s="25" t="str">
        <f>TEXT((O45-P45)*60,"00")</f>
        <v>39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39</v>
      </c>
      <c r="U45" s="24" t="str">
        <f>IF(L45="",IF(G45&gt;0,"W","E"),"")</f>
        <v>E</v>
      </c>
      <c r="V45" s="44"/>
      <c r="W45" s="22">
        <f>IF(S45="due",90*(I45+K45),S45+T45/60)</f>
        <v>88.65</v>
      </c>
      <c r="X45" s="22">
        <f>IF(R45="",W45,IF(R45="N",IF(U45="E",180+W45,180-W45),IF(U45="E",360-W45,W45)))</f>
        <v>271.35000000000002</v>
      </c>
      <c r="Y45" s="22">
        <f>RADIANS(X45)</f>
        <v>4.7359509252866134</v>
      </c>
      <c r="Z45" s="64"/>
      <c r="AA45" s="58">
        <f>-M45*COS(Y45)</f>
        <v>-1.1130349552018675</v>
      </c>
      <c r="AB45" s="58">
        <f>-M45*SIN(Y45)</f>
        <v>47.229928574863507</v>
      </c>
      <c r="AC45" s="64"/>
      <c r="AD45" s="82">
        <f>$AA$40/$M$40*M45</f>
        <v>3.7524206248313414E-4</v>
      </c>
      <c r="AE45" s="82">
        <f>$AB$40/$M$40*M45</f>
        <v>-5.6801226415464771E-4</v>
      </c>
      <c r="AF45" s="22">
        <f>AA45-AD45</f>
        <v>-1.1134101972643506</v>
      </c>
      <c r="AG45" s="22">
        <f>AB45-AE45</f>
        <v>47.230496587127661</v>
      </c>
      <c r="AH45" s="64"/>
      <c r="AI45" s="25">
        <f>A45</f>
        <v>4</v>
      </c>
      <c r="AJ45" s="82">
        <f t="shared" ref="AJ45" si="2">AJ44+AF44</f>
        <v>721292.97460719792</v>
      </c>
      <c r="AK45" s="82">
        <f t="shared" ref="AK45" si="3">AK44+AG44</f>
        <v>458839.31076616654</v>
      </c>
      <c r="AL45" s="66"/>
      <c r="AM45" s="9" t="str">
        <f>IF(A46=0,A45&amp;" - 1",A45&amp;" - "&amp;A46)</f>
        <v>4 - 1</v>
      </c>
      <c r="AN45" s="18">
        <f>AN44+F44+F45</f>
        <v>-1.1099999999860302</v>
      </c>
      <c r="AO45" s="18">
        <f>AN45*G45</f>
        <v>52.425299999319527</v>
      </c>
      <c r="AP45" s="9" t="str">
        <f>D45&amp;","&amp;C45</f>
        <v>458839.31,721292.9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opLeftCell="A17" workbookViewId="0">
      <selection activeCell="A17" sqref="A17"/>
    </sheetView>
  </sheetViews>
  <sheetFormatPr defaultRowHeight="12.75"/>
  <cols>
    <col min="1" max="1" width="13.5703125" style="5" customWidth="1"/>
    <col min="2" max="2" width="10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1" t="s">
        <v>110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111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86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93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73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112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113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114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3074.3029000023339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1537.1514500011669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5.9211374168218018E-3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27318.512222389785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27000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27000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161.75666489189587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5.9151503393906069E-3</v>
      </c>
      <c r="AB40" s="91">
        <f>SUM(AB42:AB65536)</f>
        <v>2.6620437880386927E-4</v>
      </c>
      <c r="AC40" s="91"/>
      <c r="AD40" s="91">
        <f>SUM(AD42:AD65536)</f>
        <v>5.9151503393906069E-3</v>
      </c>
      <c r="AE40" s="91">
        <f>SUM(AE42:AE65536)</f>
        <v>2.6620437880386927E-4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721481.66571989376</v>
      </c>
      <c r="AK40" s="92">
        <f>AK44+AG44</f>
        <v>458970.45346947463</v>
      </c>
      <c r="AL40" s="92"/>
      <c r="AM40" s="51"/>
      <c r="AN40" s="57"/>
      <c r="AO40" s="52"/>
      <c r="AP40" s="103"/>
    </row>
    <row r="41" spans="1:44">
      <c r="A41" s="34" t="str">
        <f>IF(A22=0, " ",  A22)</f>
        <v>BBLM1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-202.8399999999674</v>
      </c>
      <c r="G41" s="72">
        <f>IF(D42=0,D41-$D$41,D41-D42)</f>
        <v>3450.8999999999651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3456.8562127458736</v>
      </c>
      <c r="N41" s="36">
        <f>IF(F41=0,,ATAN(G41/F41))</f>
        <v>-1.5120850103265056</v>
      </c>
      <c r="O41" s="36">
        <f>ABS(DEGREES(N41))</f>
        <v>86.636089356704275</v>
      </c>
      <c r="P41" s="37" t="str">
        <f>TEXT(INT(O41),"00")</f>
        <v>86</v>
      </c>
      <c r="Q41" s="38" t="str">
        <f>TEXT((O41-P41)*60,"00")</f>
        <v>38</v>
      </c>
      <c r="R41" s="39" t="str">
        <f>IF(L41="",IF(F41&gt;0,"S","N"),"")</f>
        <v>N</v>
      </c>
      <c r="S41" s="25" t="str">
        <f>IF(L41="",IF(INT(Q41)=60,INT(P41+1),P41),"due")</f>
        <v>86</v>
      </c>
      <c r="T41" s="38" t="str">
        <f>IF(L41="",IF(INT(Q41)=60,"00",Q41),L41)</f>
        <v>38</v>
      </c>
      <c r="U41" s="40" t="str">
        <f>IF(L41="",IF(G41&gt;0,"W","E"),"")</f>
        <v>W</v>
      </c>
      <c r="V41" s="41"/>
      <c r="W41" s="22">
        <f>IF(S41="due",90*(I41+K41),S41+T41/60)</f>
        <v>86.63333333333334</v>
      </c>
      <c r="X41" s="22">
        <f>IF(R41="",W41,IF(R41="N",IF(U41="E",180+W41,180-W41),IF(U41="E",360-W41,W41)))</f>
        <v>93.36666666666666</v>
      </c>
      <c r="Y41" s="22">
        <f>RADIANS(X41)</f>
        <v>1.6295557449453721</v>
      </c>
      <c r="Z41" s="64"/>
      <c r="AA41" s="58">
        <f>-M41*COS(Y41)</f>
        <v>203.00599385994568</v>
      </c>
      <c r="AB41" s="58">
        <f>-M41*SIN(Y41)</f>
        <v>-3450.8902390624767</v>
      </c>
      <c r="AC41" s="64"/>
      <c r="AD41" s="22">
        <v>0</v>
      </c>
      <c r="AE41" s="22">
        <v>0</v>
      </c>
      <c r="AF41" s="22">
        <f t="shared" ref="AF41:AG43" si="0">AA41-AD41</f>
        <v>203.00599385994568</v>
      </c>
      <c r="AG41" s="22">
        <f t="shared" si="0"/>
        <v>-3450.8902390624767</v>
      </c>
      <c r="AH41" s="63"/>
      <c r="AI41" s="36" t="str">
        <f>A41</f>
        <v>BBLM1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BBLM1 - 1</v>
      </c>
      <c r="AN41" s="42"/>
      <c r="AO41" s="43"/>
      <c r="AP41" s="9"/>
    </row>
    <row r="42" spans="1:44">
      <c r="A42" s="20">
        <v>1</v>
      </c>
      <c r="B42" s="44"/>
      <c r="C42" s="60">
        <v>721431.46</v>
      </c>
      <c r="D42" s="60">
        <v>458999.32</v>
      </c>
      <c r="E42" s="79"/>
      <c r="F42" s="72">
        <f>IF(C43=0,C42-$C$42,C42-C43)</f>
        <v>2.9299999999348074</v>
      </c>
      <c r="G42" s="72">
        <f>IF(D43=0,D42-$D$42,D42-D43)</f>
        <v>3.0800000000162981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4.2510351680171228</v>
      </c>
      <c r="N42" s="36">
        <f>IF(F42=0,,ATAN(G42/F42))</f>
        <v>0.81035138563126852</v>
      </c>
      <c r="O42" s="36">
        <f>ABS(DEGREES(N42))</f>
        <v>46.429714319249911</v>
      </c>
      <c r="P42" s="37" t="str">
        <f>TEXT(INT(O42),"00")</f>
        <v>46</v>
      </c>
      <c r="Q42" s="38" t="str">
        <f>TEXT((O42-P42)*60,"00")</f>
        <v>26</v>
      </c>
      <c r="R42" s="39" t="str">
        <f>IF(L42="",IF(F42&gt;0,"S","N"),"")</f>
        <v>S</v>
      </c>
      <c r="S42" s="25" t="str">
        <f>IF(L42="",IF(INT(Q42)=60,INT(P42+1),P42),"due")</f>
        <v>46</v>
      </c>
      <c r="T42" s="38" t="str">
        <f>IF(L42="",IF(INT(Q42)=60,"00",Q42),L42)</f>
        <v>26</v>
      </c>
      <c r="U42" s="40" t="str">
        <f>IF(L42="",IF(G42&gt;0,"W","E"),"")</f>
        <v>W</v>
      </c>
      <c r="V42" s="44"/>
      <c r="W42" s="22">
        <f>IF(S42="due",90*(I42+K42),S42+T42/60)</f>
        <v>46.43333333333333</v>
      </c>
      <c r="X42" s="22">
        <f>IF(R42="",W42,IF(R42="N",IF(U42="E",180+W42,180-W42),IF(U42="E",360-W42,W42)))</f>
        <v>46.43333333333333</v>
      </c>
      <c r="Y42" s="22">
        <f>RADIANS(X42)</f>
        <v>0.8104145493427003</v>
      </c>
      <c r="Z42" s="64"/>
      <c r="AA42" s="58">
        <f>-M42*COS(Y42)</f>
        <v>-2.9298054498588821</v>
      </c>
      <c r="AB42" s="58">
        <f>-M42*SIN(Y42)</f>
        <v>-3.0801850635465984</v>
      </c>
      <c r="AC42" s="64"/>
      <c r="AD42" s="82">
        <f>$AA$40/$M$40*M42</f>
        <v>1.5545271122932071E-4</v>
      </c>
      <c r="AE42" s="82">
        <f>$AB$40/$M$40*M42</f>
        <v>6.9959662987098127E-6</v>
      </c>
      <c r="AF42" s="22">
        <f t="shared" si="0"/>
        <v>-2.9299609025701114</v>
      </c>
      <c r="AG42" s="22">
        <f t="shared" si="0"/>
        <v>-3.0801920595128971</v>
      </c>
      <c r="AH42" s="63"/>
      <c r="AI42" s="38">
        <f>A42</f>
        <v>1</v>
      </c>
      <c r="AJ42" s="82">
        <f t="shared" ref="AJ42:AK44" si="1">AJ41+AF41</f>
        <v>721431.62599385995</v>
      </c>
      <c r="AK42" s="82">
        <f t="shared" si="1"/>
        <v>458999.32976093749</v>
      </c>
      <c r="AL42" s="66"/>
      <c r="AM42" s="9" t="str">
        <f>IF(A43=0,A42&amp;" - 1",A42&amp;" - "&amp;A43)</f>
        <v>1 - 2</v>
      </c>
      <c r="AN42" s="18">
        <f>F42</f>
        <v>2.9299999999348074</v>
      </c>
      <c r="AO42" s="18">
        <f>AN42*G42</f>
        <v>9.0243999998469597</v>
      </c>
      <c r="AP42" s="9" t="str">
        <f>D42&amp;","&amp;C42</f>
        <v>458999.32,721431.46</v>
      </c>
    </row>
    <row r="43" spans="1:44">
      <c r="A43" s="20">
        <f>A42+1</f>
        <v>2</v>
      </c>
      <c r="B43" s="44"/>
      <c r="C43" s="60">
        <v>721428.53</v>
      </c>
      <c r="D43" s="60">
        <v>458996.24</v>
      </c>
      <c r="E43" s="79"/>
      <c r="F43" s="72">
        <f>IF(C44=0,C43-$C$42,C43-C44)</f>
        <v>-0.68999999994412065</v>
      </c>
      <c r="G43" s="72">
        <f>IF(D44=0,D43-$D$42,D43-D44)</f>
        <v>26.450000000011642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26.458998469340042</v>
      </c>
      <c r="N43" s="36">
        <f>IF(F43=0,,ATAN(G43/F43))</f>
        <v>-1.5447152855062671</v>
      </c>
      <c r="O43" s="36">
        <f>ABS(DEGREES(N43))</f>
        <v>88.505666408855092</v>
      </c>
      <c r="P43" s="37" t="str">
        <f>TEXT(INT(O43),"00")</f>
        <v>88</v>
      </c>
      <c r="Q43" s="38" t="str">
        <f>TEXT((O43-P43)*60,"00")</f>
        <v>30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30</v>
      </c>
      <c r="U43" s="40" t="str">
        <f>IF(L43="",IF(G43&gt;0,"W","E"),"")</f>
        <v>W</v>
      </c>
      <c r="V43" s="44"/>
      <c r="W43" s="22">
        <f>IF(S43="due",90*(I43+K43),S43+T43/60)</f>
        <v>88.5</v>
      </c>
      <c r="X43" s="22">
        <f>IF(R43="",W43,IF(R43="N",IF(U43="E",180+W43,180-W43),IF(U43="E",360-W43,W43)))</f>
        <v>91.5</v>
      </c>
      <c r="Y43" s="22">
        <f>RADIANS(X43)</f>
        <v>1.5969762655748114</v>
      </c>
      <c r="Z43" s="64"/>
      <c r="AA43" s="58">
        <f>-M43*COS(Y43)</f>
        <v>0.69261583521000558</v>
      </c>
      <c r="AB43" s="58">
        <f>-M43*SIN(Y43)</f>
        <v>-26.449931631392829</v>
      </c>
      <c r="AC43" s="64"/>
      <c r="AD43" s="82">
        <f>$AA$40/$M$40*M43</f>
        <v>9.6755799138446201E-4</v>
      </c>
      <c r="AE43" s="82">
        <f>$AB$40/$M$40*M43</f>
        <v>4.3543808572032937E-5</v>
      </c>
      <c r="AF43" s="22">
        <f t="shared" si="0"/>
        <v>0.6916482772186211</v>
      </c>
      <c r="AG43" s="22">
        <f t="shared" si="0"/>
        <v>-26.449975175201402</v>
      </c>
      <c r="AH43" s="64"/>
      <c r="AI43" s="25">
        <f>A43</f>
        <v>2</v>
      </c>
      <c r="AJ43" s="82">
        <f t="shared" si="1"/>
        <v>721428.69603295741</v>
      </c>
      <c r="AK43" s="82">
        <f t="shared" si="1"/>
        <v>458996.24956887797</v>
      </c>
      <c r="AL43" s="66"/>
      <c r="AM43" s="9" t="str">
        <f>IF(A44=0,A43&amp;" - 1",A43&amp;" - "&amp;A44)</f>
        <v>2 - 3</v>
      </c>
      <c r="AN43" s="18">
        <f>AN42+F42+F43</f>
        <v>5.1699999999254942</v>
      </c>
      <c r="AO43" s="18">
        <f>AN43*G43</f>
        <v>136.74649999808952</v>
      </c>
      <c r="AP43" s="9" t="str">
        <f>D43&amp;","&amp;C43</f>
        <v>458996.24,721428.53</v>
      </c>
    </row>
    <row r="44" spans="1:44" s="46" customFormat="1">
      <c r="A44" s="20">
        <f>A43+1</f>
        <v>3</v>
      </c>
      <c r="B44" s="44"/>
      <c r="C44" s="60">
        <v>721429.22</v>
      </c>
      <c r="D44" s="60">
        <v>458969.79</v>
      </c>
      <c r="E44" s="79"/>
      <c r="F44" s="72">
        <f>IF(C45=0,C44-$C$42,C44-C45)</f>
        <v>-52.28000000002794</v>
      </c>
      <c r="G44" s="72">
        <f>IF(D45=0,D44-$D$42,D44-D45)</f>
        <v>-0.65000000002328306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52.284040586042615</v>
      </c>
      <c r="N44" s="22">
        <f>IF(F44=0,,ATAN(G44/F44))</f>
        <v>1.2432412215415524E-2</v>
      </c>
      <c r="O44" s="22">
        <f>ABS(DEGREES(N44))</f>
        <v>0.71232474911019916</v>
      </c>
      <c r="P44" s="24" t="str">
        <f>TEXT(INT(O44),"00")</f>
        <v>00</v>
      </c>
      <c r="Q44" s="25" t="str">
        <f>TEXT((O44-P44)*60,"00")</f>
        <v>43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43</v>
      </c>
      <c r="U44" s="24" t="str">
        <f>IF(L44="",IF(G44&gt;0,"W","E"),"")</f>
        <v>E</v>
      </c>
      <c r="V44" s="44"/>
      <c r="W44" s="22">
        <f>IF(S44="due",90*(I44+K44),S44+T44/60)</f>
        <v>0.71666666666666667</v>
      </c>
      <c r="X44" s="22">
        <f>IF(R44="",W44,IF(R44="N",IF(U44="E",180+W44,180-W44),IF(U44="E",360-W44,W44)))</f>
        <v>180.71666666666667</v>
      </c>
      <c r="Y44" s="22">
        <f>RADIANS(X44)</f>
        <v>3.1541008465624194</v>
      </c>
      <c r="Z44" s="64"/>
      <c r="AA44" s="58">
        <f>-M44*COS(Y44)</f>
        <v>52.27995059242101</v>
      </c>
      <c r="AB44" s="58">
        <f>-M44*SIN(Y44)</f>
        <v>0.65396181614008042</v>
      </c>
      <c r="AC44" s="64"/>
      <c r="AD44" s="82">
        <f>$AA$40/$M$40*M44</f>
        <v>1.9119333390307603E-3</v>
      </c>
      <c r="AE44" s="82">
        <f>$AB$40/$M$40*M44</f>
        <v>8.6044309548948165E-5</v>
      </c>
      <c r="AF44" s="22">
        <f>AA44-AD44</f>
        <v>52.278038659081979</v>
      </c>
      <c r="AG44" s="22">
        <f>AB44-AE44</f>
        <v>0.65387577183053147</v>
      </c>
      <c r="AH44" s="64"/>
      <c r="AI44" s="25">
        <f>A44</f>
        <v>3</v>
      </c>
      <c r="AJ44" s="82">
        <f t="shared" si="1"/>
        <v>721429.38768123463</v>
      </c>
      <c r="AK44" s="82">
        <f t="shared" si="1"/>
        <v>458969.79959370277</v>
      </c>
      <c r="AL44" s="66"/>
      <c r="AM44" s="9" t="str">
        <f>IF(A45=0,A44&amp;" - 1",A44&amp;" - "&amp;A45)</f>
        <v>3 - 4</v>
      </c>
      <c r="AN44" s="18">
        <f>AN43+F43+F44</f>
        <v>-47.800000000046566</v>
      </c>
      <c r="AO44" s="18">
        <f>AN44*G44</f>
        <v>31.0700000011432</v>
      </c>
      <c r="AP44" s="9" t="str">
        <f>D44&amp;","&amp;C44</f>
        <v>458969.79,721429.22</v>
      </c>
    </row>
    <row r="45" spans="1:44" s="46" customFormat="1">
      <c r="A45" s="20">
        <f t="shared" ref="A45:A46" si="2">A44+1</f>
        <v>4</v>
      </c>
      <c r="B45" s="44"/>
      <c r="C45" s="60">
        <v>721481.5</v>
      </c>
      <c r="D45" s="60">
        <v>458970.44</v>
      </c>
      <c r="E45" s="79"/>
      <c r="F45" s="72">
        <f t="shared" ref="F45:F46" si="3">IF(C46=0,C45-$C$42,C45-C46)</f>
        <v>0.73999999999068677</v>
      </c>
      <c r="G45" s="72">
        <f t="shared" ref="G45:G46" si="4">IF(D46=0,D45-$D$42,D45-D46)</f>
        <v>-29.450000000011642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29.459295646716875</v>
      </c>
      <c r="N45" s="22">
        <f t="shared" ref="N45:N46" si="11">IF(F45=0,,ATAN(G45/F45))</f>
        <v>-1.5456742786509701</v>
      </c>
      <c r="O45" s="22">
        <f t="shared" ref="O45:O46" si="12">ABS(DEGREES(N45))</f>
        <v>88.560612668628551</v>
      </c>
      <c r="P45" s="24" t="str">
        <f t="shared" ref="P45:P46" si="13">TEXT(INT(O45),"00")</f>
        <v>88</v>
      </c>
      <c r="Q45" s="25" t="str">
        <f t="shared" ref="Q45:Q46" si="14">TEXT((O45-P45)*60,"00")</f>
        <v>34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34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88.566666666666663</v>
      </c>
      <c r="X45" s="22">
        <f t="shared" ref="X45:X46" si="20">IF(R45="",W45,IF(R45="N",IF(U45="E",180+W45,180-W45),IF(U45="E",360-W45,W45)))</f>
        <v>271.43333333333334</v>
      </c>
      <c r="Y45" s="22">
        <f t="shared" ref="Y45:Y46" si="21">RADIANS(X45)</f>
        <v>4.7374053663299422</v>
      </c>
      <c r="Z45" s="64"/>
      <c r="AA45" s="58">
        <f t="shared" ref="AA45:AA46" si="22">-M45*COS(Y45)</f>
        <v>-0.73688824411465526</v>
      </c>
      <c r="AB45" s="58">
        <f t="shared" ref="AB45:AB46" si="23">-M45*SIN(Y45)</f>
        <v>29.450078025641247</v>
      </c>
      <c r="AC45" s="64"/>
      <c r="AD45" s="82">
        <f t="shared" ref="AD45:AD46" si="24">$AA$40/$M$40*M45</f>
        <v>1.0772734635654318E-3</v>
      </c>
      <c r="AE45" s="82">
        <f t="shared" ref="AE45:AE46" si="25">$AB$40/$M$40*M45</f>
        <v>4.8481424260786027E-5</v>
      </c>
      <c r="AF45" s="22">
        <f t="shared" ref="AF45:AF46" si="26">AA45-AD45</f>
        <v>-0.73796551757822071</v>
      </c>
      <c r="AG45" s="22">
        <f t="shared" ref="AG45:AG46" si="27">AB45-AE45</f>
        <v>29.450029544216985</v>
      </c>
      <c r="AH45" s="64"/>
      <c r="AI45" s="25">
        <f t="shared" ref="AI45:AI46" si="28">A45</f>
        <v>4</v>
      </c>
      <c r="AJ45" s="82">
        <f t="shared" ref="AJ45:AJ46" si="29">AJ44+AF44</f>
        <v>721481.66571989376</v>
      </c>
      <c r="AK45" s="82">
        <f t="shared" ref="AK45:AK46" si="30">AK44+AG44</f>
        <v>458970.45346947463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-99.340000000083819</v>
      </c>
      <c r="AO45" s="18">
        <f t="shared" ref="AO45:AO46" si="33">AN45*G45</f>
        <v>2925.5630000036249</v>
      </c>
      <c r="AP45" s="9" t="str">
        <f t="shared" ref="AP45:AP46" si="34">D45&amp;","&amp;C45</f>
        <v>458970.44,721481.5</v>
      </c>
    </row>
    <row r="46" spans="1:44" s="46" customFormat="1">
      <c r="A46" s="20">
        <f t="shared" si="2"/>
        <v>5</v>
      </c>
      <c r="B46" s="44"/>
      <c r="C46" s="60">
        <v>721480.76</v>
      </c>
      <c r="D46" s="60">
        <v>458999.89</v>
      </c>
      <c r="E46" s="79"/>
      <c r="F46" s="72">
        <f t="shared" si="3"/>
        <v>49.300000000046566</v>
      </c>
      <c r="G46" s="72">
        <f t="shared" si="4"/>
        <v>0.57000000000698492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49.303295021779213</v>
      </c>
      <c r="N46" s="22">
        <f t="shared" si="11"/>
        <v>1.1561350982985644E-2</v>
      </c>
      <c r="O46" s="22">
        <f t="shared" si="12"/>
        <v>0.66241661679450303</v>
      </c>
      <c r="P46" s="24" t="str">
        <f t="shared" si="13"/>
        <v>00</v>
      </c>
      <c r="Q46" s="25" t="str">
        <f t="shared" si="14"/>
        <v>40</v>
      </c>
      <c r="R46" s="23" t="str">
        <f t="shared" si="15"/>
        <v>S</v>
      </c>
      <c r="S46" s="25" t="str">
        <f t="shared" si="16"/>
        <v>00</v>
      </c>
      <c r="T46" s="25" t="str">
        <f t="shared" si="17"/>
        <v>40</v>
      </c>
      <c r="U46" s="24" t="str">
        <f t="shared" si="18"/>
        <v>W</v>
      </c>
      <c r="V46" s="44"/>
      <c r="W46" s="22">
        <f t="shared" si="19"/>
        <v>0.66666666666666663</v>
      </c>
      <c r="X46" s="22">
        <f t="shared" si="20"/>
        <v>0.66666666666666663</v>
      </c>
      <c r="Y46" s="22">
        <f t="shared" si="21"/>
        <v>1.1635528346628864E-2</v>
      </c>
      <c r="Z46" s="64"/>
      <c r="AA46" s="58">
        <f t="shared" si="22"/>
        <v>-49.29995758331809</v>
      </c>
      <c r="AB46" s="58">
        <f t="shared" si="23"/>
        <v>-0.5736569424630954</v>
      </c>
      <c r="AC46" s="64"/>
      <c r="AD46" s="82">
        <f t="shared" si="24"/>
        <v>1.8029328341806318E-3</v>
      </c>
      <c r="AE46" s="82">
        <f t="shared" si="25"/>
        <v>8.1138870123392346E-5</v>
      </c>
      <c r="AF46" s="22">
        <f t="shared" si="26"/>
        <v>-49.301760516152271</v>
      </c>
      <c r="AG46" s="22">
        <f t="shared" si="27"/>
        <v>-0.5737380813332188</v>
      </c>
      <c r="AH46" s="64"/>
      <c r="AI46" s="25">
        <f t="shared" si="28"/>
        <v>5</v>
      </c>
      <c r="AJ46" s="82">
        <f t="shared" si="29"/>
        <v>721480.9277543762</v>
      </c>
      <c r="AK46" s="82">
        <f t="shared" si="30"/>
        <v>458999.90349901887</v>
      </c>
      <c r="AL46" s="66"/>
      <c r="AM46" s="9" t="str">
        <f t="shared" si="31"/>
        <v>5 - 1</v>
      </c>
      <c r="AN46" s="18">
        <f t="shared" si="32"/>
        <v>-49.300000000046566</v>
      </c>
      <c r="AO46" s="18">
        <f t="shared" si="33"/>
        <v>-28.101000000370899</v>
      </c>
      <c r="AP46" s="9" t="str">
        <f t="shared" si="34"/>
        <v>458999.89,721480.76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19" workbookViewId="0">
      <selection activeCell="D45" sqref="D4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1" t="s">
        <v>69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1" t="s">
        <v>70</v>
      </c>
      <c r="D8" s="112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1" t="s">
        <v>71</v>
      </c>
      <c r="D9" s="112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1" t="s">
        <v>72</v>
      </c>
      <c r="D10" s="112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1" t="s">
        <v>73</v>
      </c>
      <c r="D11" s="112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1" t="s">
        <v>62</v>
      </c>
      <c r="D12" s="112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1" t="s">
        <v>63</v>
      </c>
      <c r="D13" s="112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1" t="s">
        <v>64</v>
      </c>
      <c r="D14" s="112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1" t="s">
        <v>65</v>
      </c>
      <c r="D15" s="112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1" t="s">
        <v>66</v>
      </c>
      <c r="D16" s="112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1" t="s">
        <v>74</v>
      </c>
      <c r="D19" s="112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4" t="s">
        <v>16</v>
      </c>
      <c r="B28" s="114"/>
      <c r="C28" s="33">
        <f>ABS(SUM(AO42:AO65536))</f>
        <v>2772.575399996942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8" t="s">
        <v>17</v>
      </c>
      <c r="B29" s="118"/>
      <c r="C29" s="32">
        <f>ABS(C28/2)</f>
        <v>1386.287699998471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8">
        <f>SQRT(AA40^2+AB40^2)</f>
        <v>5.7105574157539423E-3</v>
      </c>
      <c r="C32" s="118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2">
        <f>M40/B32</f>
        <v>26818.299170269551</v>
      </c>
      <c r="C33" s="12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8" t="str">
        <f>"1 : "&amp;TEXT(B35,"00")</f>
        <v>1 : 27000</v>
      </c>
      <c r="C34" s="118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1">
        <f>ROUND(B33,2-LEN(INT(B33)))</f>
        <v>27000</v>
      </c>
      <c r="C35" s="121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7" t="s">
        <v>7</v>
      </c>
      <c r="D38" s="12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8" t="s">
        <v>8</v>
      </c>
      <c r="N38" s="128"/>
      <c r="O38" s="128"/>
      <c r="P38" s="128"/>
      <c r="Q38" s="128"/>
      <c r="R38" s="128"/>
      <c r="S38" s="128"/>
      <c r="T38" s="128"/>
      <c r="U38" s="128"/>
      <c r="V38" s="129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5" t="s">
        <v>55</v>
      </c>
      <c r="AK38" s="117"/>
      <c r="AL38" s="65"/>
      <c r="AM38" s="115" t="s">
        <v>18</v>
      </c>
      <c r="AN38" s="116"/>
      <c r="AO38" s="117"/>
      <c r="AP38" s="12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5" t="s">
        <v>21</v>
      </c>
      <c r="O39" s="116"/>
      <c r="P39" s="116"/>
      <c r="Q39" s="117"/>
      <c r="R39" s="115" t="s">
        <v>24</v>
      </c>
      <c r="S39" s="116"/>
      <c r="T39" s="116"/>
      <c r="U39" s="117"/>
      <c r="V39" s="130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3"/>
    </row>
    <row r="40" spans="1:44" s="11" customFormat="1">
      <c r="A40" s="124" t="s">
        <v>25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51">
        <f>SUM(M42:M65536)</f>
        <v>153.14743720469059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5.4257326760804858E-3</v>
      </c>
      <c r="AB40" s="91">
        <f>SUM(AB42:AB65536)</f>
        <v>-1.7809803273295399E-3</v>
      </c>
      <c r="AC40" s="91"/>
      <c r="AD40" s="91">
        <f>SUM(AD42:AD65536)</f>
        <v>5.4257326760804858E-3</v>
      </c>
      <c r="AE40" s="91">
        <f>SUM(AE42:AE65536)</f>
        <v>-1.7809803273295397E-3</v>
      </c>
      <c r="AF40" s="91">
        <f>SUM(AF42:AF65536)</f>
        <v>0</v>
      </c>
      <c r="AG40" s="91">
        <f>SUM(AG42:AG65536)</f>
        <v>7.9936057773011271E-15</v>
      </c>
      <c r="AH40" s="92"/>
      <c r="AI40" s="93">
        <v>1</v>
      </c>
      <c r="AJ40" s="92">
        <f>AJ44+AF44</f>
        <v>721321.22223047272</v>
      </c>
      <c r="AK40" s="92">
        <f>AK44+AG44</f>
        <v>458887.30119341193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-63.17000000004191</v>
      </c>
      <c r="G41" s="72">
        <f>IF(D42=0,D41-$D$41,D41-D42)</f>
        <v>3563.679999999993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3564.2398335830258</v>
      </c>
      <c r="N41" s="36">
        <f>IF(F41=0,,ATAN(G41/F41))</f>
        <v>-1.5530721245753967</v>
      </c>
      <c r="O41" s="36">
        <f>ABS(DEGREES(N41))</f>
        <v>88.984478017586255</v>
      </c>
      <c r="P41" s="37" t="str">
        <f>TEXT(INT(O41),"00")</f>
        <v>88</v>
      </c>
      <c r="Q41" s="38" t="str">
        <f>TEXT((O41-P41)*60,"00")</f>
        <v>59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88.983333333333334</v>
      </c>
      <c r="X41" s="22">
        <f>IF(R41="",W41,IF(R41="N",IF(U41="E",180+W41,180-W41),IF(U41="E",360-W41,W41)))</f>
        <v>91.016666666666666</v>
      </c>
      <c r="Y41" s="22">
        <f>RADIANS(X41)</f>
        <v>1.5885405075235055</v>
      </c>
      <c r="Z41" s="64"/>
      <c r="AA41" s="58">
        <f>-M41*COS(Y41)</f>
        <v>63.24119700077167</v>
      </c>
      <c r="AB41" s="58">
        <f>-M41*SIN(Y41)</f>
        <v>-3563.6787372463673</v>
      </c>
      <c r="AC41" s="64"/>
      <c r="AD41" s="22">
        <v>0</v>
      </c>
      <c r="AE41" s="22">
        <v>0</v>
      </c>
      <c r="AF41" s="22">
        <f t="shared" ref="AF41:AG43" si="0">AA41-AD41</f>
        <v>63.24119700077167</v>
      </c>
      <c r="AG41" s="22">
        <f t="shared" si="0"/>
        <v>-3563.6787372463673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721291.79</v>
      </c>
      <c r="D42" s="60">
        <v>458886.54</v>
      </c>
      <c r="E42" s="79"/>
      <c r="F42" s="72">
        <f>IF(C43=0,C42-$C$42,C42-C43)</f>
        <v>-1.1099999999860302</v>
      </c>
      <c r="G42" s="72">
        <f>IF(D43=0,D42-$D$42,D42-D43)</f>
        <v>47.229999999981374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47.243041815681273</v>
      </c>
      <c r="N42" s="36">
        <f>IF(F42=0,,ATAN(G42/F42))</f>
        <v>-1.5472986409975602</v>
      </c>
      <c r="O42" s="36">
        <f>ABS(DEGREES(N42))</f>
        <v>88.653681775488124</v>
      </c>
      <c r="P42" s="37" t="str">
        <f>TEXT(INT(O42),"00")</f>
        <v>88</v>
      </c>
      <c r="Q42" s="38" t="str">
        <f>TEXT((O42-P42)*60,"00")</f>
        <v>39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39</v>
      </c>
      <c r="U42" s="40" t="str">
        <f>IF(L42="",IF(G42&gt;0,"W","E"),"")</f>
        <v>W</v>
      </c>
      <c r="V42" s="44"/>
      <c r="W42" s="22">
        <f>IF(S42="due",90*(I42+K42),S42+T42/60)</f>
        <v>88.65</v>
      </c>
      <c r="X42" s="22">
        <f>IF(R42="",W42,IF(R42="N",IF(U42="E",180+W42,180-W42),IF(U42="E",360-W42,W42)))</f>
        <v>91.35</v>
      </c>
      <c r="Y42" s="22">
        <f>RADIANS(X42)</f>
        <v>1.5943582716968199</v>
      </c>
      <c r="Z42" s="64"/>
      <c r="AA42" s="58">
        <f>-M42*COS(Y42)</f>
        <v>1.1130349552018524</v>
      </c>
      <c r="AB42" s="58">
        <f>-M42*SIN(Y42)</f>
        <v>-47.229928574863507</v>
      </c>
      <c r="AC42" s="64"/>
      <c r="AD42" s="82">
        <f>$AA$40/$M$40*M42</f>
        <v>1.6737342809999556E-3</v>
      </c>
      <c r="AE42" s="82">
        <f>$AB$40/$M$40*M42</f>
        <v>-5.4939821137508507E-4</v>
      </c>
      <c r="AF42" s="22">
        <f t="shared" si="0"/>
        <v>1.1113612209208523</v>
      </c>
      <c r="AG42" s="22">
        <f t="shared" si="0"/>
        <v>-47.229379176652131</v>
      </c>
      <c r="AH42" s="63"/>
      <c r="AI42" s="38">
        <f>A42</f>
        <v>1</v>
      </c>
      <c r="AJ42" s="82">
        <f t="shared" ref="AJ42:AK44" si="1">AJ41+AF41</f>
        <v>721291.86119700072</v>
      </c>
      <c r="AK42" s="82">
        <f t="shared" si="1"/>
        <v>458886.5412627536</v>
      </c>
      <c r="AL42" s="66"/>
      <c r="AM42" s="9" t="str">
        <f>IF(A43=0,A42&amp;" - 1",A42&amp;" - "&amp;A43)</f>
        <v>1 - 2</v>
      </c>
      <c r="AN42" s="18">
        <f>F42</f>
        <v>-1.1099999999860302</v>
      </c>
      <c r="AO42" s="18">
        <f>AN42*G42</f>
        <v>-52.425299999319527</v>
      </c>
      <c r="AP42" s="9" t="str">
        <f>D42&amp;","&amp;C42</f>
        <v>458886.54,721291.79</v>
      </c>
    </row>
    <row r="43" spans="1:44">
      <c r="A43" s="20">
        <f>A42+1</f>
        <v>2</v>
      </c>
      <c r="B43" s="44"/>
      <c r="C43" s="60">
        <v>721292.9</v>
      </c>
      <c r="D43" s="60">
        <v>458839.31</v>
      </c>
      <c r="E43" s="79"/>
      <c r="F43" s="72">
        <f>IF(C44=0,C43-$C$42,C43-C44)</f>
        <v>-29.349999999976717</v>
      </c>
      <c r="G43" s="72">
        <f>IF(D44=0,D43-$D$42,D43-D44)</f>
        <v>-0.83000000001629815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29.361733600021992</v>
      </c>
      <c r="N43" s="36">
        <f>IF(F43=0,,ATAN(G43/F43))</f>
        <v>2.8271851762490214E-2</v>
      </c>
      <c r="O43" s="36">
        <f>ABS(DEGREES(N43))</f>
        <v>1.6198577850101872</v>
      </c>
      <c r="P43" s="37" t="str">
        <f>TEXT(INT(O43),"00")</f>
        <v>01</v>
      </c>
      <c r="Q43" s="38" t="str">
        <f>TEXT((O43-P43)*60,"00")</f>
        <v>37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37</v>
      </c>
      <c r="U43" s="40" t="str">
        <f>IF(L43="",IF(G43&gt;0,"W","E"),"")</f>
        <v>E</v>
      </c>
      <c r="V43" s="44"/>
      <c r="W43" s="22">
        <f>IF(S43="due",90*(I43+K43),S43+T43/60)</f>
        <v>1.6166666666666667</v>
      </c>
      <c r="X43" s="22">
        <f>IF(R43="",W43,IF(R43="N",IF(U43="E",180+W43,180-W43),IF(U43="E",360-W43,W43)))</f>
        <v>181.61666666666667</v>
      </c>
      <c r="Y43" s="22">
        <f>RADIANS(X43)</f>
        <v>3.1698088098303683</v>
      </c>
      <c r="Z43" s="64"/>
      <c r="AA43" s="58">
        <f>-M43*COS(Y43)</f>
        <v>29.350046181738165</v>
      </c>
      <c r="AB43" s="58">
        <f>-M43*SIN(Y43)</f>
        <v>0.82836533516160793</v>
      </c>
      <c r="AC43" s="64"/>
      <c r="AD43" s="82">
        <f>$AA$40/$M$40*M43</f>
        <v>1.0402323429486049E-3</v>
      </c>
      <c r="AE43" s="82">
        <f>$AB$40/$M$40*M43</f>
        <v>-3.4145311780854468E-4</v>
      </c>
      <c r="AF43" s="22">
        <f t="shared" si="0"/>
        <v>29.349005949395217</v>
      </c>
      <c r="AG43" s="22">
        <f t="shared" si="0"/>
        <v>0.82870678827941646</v>
      </c>
      <c r="AH43" s="64"/>
      <c r="AI43" s="25">
        <f>A43</f>
        <v>2</v>
      </c>
      <c r="AJ43" s="82">
        <f t="shared" si="1"/>
        <v>721292.97255822166</v>
      </c>
      <c r="AK43" s="82">
        <f t="shared" si="1"/>
        <v>458839.31188357697</v>
      </c>
      <c r="AL43" s="66"/>
      <c r="AM43" s="9" t="str">
        <f>IF(A44=0,A43&amp;" - 1",A43&amp;" - "&amp;A44)</f>
        <v>2 - 3</v>
      </c>
      <c r="AN43" s="18">
        <f>AN42+F42+F43</f>
        <v>-31.569999999948777</v>
      </c>
      <c r="AO43" s="18">
        <f>AN43*G43</f>
        <v>26.203100000472016</v>
      </c>
      <c r="AP43" s="9" t="str">
        <f>D43&amp;","&amp;C43</f>
        <v>458839.31,721292.9</v>
      </c>
    </row>
    <row r="44" spans="1:44" s="46" customFormat="1">
      <c r="A44" s="20">
        <f>A43+1</f>
        <v>3</v>
      </c>
      <c r="B44" s="44"/>
      <c r="C44" s="60">
        <v>721322.25</v>
      </c>
      <c r="D44" s="60">
        <v>458840.14</v>
      </c>
      <c r="E44" s="79"/>
      <c r="F44" s="72">
        <f>IF(C45=0,C44-$C$42,C44-C45)</f>
        <v>1.0999999999767169</v>
      </c>
      <c r="G44" s="72">
        <f>IF(D45=0,D44-$D$42,D44-D45)</f>
        <v>-47.159999999974389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47.172826923956265</v>
      </c>
      <c r="N44" s="22">
        <f>IF(F44=0,,ATAN(G44/F44))</f>
        <v>-1.5474757037977378</v>
      </c>
      <c r="O44" s="22">
        <f>ABS(DEGREES(N44))</f>
        <v>88.663826726647073</v>
      </c>
      <c r="P44" s="24" t="str">
        <f>TEXT(INT(O44),"00")</f>
        <v>88</v>
      </c>
      <c r="Q44" s="25" t="str">
        <f>TEXT((O44-P44)*60,"00")</f>
        <v>40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40</v>
      </c>
      <c r="U44" s="24" t="str">
        <f>IF(L44="",IF(G44&gt;0,"W","E"),"")</f>
        <v>E</v>
      </c>
      <c r="V44" s="44"/>
      <c r="W44" s="22">
        <f>IF(S44="due",90*(I44+K44),S44+T44/60)</f>
        <v>88.666666666666671</v>
      </c>
      <c r="X44" s="22">
        <f>IF(R44="",W44,IF(R44="N",IF(U44="E",180+W44,180-W44),IF(U44="E",360-W44,W44)))</f>
        <v>271.33333333333331</v>
      </c>
      <c r="Y44" s="22">
        <f>RADIANS(X44)</f>
        <v>4.7356600370779471</v>
      </c>
      <c r="Z44" s="64"/>
      <c r="AA44" s="58">
        <f>-M44*COS(Y44)</f>
        <v>-1.0976624517344267</v>
      </c>
      <c r="AB44" s="58">
        <f>-M44*SIN(Y44)</f>
        <v>47.160054464976881</v>
      </c>
      <c r="AC44" s="64"/>
      <c r="AD44" s="82">
        <f>$AA$40/$M$40*M44</f>
        <v>1.6712466962297929E-3</v>
      </c>
      <c r="AE44" s="82">
        <f>$AB$40/$M$40*M44</f>
        <v>-5.4858166920415295E-4</v>
      </c>
      <c r="AF44" s="22">
        <f>AA44-AD44</f>
        <v>-1.0993336984306565</v>
      </c>
      <c r="AG44" s="22">
        <f>AB44-AE44</f>
        <v>47.160603046646088</v>
      </c>
      <c r="AH44" s="64"/>
      <c r="AI44" s="25">
        <f>A44</f>
        <v>3</v>
      </c>
      <c r="AJ44" s="82">
        <f t="shared" si="1"/>
        <v>721322.32156417111</v>
      </c>
      <c r="AK44" s="82">
        <f t="shared" si="1"/>
        <v>458840.14059036528</v>
      </c>
      <c r="AL44" s="66"/>
      <c r="AM44" s="9" t="str">
        <f>IF(A45=0,A44&amp;" - 1",A44&amp;" - "&amp;A45)</f>
        <v>3 - 4</v>
      </c>
      <c r="AN44" s="18">
        <f>AN43+F43+F44</f>
        <v>-59.819999999948777</v>
      </c>
      <c r="AO44" s="18">
        <f>AN44*G44</f>
        <v>2821.1111999960522</v>
      </c>
      <c r="AP44" s="9" t="str">
        <f>D44&amp;","&amp;C44</f>
        <v>458840.14,721322.25</v>
      </c>
    </row>
    <row r="45" spans="1:44" s="46" customFormat="1">
      <c r="A45" s="20">
        <f>A44+1</f>
        <v>4</v>
      </c>
      <c r="B45" s="44"/>
      <c r="C45" s="60">
        <v>721321.15</v>
      </c>
      <c r="D45" s="60">
        <v>458887.3</v>
      </c>
      <c r="E45" s="79"/>
      <c r="F45" s="72">
        <f>IF(C46=0,C45-$C$42,C45-C46)</f>
        <v>29.35999999998603</v>
      </c>
      <c r="G45" s="72">
        <f>IF(D46=0,D45-$D$42,D45-D46)</f>
        <v>0.76000000000931323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29.369834865031059</v>
      </c>
      <c r="N45" s="22">
        <f>IF(F45=0,,ATAN(G45/F45))</f>
        <v>2.5879779262473191E-2</v>
      </c>
      <c r="O45" s="22">
        <f>ABS(DEGREES(N45))</f>
        <v>1.4828021264699043</v>
      </c>
      <c r="P45" s="24" t="str">
        <f>TEXT(INT(O45),"00")</f>
        <v>01</v>
      </c>
      <c r="Q45" s="25" t="str">
        <f>TEXT((O45-P45)*60,"00")</f>
        <v>29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29</v>
      </c>
      <c r="U45" s="24" t="str">
        <f>IF(L45="",IF(G45&gt;0,"W","E"),"")</f>
        <v>W</v>
      </c>
      <c r="V45" s="44"/>
      <c r="W45" s="22">
        <f>IF(S45="due",90*(I45+K45),S45+T45/60)</f>
        <v>1.4833333333333334</v>
      </c>
      <c r="X45" s="22">
        <f>IF(R45="",W45,IF(R45="N",IF(U45="E",180+W45,180-W45),IF(U45="E",360-W45,W45)))</f>
        <v>1.4833333333333334</v>
      </c>
      <c r="Y45" s="22">
        <f>RADIANS(X45)</f>
        <v>2.5889050571249222E-2</v>
      </c>
      <c r="Z45" s="64"/>
      <c r="AA45" s="58">
        <f>-M45*COS(Y45)</f>
        <v>-29.35999295252951</v>
      </c>
      <c r="AB45" s="58">
        <f>-M45*SIN(Y45)</f>
        <v>-0.76027220560230979</v>
      </c>
      <c r="AC45" s="64"/>
      <c r="AD45" s="82">
        <f>$AA$40/$M$40*M45</f>
        <v>1.0405193559021324E-3</v>
      </c>
      <c r="AE45" s="82">
        <f>$AB$40/$M$40*M45</f>
        <v>-3.4154732894175712E-4</v>
      </c>
      <c r="AF45" s="22">
        <f>AA45-AD45</f>
        <v>-29.361033471885413</v>
      </c>
      <c r="AG45" s="22">
        <f>AB45-AE45</f>
        <v>-0.75993065827336803</v>
      </c>
      <c r="AH45" s="64"/>
      <c r="AI45" s="25">
        <f>A45</f>
        <v>4</v>
      </c>
      <c r="AJ45" s="82">
        <f t="shared" ref="AJ45" si="2">AJ44+AF44</f>
        <v>721321.22223047272</v>
      </c>
      <c r="AK45" s="82">
        <f t="shared" ref="AK45" si="3">AK44+AG44</f>
        <v>458887.30119341193</v>
      </c>
      <c r="AL45" s="66"/>
      <c r="AM45" s="9" t="str">
        <f>IF(A46=0,A45&amp;" - 1",A45&amp;" - "&amp;A46)</f>
        <v>4 - 1</v>
      </c>
      <c r="AN45" s="18">
        <f>AN44+F44+F45</f>
        <v>-29.35999999998603</v>
      </c>
      <c r="AO45" s="18">
        <f>AN45*G45</f>
        <v>-22.31360000026282</v>
      </c>
      <c r="AP45" s="9" t="str">
        <f>D45&amp;","&amp;C45</f>
        <v>458887.3,721321.15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16" workbookViewId="0">
      <selection activeCell="C16" sqref="C16:D1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/>
      <c r="C7" s="111" t="s">
        <v>75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1" t="s">
        <v>76</v>
      </c>
      <c r="D8" s="112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1" t="s">
        <v>59</v>
      </c>
      <c r="D9" s="112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1" t="s">
        <v>77</v>
      </c>
      <c r="D10" s="112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1" t="s">
        <v>78</v>
      </c>
      <c r="D11" s="112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1" t="s">
        <v>62</v>
      </c>
      <c r="D12" s="112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1" t="s">
        <v>63</v>
      </c>
      <c r="D13" s="112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1" t="s">
        <v>64</v>
      </c>
      <c r="D14" s="112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1" t="s">
        <v>65</v>
      </c>
      <c r="D15" s="112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1" t="s">
        <v>66</v>
      </c>
      <c r="D16" s="112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1" t="s">
        <v>79</v>
      </c>
      <c r="D19" s="112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721226.62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4" t="s">
        <v>16</v>
      </c>
      <c r="B28" s="114"/>
      <c r="C28" s="33">
        <f>ABS(SUM(AO42:AO65536))</f>
        <v>2769.5887999992246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8" t="s">
        <v>17</v>
      </c>
      <c r="B29" s="118"/>
      <c r="C29" s="32">
        <f>ABS(C28/2)</f>
        <v>1384.7943999996123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8">
        <f>SQRT(AA40^2+AB40^2)</f>
        <v>3.5818952774884184E-3</v>
      </c>
      <c r="C32" s="118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2">
        <f>M40/B32</f>
        <v>42722.49887348483</v>
      </c>
      <c r="C33" s="12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8" t="str">
        <f>"1 : "&amp;TEXT(B35,"00")</f>
        <v>1 : 43000</v>
      </c>
      <c r="C34" s="118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1">
        <f>ROUND(B33,2-LEN(INT(B33)))</f>
        <v>43000</v>
      </c>
      <c r="C35" s="121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7" t="s">
        <v>7</v>
      </c>
      <c r="D38" s="12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8" t="s">
        <v>8</v>
      </c>
      <c r="N38" s="128"/>
      <c r="O38" s="128"/>
      <c r="P38" s="128"/>
      <c r="Q38" s="128"/>
      <c r="R38" s="128"/>
      <c r="S38" s="128"/>
      <c r="T38" s="128"/>
      <c r="U38" s="128"/>
      <c r="V38" s="129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5" t="s">
        <v>55</v>
      </c>
      <c r="AK38" s="117"/>
      <c r="AL38" s="65"/>
      <c r="AM38" s="115" t="s">
        <v>18</v>
      </c>
      <c r="AN38" s="116"/>
      <c r="AO38" s="117"/>
      <c r="AP38" s="12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5" t="s">
        <v>21</v>
      </c>
      <c r="O39" s="116"/>
      <c r="P39" s="116"/>
      <c r="Q39" s="117"/>
      <c r="R39" s="115" t="s">
        <v>24</v>
      </c>
      <c r="S39" s="116"/>
      <c r="T39" s="116"/>
      <c r="U39" s="117"/>
      <c r="V39" s="130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3"/>
    </row>
    <row r="40" spans="1:44" s="11" customFormat="1">
      <c r="A40" s="124" t="s">
        <v>25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51">
        <f>SUM(M42:M65536)</f>
        <v>153.02751695743959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1.9466963298180318E-3</v>
      </c>
      <c r="AB40" s="91">
        <f>SUM(AB42:AB65536)</f>
        <v>-3.0067170100238627E-3</v>
      </c>
      <c r="AC40" s="91"/>
      <c r="AD40" s="91">
        <f>SUM(AD42:AD65536)</f>
        <v>1.9466963298180318E-3</v>
      </c>
      <c r="AE40" s="91">
        <f>SUM(AE42:AE65536)</f>
        <v>-3.0067170100238627E-3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721352.1091690535</v>
      </c>
      <c r="AK40" s="92">
        <f>AK44+AG44</f>
        <v>458840.99615053134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721226.62</v>
      </c>
      <c r="D41" s="35">
        <f>C23</f>
        <v>462450.22</v>
      </c>
      <c r="E41" s="78"/>
      <c r="F41" s="72">
        <f>IF(C42=0,C41-$C$41,C41-C42)</f>
        <v>-123.90000000002328</v>
      </c>
      <c r="G41" s="72">
        <f>IF(D42=0,D41-$D$41,D41-D42)</f>
        <v>3562.1599999999744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3564.3141101199012</v>
      </c>
      <c r="N41" s="36">
        <f>IF(F41=0,,ATAN(G41/F41))</f>
        <v>-1.5360280762823355</v>
      </c>
      <c r="O41" s="36">
        <f>ABS(DEGREES(N41))</f>
        <v>88.007925984576687</v>
      </c>
      <c r="P41" s="37" t="str">
        <f>TEXT(INT(O41),"00")</f>
        <v>88</v>
      </c>
      <c r="Q41" s="38" t="str">
        <f>TEXT((O41-P41)*60,"00")</f>
        <v>00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00</v>
      </c>
      <c r="U41" s="40" t="str">
        <f>IF(L41="",IF(G41&gt;0,"W","E"),"")</f>
        <v>W</v>
      </c>
      <c r="V41" s="41"/>
      <c r="W41" s="22">
        <f>IF(S41="due",90*(I41+K41),S41+T41/60)</f>
        <v>88</v>
      </c>
      <c r="X41" s="22">
        <f>IF(R41="",W41,IF(R41="N",IF(U41="E",180+W41,180-W41),IF(U41="E",360-W41,W41)))</f>
        <v>92</v>
      </c>
      <c r="Y41" s="22">
        <f>RADIANS(X41)</f>
        <v>1.6057029118347832</v>
      </c>
      <c r="Z41" s="64"/>
      <c r="AA41" s="58">
        <f>-M41*COS(Y41)</f>
        <v>124.39276853280712</v>
      </c>
      <c r="AB41" s="58">
        <f>-M41*SIN(Y41)</f>
        <v>-3562.1428262685604</v>
      </c>
      <c r="AC41" s="64"/>
      <c r="AD41" s="22">
        <v>0</v>
      </c>
      <c r="AE41" s="22">
        <v>0</v>
      </c>
      <c r="AF41" s="22">
        <f t="shared" ref="AF41:AG43" si="0">AA41-AD41</f>
        <v>124.39276853280712</v>
      </c>
      <c r="AG41" s="22">
        <f t="shared" si="0"/>
        <v>-3562.1428262685604</v>
      </c>
      <c r="AH41" s="63"/>
      <c r="AI41" s="36" t="str">
        <f>A41</f>
        <v>BLLM 1</v>
      </c>
      <c r="AJ41" s="36">
        <f>C41</f>
        <v>721226.62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721350.52</v>
      </c>
      <c r="D42" s="60">
        <v>458888.06</v>
      </c>
      <c r="E42" s="79"/>
      <c r="F42" s="72">
        <f>IF(C43=0,C42-$C$42,C42-C43)</f>
        <v>29.369999999995343</v>
      </c>
      <c r="G42" s="72">
        <f>IF(D43=0,D42-$D$42,D42-D43)</f>
        <v>0.76000000000931323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29.379831517551981</v>
      </c>
      <c r="N42" s="36">
        <f>IF(F42=0,,ATAN(G42/F42))</f>
        <v>2.5870971556928021E-2</v>
      </c>
      <c r="O42" s="36">
        <f>ABS(DEGREES(N42))</f>
        <v>1.4822974821149719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-29.369986255144656</v>
      </c>
      <c r="AB42" s="58">
        <f>-M42*SIN(Y42)</f>
        <v>-0.76053098053569457</v>
      </c>
      <c r="AC42" s="64"/>
      <c r="AD42" s="82">
        <f>$AA$40/$M$40*M42</f>
        <v>3.7374722744666514E-4</v>
      </c>
      <c r="AE42" s="82">
        <f>$AB$40/$M$40*M42</f>
        <v>-5.7726114186396429E-4</v>
      </c>
      <c r="AF42" s="22">
        <f t="shared" si="0"/>
        <v>-29.370360002372102</v>
      </c>
      <c r="AG42" s="22">
        <f t="shared" si="0"/>
        <v>-0.75995371939383061</v>
      </c>
      <c r="AH42" s="63"/>
      <c r="AI42" s="38">
        <f>A42</f>
        <v>1</v>
      </c>
      <c r="AJ42" s="82">
        <f t="shared" ref="AJ42:AK44" si="1">AJ41+AF41</f>
        <v>721351.01276853285</v>
      </c>
      <c r="AK42" s="82">
        <f t="shared" si="1"/>
        <v>458888.07717373141</v>
      </c>
      <c r="AL42" s="66"/>
      <c r="AM42" s="9" t="str">
        <f>IF(A43=0,A42&amp;" - 1",A42&amp;" - "&amp;A43)</f>
        <v>1 - 2</v>
      </c>
      <c r="AN42" s="18">
        <f>F42</f>
        <v>29.369999999995343</v>
      </c>
      <c r="AO42" s="18">
        <f>AN42*G42</f>
        <v>22.32120000026999</v>
      </c>
      <c r="AP42" s="9" t="str">
        <f>D42&amp;","&amp;C42</f>
        <v>458888.06,721350.52</v>
      </c>
    </row>
    <row r="43" spans="1:44">
      <c r="A43" s="20">
        <f>A42+1</f>
        <v>2</v>
      </c>
      <c r="B43" s="44"/>
      <c r="C43" s="60">
        <v>721321.15</v>
      </c>
      <c r="D43" s="60">
        <v>458887.3</v>
      </c>
      <c r="E43" s="79"/>
      <c r="F43" s="72">
        <f>IF(C44=0,C43-$C$42,C43-C44)</f>
        <v>-1.0999999999767169</v>
      </c>
      <c r="G43" s="72">
        <f>IF(D44=0,D43-$D$42,D43-D44)</f>
        <v>47.159999999974389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47.172826923956265</v>
      </c>
      <c r="N43" s="36">
        <f>IF(F43=0,,ATAN(G43/F43))</f>
        <v>-1.5474757037977378</v>
      </c>
      <c r="O43" s="36">
        <f>ABS(DEGREES(N43))</f>
        <v>88.663826726647073</v>
      </c>
      <c r="P43" s="37" t="str">
        <f>TEXT(INT(O43),"00")</f>
        <v>88</v>
      </c>
      <c r="Q43" s="38" t="str">
        <f>TEXT((O43-P43)*60,"00")</f>
        <v>40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40</v>
      </c>
      <c r="U43" s="40" t="str">
        <f>IF(L43="",IF(G43&gt;0,"W","E"),"")</f>
        <v>W</v>
      </c>
      <c r="V43" s="44"/>
      <c r="W43" s="22">
        <f>IF(S43="due",90*(I43+K43),S43+T43/60)</f>
        <v>88.666666666666671</v>
      </c>
      <c r="X43" s="22">
        <f>IF(R43="",W43,IF(R43="N",IF(U43="E",180+W43,180-W43),IF(U43="E",360-W43,W43)))</f>
        <v>91.333333333333329</v>
      </c>
      <c r="Y43" s="22">
        <f>RADIANS(X43)</f>
        <v>1.5940673834881542</v>
      </c>
      <c r="Z43" s="64"/>
      <c r="AA43" s="58">
        <f>-M43*COS(Y43)</f>
        <v>1.0976624517344431</v>
      </c>
      <c r="AB43" s="58">
        <f>-M43*SIN(Y43)</f>
        <v>-47.160054464976881</v>
      </c>
      <c r="AC43" s="64"/>
      <c r="AD43" s="82">
        <f>$AA$40/$M$40*M43</f>
        <v>6.0009579235051705E-4</v>
      </c>
      <c r="AE43" s="82">
        <f>$AB$40/$M$40*M43</f>
        <v>-9.2686167784202216E-4</v>
      </c>
      <c r="AF43" s="22">
        <f t="shared" si="0"/>
        <v>1.0970623559420927</v>
      </c>
      <c r="AG43" s="22">
        <f t="shared" si="0"/>
        <v>-47.159127603299041</v>
      </c>
      <c r="AH43" s="64"/>
      <c r="AI43" s="25">
        <f>A43</f>
        <v>2</v>
      </c>
      <c r="AJ43" s="82">
        <f t="shared" si="1"/>
        <v>721321.64240853046</v>
      </c>
      <c r="AK43" s="82">
        <f t="shared" si="1"/>
        <v>458887.31722001202</v>
      </c>
      <c r="AL43" s="66"/>
      <c r="AM43" s="9" t="str">
        <f>IF(A44=0,A43&amp;" - 1",A43&amp;" - "&amp;A44)</f>
        <v>2 - 3</v>
      </c>
      <c r="AN43" s="18">
        <f>AN42+F42+F43</f>
        <v>57.64000000001397</v>
      </c>
      <c r="AO43" s="18">
        <f>AN43*G43</f>
        <v>2718.3023999991824</v>
      </c>
      <c r="AP43" s="9" t="str">
        <f>D43&amp;","&amp;C43</f>
        <v>458887.3,721321.15</v>
      </c>
    </row>
    <row r="44" spans="1:44" s="46" customFormat="1">
      <c r="A44" s="20">
        <f>A43+1</f>
        <v>3</v>
      </c>
      <c r="B44" s="44"/>
      <c r="C44" s="60">
        <v>721322.25</v>
      </c>
      <c r="D44" s="60">
        <v>458840.14</v>
      </c>
      <c r="E44" s="79"/>
      <c r="F44" s="72">
        <f>IF(C45=0,C44-$C$42,C44-C45)</f>
        <v>-29.369999999995343</v>
      </c>
      <c r="G44" s="72">
        <f>IF(D45=0,D44-$D$42,D44-D45)</f>
        <v>-0.83999999996740371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29.382009801912321</v>
      </c>
      <c r="N44" s="22">
        <f>IF(F44=0,,ATAN(G44/F44))</f>
        <v>2.8592818307714093E-2</v>
      </c>
      <c r="O44" s="22">
        <f>ABS(DEGREES(N44))</f>
        <v>1.6382478134164102</v>
      </c>
      <c r="P44" s="24" t="str">
        <f>TEXT(INT(O44),"00")</f>
        <v>01</v>
      </c>
      <c r="Q44" s="25" t="str">
        <f>TEXT((O44-P44)*60,"00")</f>
        <v>38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38</v>
      </c>
      <c r="U44" s="24" t="str">
        <f>IF(L44="",IF(G44&gt;0,"W","E"),"")</f>
        <v>E</v>
      </c>
      <c r="V44" s="44"/>
      <c r="W44" s="22">
        <f>IF(S44="due",90*(I44+K44),S44+T44/60)</f>
        <v>1.6333333333333333</v>
      </c>
      <c r="X44" s="22">
        <f>IF(R44="",W44,IF(R44="N",IF(U44="E",180+W44,180-W44),IF(U44="E",360-W44,W44)))</f>
        <v>181.63333333333333</v>
      </c>
      <c r="Y44" s="22">
        <f>RADIANS(X44)</f>
        <v>3.1700996980390337</v>
      </c>
      <c r="Z44" s="64"/>
      <c r="AA44" s="58">
        <f>-M44*COS(Y44)</f>
        <v>29.370071941996553</v>
      </c>
      <c r="AB44" s="58">
        <f>-M44*SIN(Y44)</f>
        <v>0.8374808186571171</v>
      </c>
      <c r="AC44" s="64"/>
      <c r="AD44" s="82">
        <f>$AA$40/$M$40*M44</f>
        <v>3.7377493787583424E-4</v>
      </c>
      <c r="AE44" s="82">
        <f>$AB$40/$M$40*M44</f>
        <v>-5.7730394125566275E-4</v>
      </c>
      <c r="AF44" s="22">
        <f>AA44-AD44</f>
        <v>29.369698167058676</v>
      </c>
      <c r="AG44" s="22">
        <f>AB44-AE44</f>
        <v>0.83805812259837276</v>
      </c>
      <c r="AH44" s="64"/>
      <c r="AI44" s="25">
        <f>A44</f>
        <v>3</v>
      </c>
      <c r="AJ44" s="82">
        <f t="shared" si="1"/>
        <v>721322.73947088642</v>
      </c>
      <c r="AK44" s="82">
        <f t="shared" si="1"/>
        <v>458840.15809240873</v>
      </c>
      <c r="AL44" s="66"/>
      <c r="AM44" s="9" t="str">
        <f>IF(A45=0,A44&amp;" - 1",A44&amp;" - "&amp;A45)</f>
        <v>3 - 4</v>
      </c>
      <c r="AN44" s="18">
        <f>AN43+F43+F44</f>
        <v>27.17000000004191</v>
      </c>
      <c r="AO44" s="18">
        <f>AN44*G44</f>
        <v>-22.822799999149563</v>
      </c>
      <c r="AP44" s="9" t="str">
        <f>D44&amp;","&amp;C44</f>
        <v>458840.14,721322.25</v>
      </c>
    </row>
    <row r="45" spans="1:44" s="46" customFormat="1">
      <c r="A45" s="20">
        <f>A44+1</f>
        <v>4</v>
      </c>
      <c r="B45" s="44"/>
      <c r="C45" s="60">
        <v>721351.62</v>
      </c>
      <c r="D45" s="60">
        <v>458840.98</v>
      </c>
      <c r="E45" s="79"/>
      <c r="F45" s="72">
        <f>IF(C46=0,C45-$C$42,C45-C46)</f>
        <v>1.0999999999767169</v>
      </c>
      <c r="G45" s="72">
        <f>IF(D46=0,D45-$D$42,D45-D46)</f>
        <v>-47.080000000016298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47.09284871401902</v>
      </c>
      <c r="N45" s="22">
        <f>IF(F45=0,,ATAN(G45/F45))</f>
        <v>-1.5474360909735243</v>
      </c>
      <c r="O45" s="22">
        <f>ABS(DEGREES(N45))</f>
        <v>88.66155707900505</v>
      </c>
      <c r="P45" s="24" t="str">
        <f>TEXT(INT(O45),"00")</f>
        <v>88</v>
      </c>
      <c r="Q45" s="25" t="str">
        <f>TEXT((O45-P45)*60,"00")</f>
        <v>40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40</v>
      </c>
      <c r="U45" s="24" t="str">
        <f>IF(L45="",IF(G45&gt;0,"W","E"),"")</f>
        <v>E</v>
      </c>
      <c r="V45" s="44"/>
      <c r="W45" s="22">
        <f>IF(S45="due",90*(I45+K45),S45+T45/60)</f>
        <v>88.666666666666671</v>
      </c>
      <c r="X45" s="22">
        <f>IF(R45="",W45,IF(R45="N",IF(U45="E",180+W45,180-W45),IF(U45="E",360-W45,W45)))</f>
        <v>271.33333333333331</v>
      </c>
      <c r="Y45" s="22">
        <f>RADIANS(X45)</f>
        <v>4.7356600370779471</v>
      </c>
      <c r="Z45" s="64"/>
      <c r="AA45" s="58">
        <f>-M45*COS(Y45)</f>
        <v>-1.0958014422565219</v>
      </c>
      <c r="AB45" s="58">
        <f>-M45*SIN(Y45)</f>
        <v>47.080097909845428</v>
      </c>
      <c r="AC45" s="64"/>
      <c r="AD45" s="82">
        <f>$AA$40/$M$40*M45</f>
        <v>5.9907837214501539E-4</v>
      </c>
      <c r="AE45" s="82">
        <f>$AB$40/$M$40*M45</f>
        <v>-9.2529024906221351E-4</v>
      </c>
      <c r="AF45" s="22">
        <f>AA45-AD45</f>
        <v>-1.0964005206286669</v>
      </c>
      <c r="AG45" s="22">
        <f>AB45-AE45</f>
        <v>47.081023200094492</v>
      </c>
      <c r="AH45" s="64"/>
      <c r="AI45" s="25">
        <f>A45</f>
        <v>4</v>
      </c>
      <c r="AJ45" s="82">
        <f t="shared" ref="AJ45" si="2">AJ44+AF44</f>
        <v>721352.1091690535</v>
      </c>
      <c r="AK45" s="82">
        <f t="shared" ref="AK45" si="3">AK44+AG44</f>
        <v>458840.99615053134</v>
      </c>
      <c r="AL45" s="66"/>
      <c r="AM45" s="9" t="str">
        <f>IF(A46=0,A45&amp;" - 1",A45&amp;" - "&amp;A46)</f>
        <v>4 - 1</v>
      </c>
      <c r="AN45" s="18">
        <f>AN44+F44+F45</f>
        <v>-1.0999999999767169</v>
      </c>
      <c r="AO45" s="18">
        <f>AN45*G45</f>
        <v>51.787999998921762</v>
      </c>
      <c r="AP45" s="9" t="str">
        <f>D45&amp;","&amp;C45</f>
        <v>458840.98,721351.62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18" workbookViewId="0">
      <selection activeCell="C47" sqref="C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1" t="s">
        <v>80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111"/>
      <c r="U7" s="112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1" t="s">
        <v>81</v>
      </c>
      <c r="D8" s="112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1" t="s">
        <v>59</v>
      </c>
      <c r="D9" s="112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1" t="s">
        <v>60</v>
      </c>
      <c r="D10" s="112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1" t="s">
        <v>82</v>
      </c>
      <c r="D11" s="112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1" t="s">
        <v>62</v>
      </c>
      <c r="D12" s="112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1" t="s">
        <v>63</v>
      </c>
      <c r="D13" s="112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1" t="s">
        <v>64</v>
      </c>
      <c r="D14" s="112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1" t="s">
        <v>65</v>
      </c>
      <c r="D15" s="112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1" t="s">
        <v>66</v>
      </c>
      <c r="D16" s="112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1" t="s">
        <v>83</v>
      </c>
      <c r="D19" s="112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4" t="s">
        <v>16</v>
      </c>
      <c r="B28" s="114"/>
      <c r="C28" s="33">
        <f>ABS(SUM(AO42:AO65536))</f>
        <v>2764.4271999996113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8" t="s">
        <v>17</v>
      </c>
      <c r="B29" s="118"/>
      <c r="C29" s="32">
        <f>ABS(C28/2)</f>
        <v>1382.2135999998056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8">
        <f>SQRT(AA40^2+AB40^2)</f>
        <v>3.3233371567381199E-3</v>
      </c>
      <c r="C32" s="118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2">
        <f>M40/B32</f>
        <v>45995.272760889049</v>
      </c>
      <c r="C33" s="12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8" t="str">
        <f>"1 : "&amp;TEXT(B35,"00")</f>
        <v>1 : 46000</v>
      </c>
      <c r="C34" s="118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1">
        <f>ROUND(B33,2-LEN(INT(B33)))</f>
        <v>46000</v>
      </c>
      <c r="C35" s="121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7" t="s">
        <v>7</v>
      </c>
      <c r="D38" s="12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8" t="s">
        <v>8</v>
      </c>
      <c r="N38" s="128"/>
      <c r="O38" s="128"/>
      <c r="P38" s="128"/>
      <c r="Q38" s="128"/>
      <c r="R38" s="128"/>
      <c r="S38" s="128"/>
      <c r="T38" s="128"/>
      <c r="U38" s="128"/>
      <c r="V38" s="129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5" t="s">
        <v>55</v>
      </c>
      <c r="AK38" s="117"/>
      <c r="AL38" s="65"/>
      <c r="AM38" s="115" t="s">
        <v>18</v>
      </c>
      <c r="AN38" s="116"/>
      <c r="AO38" s="117"/>
      <c r="AP38" s="12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5" t="s">
        <v>21</v>
      </c>
      <c r="O39" s="116"/>
      <c r="P39" s="116"/>
      <c r="Q39" s="117"/>
      <c r="R39" s="115" t="s">
        <v>24</v>
      </c>
      <c r="S39" s="116"/>
      <c r="T39" s="116"/>
      <c r="U39" s="117"/>
      <c r="V39" s="130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3"/>
    </row>
    <row r="40" spans="1:44" s="11" customFormat="1">
      <c r="A40" s="124" t="s">
        <v>25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51">
        <f>SUM(M42:M65536)</f>
        <v>152.8577990005673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-1.7372807702926707E-3</v>
      </c>
      <c r="AB40" s="91">
        <f>SUM(AB42:AB65536)</f>
        <v>-2.8330946652957989E-3</v>
      </c>
      <c r="AC40" s="91"/>
      <c r="AD40" s="91">
        <f>SUM(AD42:AD65536)</f>
        <v>-1.7372807702926707E-3</v>
      </c>
      <c r="AE40" s="91">
        <f>SUM(AE42:AE65536)</f>
        <v>-2.8330946652957985E-3</v>
      </c>
      <c r="AF40" s="91">
        <f>SUM(AF42:AF65536)</f>
        <v>0</v>
      </c>
      <c r="AG40" s="91">
        <f>SUM(AG42:AG65536)</f>
        <v>3.6637359812630166E-15</v>
      </c>
      <c r="AH40" s="92"/>
      <c r="AI40" s="93">
        <v>1</v>
      </c>
      <c r="AJ40" s="92">
        <f>AJ44+AF44</f>
        <v>721380.29766941734</v>
      </c>
      <c r="AK40" s="92">
        <f>AK44+AG44</f>
        <v>458888.83405706438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-121.90000000002328</v>
      </c>
      <c r="G41" s="72">
        <f>IF(D42=0,D41-$D$41,D41-D42)</f>
        <v>3562.1599999999744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3564.2451480783166</v>
      </c>
      <c r="N41" s="36">
        <f>IF(F41=0,,ATAN(G41/F41))</f>
        <v>-1.536588865821845</v>
      </c>
      <c r="O41" s="36">
        <f>ABS(DEGREES(N41))</f>
        <v>88.040056858385668</v>
      </c>
      <c r="P41" s="37" t="str">
        <f>TEXT(INT(O41),"00")</f>
        <v>88</v>
      </c>
      <c r="Q41" s="38" t="str">
        <f>TEXT((O41-P41)*60,"00")</f>
        <v>02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02</v>
      </c>
      <c r="U41" s="40" t="str">
        <f>IF(L41="",IF(G41&gt;0,"W","E"),"")</f>
        <v>W</v>
      </c>
      <c r="V41" s="41"/>
      <c r="W41" s="22">
        <f>IF(S41="due",90*(I41+K41),S41+T41/60)</f>
        <v>88.033333333333331</v>
      </c>
      <c r="X41" s="22">
        <f>IF(R41="",W41,IF(R41="N",IF(U41="E",180+W41,180-W41),IF(U41="E",360-W41,W41)))</f>
        <v>91.966666666666669</v>
      </c>
      <c r="Y41" s="22">
        <f>RADIANS(X41)</f>
        <v>1.6051211354174517</v>
      </c>
      <c r="Z41" s="64"/>
      <c r="AA41" s="58">
        <f>-M41*COS(Y41)</f>
        <v>122.31801026290867</v>
      </c>
      <c r="AB41" s="58">
        <f>-M41*SIN(Y41)</f>
        <v>-3562.145670795222</v>
      </c>
      <c r="AC41" s="64"/>
      <c r="AD41" s="22">
        <v>0</v>
      </c>
      <c r="AE41" s="22">
        <v>0</v>
      </c>
      <c r="AF41" s="22">
        <f t="shared" ref="AF41:AG43" si="0">AA41-AD41</f>
        <v>122.31801026290867</v>
      </c>
      <c r="AG41" s="22">
        <f t="shared" si="0"/>
        <v>-3562.145670795222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721350.52</v>
      </c>
      <c r="D42" s="60">
        <v>458888.06</v>
      </c>
      <c r="E42" s="79"/>
      <c r="F42" s="72">
        <f>IF(C43=0,C42-$C$42,C42-C43)</f>
        <v>-1.0999999999767169</v>
      </c>
      <c r="G42" s="72">
        <f>IF(D43=0,D42-$D$42,D42-D43)</f>
        <v>47.080000000016298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47.09284871401902</v>
      </c>
      <c r="N42" s="36">
        <f>IF(F42=0,,ATAN(G42/F42))</f>
        <v>-1.5474360909735243</v>
      </c>
      <c r="O42" s="36">
        <f>ABS(DEGREES(N42))</f>
        <v>88.66155707900505</v>
      </c>
      <c r="P42" s="37" t="str">
        <f>TEXT(INT(O42),"00")</f>
        <v>88</v>
      </c>
      <c r="Q42" s="38" t="str">
        <f>TEXT((O42-P42)*60,"00")</f>
        <v>40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40</v>
      </c>
      <c r="U42" s="40" t="str">
        <f>IF(L42="",IF(G42&gt;0,"W","E"),"")</f>
        <v>W</v>
      </c>
      <c r="V42" s="44"/>
      <c r="W42" s="22">
        <f>IF(S42="due",90*(I42+K42),S42+T42/60)</f>
        <v>88.666666666666671</v>
      </c>
      <c r="X42" s="22">
        <f>IF(R42="",W42,IF(R42="N",IF(U42="E",180+W42,180-W42),IF(U42="E",360-W42,W42)))</f>
        <v>91.333333333333329</v>
      </c>
      <c r="Y42" s="22">
        <f>RADIANS(X42)</f>
        <v>1.5940673834881542</v>
      </c>
      <c r="Z42" s="64"/>
      <c r="AA42" s="58">
        <f>-M42*COS(Y42)</f>
        <v>1.0958014422565381</v>
      </c>
      <c r="AB42" s="58">
        <f>-M42*SIN(Y42)</f>
        <v>-47.080097909845428</v>
      </c>
      <c r="AC42" s="64"/>
      <c r="AD42" s="82">
        <f>$AA$40/$M$40*M42</f>
        <v>-5.3522621040005651E-4</v>
      </c>
      <c r="AE42" s="82">
        <f>$AB$40/$M$40*M42</f>
        <v>-8.7282755173502297E-4</v>
      </c>
      <c r="AF42" s="22">
        <f t="shared" si="0"/>
        <v>1.0963366684669382</v>
      </c>
      <c r="AG42" s="22">
        <f t="shared" si="0"/>
        <v>-47.079225082293689</v>
      </c>
      <c r="AH42" s="63"/>
      <c r="AI42" s="38">
        <f>A42</f>
        <v>1</v>
      </c>
      <c r="AJ42" s="82">
        <f t="shared" ref="AJ42:AK44" si="1">AJ41+AF41</f>
        <v>721350.93801026291</v>
      </c>
      <c r="AK42" s="82">
        <f t="shared" si="1"/>
        <v>458888.07432920474</v>
      </c>
      <c r="AL42" s="66"/>
      <c r="AM42" s="9" t="str">
        <f>IF(A43=0,A42&amp;" - 1",A42&amp;" - "&amp;A43)</f>
        <v>1 - 2</v>
      </c>
      <c r="AN42" s="18">
        <f>F42</f>
        <v>-1.0999999999767169</v>
      </c>
      <c r="AO42" s="18">
        <f>AN42*G42</f>
        <v>-51.787999998921762</v>
      </c>
      <c r="AP42" s="9" t="str">
        <f>D42&amp;","&amp;C42</f>
        <v>458888.06,721350.52</v>
      </c>
    </row>
    <row r="43" spans="1:44">
      <c r="A43" s="20">
        <f>A42+1</f>
        <v>2</v>
      </c>
      <c r="B43" s="44"/>
      <c r="C43" s="60">
        <v>721351.62</v>
      </c>
      <c r="D43" s="60">
        <v>458840.98</v>
      </c>
      <c r="E43" s="79"/>
      <c r="F43" s="72">
        <f>IF(C44=0,C43-$C$42,C43-C44)</f>
        <v>-29.369999999995343</v>
      </c>
      <c r="G43" s="72">
        <f>IF(D44=0,D43-$D$42,D43-D44)</f>
        <v>-0.84000000002561137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29.382009801913984</v>
      </c>
      <c r="N43" s="36">
        <f>IF(F43=0,,ATAN(G43/F43))</f>
        <v>2.8592818309694353E-2</v>
      </c>
      <c r="O43" s="36">
        <f>ABS(DEGREES(N43))</f>
        <v>1.6382478135298708</v>
      </c>
      <c r="P43" s="37" t="str">
        <f>TEXT(INT(O43),"00")</f>
        <v>01</v>
      </c>
      <c r="Q43" s="38" t="str">
        <f>TEXT((O43-P43)*60,"00")</f>
        <v>38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38</v>
      </c>
      <c r="U43" s="40" t="str">
        <f>IF(L43="",IF(G43&gt;0,"W","E"),"")</f>
        <v>E</v>
      </c>
      <c r="V43" s="44"/>
      <c r="W43" s="22">
        <f>IF(S43="due",90*(I43+K43),S43+T43/60)</f>
        <v>1.6333333333333333</v>
      </c>
      <c r="X43" s="22">
        <f>IF(R43="",W43,IF(R43="N",IF(U43="E",180+W43,180-W43),IF(U43="E",360-W43,W43)))</f>
        <v>181.63333333333333</v>
      </c>
      <c r="Y43" s="22">
        <f>RADIANS(X43)</f>
        <v>3.1700996980390337</v>
      </c>
      <c r="Z43" s="64"/>
      <c r="AA43" s="58">
        <f>-M43*COS(Y43)</f>
        <v>29.370071941998216</v>
      </c>
      <c r="AB43" s="58">
        <f>-M43*SIN(Y43)</f>
        <v>0.83748081865716451</v>
      </c>
      <c r="AC43" s="64"/>
      <c r="AD43" s="82">
        <f>$AA$40/$M$40*M43</f>
        <v>-3.3393651455904116E-4</v>
      </c>
      <c r="AE43" s="82">
        <f>$AB$40/$M$40*M43</f>
        <v>-5.4457159379327734E-4</v>
      </c>
      <c r="AF43" s="22">
        <f t="shared" si="0"/>
        <v>29.370405878512774</v>
      </c>
      <c r="AG43" s="22">
        <f t="shared" si="0"/>
        <v>0.83802539025095779</v>
      </c>
      <c r="AH43" s="64"/>
      <c r="AI43" s="25">
        <f>A43</f>
        <v>2</v>
      </c>
      <c r="AJ43" s="82">
        <f t="shared" si="1"/>
        <v>721352.03434693138</v>
      </c>
      <c r="AK43" s="82">
        <f t="shared" si="1"/>
        <v>458840.99510412244</v>
      </c>
      <c r="AL43" s="66"/>
      <c r="AM43" s="9" t="str">
        <f>IF(A44=0,A43&amp;" - 1",A43&amp;" - "&amp;A44)</f>
        <v>2 - 3</v>
      </c>
      <c r="AN43" s="18">
        <f>AN42+F42+F43</f>
        <v>-31.569999999948777</v>
      </c>
      <c r="AO43" s="18">
        <f>AN43*G43</f>
        <v>26.518800000765523</v>
      </c>
      <c r="AP43" s="9" t="str">
        <f>D43&amp;","&amp;C43</f>
        <v>458840.98,721351.62</v>
      </c>
    </row>
    <row r="44" spans="1:44" s="46" customFormat="1">
      <c r="A44" s="20">
        <f>A43+1</f>
        <v>3</v>
      </c>
      <c r="B44" s="44"/>
      <c r="C44" s="60">
        <v>721380.99</v>
      </c>
      <c r="D44" s="60">
        <v>458841.82</v>
      </c>
      <c r="E44" s="79"/>
      <c r="F44" s="72">
        <f>IF(C45=0,C44-$C$42,C44-C45)</f>
        <v>1.1099999999860302</v>
      </c>
      <c r="G44" s="72">
        <f>IF(D45=0,D44-$D$42,D44-D45)</f>
        <v>-47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47.01310561960323</v>
      </c>
      <c r="N44" s="22">
        <f>IF(F44=0,,ATAN(G44/F44))</f>
        <v>-1.5471836949554065</v>
      </c>
      <c r="O44" s="22">
        <f>ABS(DEGREES(N44))</f>
        <v>88.647095852400994</v>
      </c>
      <c r="P44" s="24" t="str">
        <f>TEXT(INT(O44),"00")</f>
        <v>88</v>
      </c>
      <c r="Q44" s="25" t="str">
        <f>TEXT((O44-P44)*60,"00")</f>
        <v>39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39</v>
      </c>
      <c r="U44" s="24" t="str">
        <f>IF(L44="",IF(G44&gt;0,"W","E"),"")</f>
        <v>E</v>
      </c>
      <c r="V44" s="44"/>
      <c r="W44" s="22">
        <f>IF(S44="due",90*(I44+K44),S44+T44/60)</f>
        <v>88.65</v>
      </c>
      <c r="X44" s="22">
        <f>IF(R44="",W44,IF(R44="N",IF(U44="E",180+W44,180-W44),IF(U44="E",360-W44,W44)))</f>
        <v>271.35000000000002</v>
      </c>
      <c r="Y44" s="22">
        <f>RADIANS(X44)</f>
        <v>4.7359509252866134</v>
      </c>
      <c r="Z44" s="64"/>
      <c r="AA44" s="58">
        <f>-M44*COS(Y44)</f>
        <v>-1.107617712495534</v>
      </c>
      <c r="AB44" s="58">
        <f>-M44*SIN(Y44)</f>
        <v>47.000056202125279</v>
      </c>
      <c r="AC44" s="64"/>
      <c r="AD44" s="82">
        <f>$AA$40/$M$40*M44</f>
        <v>-5.3431990306475547E-4</v>
      </c>
      <c r="AE44" s="82">
        <f>$AB$40/$M$40*M44</f>
        <v>-8.7134957850198752E-4</v>
      </c>
      <c r="AF44" s="22">
        <f>AA44-AD44</f>
        <v>-1.1070833925924692</v>
      </c>
      <c r="AG44" s="22">
        <f>AB44-AE44</f>
        <v>47.000927551703782</v>
      </c>
      <c r="AH44" s="64"/>
      <c r="AI44" s="25">
        <f>A44</f>
        <v>3</v>
      </c>
      <c r="AJ44" s="82">
        <f t="shared" si="1"/>
        <v>721381.4047528099</v>
      </c>
      <c r="AK44" s="82">
        <f t="shared" si="1"/>
        <v>458841.83312951267</v>
      </c>
      <c r="AL44" s="66"/>
      <c r="AM44" s="9" t="str">
        <f>IF(A45=0,A44&amp;" - 1",A44&amp;" - "&amp;A45)</f>
        <v>3 - 4</v>
      </c>
      <c r="AN44" s="18">
        <f>AN43+F43+F44</f>
        <v>-59.82999999995809</v>
      </c>
      <c r="AO44" s="18">
        <f>AN44*G44</f>
        <v>2812.0099999980303</v>
      </c>
      <c r="AP44" s="9" t="str">
        <f>D44&amp;","&amp;C44</f>
        <v>458841.82,721380.99</v>
      </c>
    </row>
    <row r="45" spans="1:44" s="46" customFormat="1">
      <c r="A45" s="20">
        <f>A44+1</f>
        <v>4</v>
      </c>
      <c r="B45" s="44"/>
      <c r="C45" s="60">
        <v>721379.88</v>
      </c>
      <c r="D45" s="60">
        <v>458888.82</v>
      </c>
      <c r="E45" s="79"/>
      <c r="F45" s="72">
        <f>IF(C46=0,C45-$C$42,C45-C46)</f>
        <v>29.35999999998603</v>
      </c>
      <c r="G45" s="72">
        <f>IF(D46=0,D45-$D$42,D45-D46)</f>
        <v>0.76000000000931323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29.369834865031059</v>
      </c>
      <c r="N45" s="22">
        <f>IF(F45=0,,ATAN(G45/F45))</f>
        <v>2.5879779262473191E-2</v>
      </c>
      <c r="O45" s="22">
        <f>ABS(DEGREES(N45))</f>
        <v>1.4828021264699043</v>
      </c>
      <c r="P45" s="24" t="str">
        <f>TEXT(INT(O45),"00")</f>
        <v>01</v>
      </c>
      <c r="Q45" s="25" t="str">
        <f>TEXT((O45-P45)*60,"00")</f>
        <v>29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29</v>
      </c>
      <c r="U45" s="24" t="str">
        <f>IF(L45="",IF(G45&gt;0,"W","E"),"")</f>
        <v>W</v>
      </c>
      <c r="V45" s="44"/>
      <c r="W45" s="22">
        <f>IF(S45="due",90*(I45+K45),S45+T45/60)</f>
        <v>1.4833333333333334</v>
      </c>
      <c r="X45" s="22">
        <f>IF(R45="",W45,IF(R45="N",IF(U45="E",180+W45,180-W45),IF(U45="E",360-W45,W45)))</f>
        <v>1.4833333333333334</v>
      </c>
      <c r="Y45" s="22">
        <f>RADIANS(X45)</f>
        <v>2.5889050571249222E-2</v>
      </c>
      <c r="Z45" s="64"/>
      <c r="AA45" s="58">
        <f>-M45*COS(Y45)</f>
        <v>-29.35999295252951</v>
      </c>
      <c r="AB45" s="58">
        <f>-M45*SIN(Y45)</f>
        <v>-0.76027220560230979</v>
      </c>
      <c r="AC45" s="64"/>
      <c r="AD45" s="82">
        <f>$AA$40/$M$40*M45</f>
        <v>-3.3379814226881766E-4</v>
      </c>
      <c r="AE45" s="82">
        <f>$AB$40/$M$40*M45</f>
        <v>-5.4434594126551075E-4</v>
      </c>
      <c r="AF45" s="22">
        <f>AA45-AD45</f>
        <v>-29.359659154387241</v>
      </c>
      <c r="AG45" s="22">
        <f>AB45-AE45</f>
        <v>-0.75972785966104428</v>
      </c>
      <c r="AH45" s="64"/>
      <c r="AI45" s="25">
        <f>A45</f>
        <v>4</v>
      </c>
      <c r="AJ45" s="82">
        <f t="shared" ref="AJ45" si="2">AJ44+AF44</f>
        <v>721380.29766941734</v>
      </c>
      <c r="AK45" s="82">
        <f t="shared" ref="AK45" si="3">AK44+AG44</f>
        <v>458888.83405706438</v>
      </c>
      <c r="AL45" s="66"/>
      <c r="AM45" s="9" t="str">
        <f>IF(A46=0,A45&amp;" - 1",A45&amp;" - "&amp;A46)</f>
        <v>4 - 1</v>
      </c>
      <c r="AN45" s="18">
        <f>AN44+F44+F45</f>
        <v>-29.35999999998603</v>
      </c>
      <c r="AO45" s="18">
        <f>AN45*G45</f>
        <v>-22.31360000026282</v>
      </c>
      <c r="AP45" s="9" t="str">
        <f>D45&amp;","&amp;C45</f>
        <v>458888.82,721379.88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1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T7:U7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abSelected="1" topLeftCell="A18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1" t="s">
        <v>84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1" t="s">
        <v>85</v>
      </c>
      <c r="D8" s="112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1" t="s">
        <v>86</v>
      </c>
      <c r="D9" s="112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1" t="s">
        <v>87</v>
      </c>
      <c r="D10" s="112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1" t="s">
        <v>88</v>
      </c>
      <c r="D11" s="112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1" t="s">
        <v>62</v>
      </c>
      <c r="D12" s="112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1" t="s">
        <v>89</v>
      </c>
      <c r="D13" s="112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1" t="s">
        <v>64</v>
      </c>
      <c r="D14" s="112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1" t="s">
        <v>65</v>
      </c>
      <c r="D15" s="112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1" t="s">
        <v>66</v>
      </c>
      <c r="D16" s="112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1" t="s">
        <v>90</v>
      </c>
      <c r="D19" s="112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4" t="s">
        <v>16</v>
      </c>
      <c r="B28" s="114"/>
      <c r="C28" s="33">
        <f>ABS(SUM(AO42:AO65536))</f>
        <v>2760.0113999989185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8" t="s">
        <v>17</v>
      </c>
      <c r="B29" s="118"/>
      <c r="C29" s="32">
        <f>ABS(C28/2)</f>
        <v>1380.0056999994592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8">
        <f>SQRT(AA40^2+AB40^2)</f>
        <v>8.5506216257515057E-3</v>
      </c>
      <c r="C32" s="118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2">
        <f>M40/B32</f>
        <v>17859.234474001125</v>
      </c>
      <c r="C33" s="12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8" t="str">
        <f>"1 : "&amp;TEXT(B35,"00")</f>
        <v>1 : 18000</v>
      </c>
      <c r="C34" s="118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1">
        <f>ROUND(B33,2-LEN(INT(B33)))</f>
        <v>18000</v>
      </c>
      <c r="C35" s="121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7" t="s">
        <v>7</v>
      </c>
      <c r="D38" s="12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8" t="s">
        <v>8</v>
      </c>
      <c r="N38" s="128"/>
      <c r="O38" s="128"/>
      <c r="P38" s="128"/>
      <c r="Q38" s="128"/>
      <c r="R38" s="128"/>
      <c r="S38" s="128"/>
      <c r="T38" s="128"/>
      <c r="U38" s="128"/>
      <c r="V38" s="129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5" t="s">
        <v>55</v>
      </c>
      <c r="AK38" s="117"/>
      <c r="AL38" s="65"/>
      <c r="AM38" s="115" t="s">
        <v>18</v>
      </c>
      <c r="AN38" s="116"/>
      <c r="AO38" s="117"/>
      <c r="AP38" s="12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5" t="s">
        <v>21</v>
      </c>
      <c r="O39" s="116"/>
      <c r="P39" s="116"/>
      <c r="Q39" s="117"/>
      <c r="R39" s="115" t="s">
        <v>24</v>
      </c>
      <c r="S39" s="116"/>
      <c r="T39" s="116"/>
      <c r="U39" s="117"/>
      <c r="V39" s="130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3"/>
    </row>
    <row r="40" spans="1:44" s="11" customFormat="1">
      <c r="A40" s="124" t="s">
        <v>25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51">
        <f>SUM(M42:M65536)</f>
        <v>152.70755651276085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-8.2937782678649263E-3</v>
      </c>
      <c r="AB40" s="91">
        <f>SUM(AB42:AB65536)</f>
        <v>-2.0799933245712054E-3</v>
      </c>
      <c r="AC40" s="91"/>
      <c r="AD40" s="91">
        <f>SUM(AD42:AD65536)</f>
        <v>-8.2937782678649263E-3</v>
      </c>
      <c r="AE40" s="91">
        <f>SUM(AE42:AE65536)</f>
        <v>-2.0799933245712059E-3</v>
      </c>
      <c r="AF40" s="91">
        <f>SUM(AF42:AF65536)</f>
        <v>2.2204460492503131E-15</v>
      </c>
      <c r="AG40" s="91">
        <f>SUM(AG42:AG65536)</f>
        <v>0</v>
      </c>
      <c r="AH40" s="92"/>
      <c r="AI40" s="93">
        <v>1</v>
      </c>
      <c r="AJ40" s="92">
        <f>AJ44+AF44</f>
        <v>721410.09831015009</v>
      </c>
      <c r="AK40" s="92">
        <f>AK44+AG44</f>
        <v>458842.63656859868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-180.63000000000466</v>
      </c>
      <c r="G41" s="72">
        <f>IF(D42=0,D41-$D$41,D41-D42)</f>
        <v>3560.6399999999558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3565.2187038805469</v>
      </c>
      <c r="N41" s="36">
        <f>IF(F41=0,,ATAN(G41/F41))</f>
        <v>-1.5201101331393638</v>
      </c>
      <c r="O41" s="36">
        <f>ABS(DEGREES(N41))</f>
        <v>87.095895023955208</v>
      </c>
      <c r="P41" s="37" t="str">
        <f>TEXT(INT(O41),"00")</f>
        <v>87</v>
      </c>
      <c r="Q41" s="38" t="str">
        <f>TEXT((O41-P41)*60,"00")</f>
        <v>06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06</v>
      </c>
      <c r="U41" s="40" t="str">
        <f>IF(L41="",IF(G41&gt;0,"W","E"),"")</f>
        <v>W</v>
      </c>
      <c r="V41" s="41"/>
      <c r="W41" s="22">
        <f>IF(S41="due",90*(I41+K41),S41+T41/60)</f>
        <v>87.1</v>
      </c>
      <c r="X41" s="22">
        <f>IF(R41="",W41,IF(R41="N",IF(U41="E",180+W41,180-W41),IF(U41="E",360-W41,W41)))</f>
        <v>92.9</v>
      </c>
      <c r="Y41" s="22">
        <f>RADIANS(X41)</f>
        <v>1.6214108751027323</v>
      </c>
      <c r="Z41" s="64"/>
      <c r="AA41" s="58">
        <f>-M41*COS(Y41)</f>
        <v>180.37489624580647</v>
      </c>
      <c r="AB41" s="58">
        <f>-M41*SIN(Y41)</f>
        <v>-3560.6529321606172</v>
      </c>
      <c r="AC41" s="64"/>
      <c r="AD41" s="22">
        <v>0</v>
      </c>
      <c r="AE41" s="22">
        <v>0</v>
      </c>
      <c r="AF41" s="22">
        <f t="shared" ref="AF41:AG43" si="0">AA41-AD41</f>
        <v>180.37489624580647</v>
      </c>
      <c r="AG41" s="22">
        <f t="shared" si="0"/>
        <v>-3560.6529321606172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721409.25</v>
      </c>
      <c r="D42" s="60">
        <v>458889.58</v>
      </c>
      <c r="E42" s="79"/>
      <c r="F42" s="72">
        <f>IF(C43=0,C42-$C$42,C42-C43)</f>
        <v>29.369999999995343</v>
      </c>
      <c r="G42" s="72">
        <f>IF(D43=0,D42-$D$42,D42-D43)</f>
        <v>0.76000000000931323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29.379831517551981</v>
      </c>
      <c r="N42" s="36">
        <f>IF(F42=0,,ATAN(G42/F42))</f>
        <v>2.5870971556928021E-2</v>
      </c>
      <c r="O42" s="36">
        <f>ABS(DEGREES(N42))</f>
        <v>1.4822974821149719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-29.369986255144656</v>
      </c>
      <c r="AB42" s="58">
        <f>-M42*SIN(Y42)</f>
        <v>-0.76053098053569457</v>
      </c>
      <c r="AC42" s="64"/>
      <c r="AD42" s="82">
        <f>$AA$40/$M$40*M42</f>
        <v>-1.5956630681432167E-3</v>
      </c>
      <c r="AE42" s="82">
        <f>$AB$40/$M$40*M42</f>
        <v>-4.001757007252503E-4</v>
      </c>
      <c r="AF42" s="22">
        <f t="shared" si="0"/>
        <v>-29.368390592076512</v>
      </c>
      <c r="AG42" s="22">
        <f t="shared" si="0"/>
        <v>-0.76013080483496931</v>
      </c>
      <c r="AH42" s="63"/>
      <c r="AI42" s="38">
        <f>A42</f>
        <v>1</v>
      </c>
      <c r="AJ42" s="82">
        <f t="shared" ref="AJ42:AK44" si="1">AJ41+AF41</f>
        <v>721408.99489624577</v>
      </c>
      <c r="AK42" s="82">
        <f t="shared" si="1"/>
        <v>458889.56706783938</v>
      </c>
      <c r="AL42" s="66"/>
      <c r="AM42" s="9" t="str">
        <f>IF(A43=0,A42&amp;" - 1",A42&amp;" - "&amp;A43)</f>
        <v>1 - 2</v>
      </c>
      <c r="AN42" s="18">
        <f>F42</f>
        <v>29.369999999995343</v>
      </c>
      <c r="AO42" s="18">
        <f>AN42*G42</f>
        <v>22.32120000026999</v>
      </c>
      <c r="AP42" s="9" t="str">
        <f>D42&amp;","&amp;C42</f>
        <v>458889.58,721409.25</v>
      </c>
    </row>
    <row r="43" spans="1:44">
      <c r="A43" s="20">
        <f>A42+1</f>
        <v>2</v>
      </c>
      <c r="B43" s="44"/>
      <c r="C43" s="60">
        <v>721379.88</v>
      </c>
      <c r="D43" s="60">
        <v>458888.82</v>
      </c>
      <c r="E43" s="79"/>
      <c r="F43" s="72">
        <f>IF(C44=0,C43-$C$42,C43-C44)</f>
        <v>-1.1099999999860302</v>
      </c>
      <c r="G43" s="72">
        <f>IF(D44=0,D43-$D$42,D43-D44)</f>
        <v>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47.01310561960323</v>
      </c>
      <c r="N43" s="36">
        <f>IF(F43=0,,ATAN(G43/F43))</f>
        <v>-1.5471836949554065</v>
      </c>
      <c r="O43" s="36">
        <f>ABS(DEGREES(N43))</f>
        <v>88.647095852400994</v>
      </c>
      <c r="P43" s="37" t="str">
        <f>TEXT(INT(O43),"00")</f>
        <v>88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88.65</v>
      </c>
      <c r="X43" s="22">
        <f>IF(R43="",W43,IF(R43="N",IF(U43="E",180+W43,180-W43),IF(U43="E",360-W43,W43)))</f>
        <v>91.35</v>
      </c>
      <c r="Y43" s="22">
        <f>RADIANS(X43)</f>
        <v>1.5943582716968199</v>
      </c>
      <c r="Z43" s="64"/>
      <c r="AA43" s="58">
        <f>-M43*COS(Y43)</f>
        <v>1.1076177124955189</v>
      </c>
      <c r="AB43" s="58">
        <f>-M43*SIN(Y43)</f>
        <v>-47.000056202125279</v>
      </c>
      <c r="AC43" s="64"/>
      <c r="AD43" s="82">
        <f>$AA$40/$M$40*M43</f>
        <v>-2.5533528438071809E-3</v>
      </c>
      <c r="AE43" s="82">
        <f>$AB$40/$M$40*M43</f>
        <v>-6.4035433536626784E-4</v>
      </c>
      <c r="AF43" s="22">
        <f t="shared" si="0"/>
        <v>1.110171065339326</v>
      </c>
      <c r="AG43" s="22">
        <f t="shared" si="0"/>
        <v>-46.999415847789912</v>
      </c>
      <c r="AH43" s="64"/>
      <c r="AI43" s="25">
        <f>A43</f>
        <v>2</v>
      </c>
      <c r="AJ43" s="82">
        <f t="shared" si="1"/>
        <v>721379.62650565372</v>
      </c>
      <c r="AK43" s="82">
        <f t="shared" si="1"/>
        <v>458888.80693703453</v>
      </c>
      <c r="AL43" s="66"/>
      <c r="AM43" s="9" t="str">
        <f>IF(A44=0,A43&amp;" - 1",A43&amp;" - "&amp;A44)</f>
        <v>2 - 3</v>
      </c>
      <c r="AN43" s="18">
        <f>AN42+F42+F43</f>
        <v>57.630000000004657</v>
      </c>
      <c r="AO43" s="18">
        <f>AN43*G43</f>
        <v>2708.6100000002189</v>
      </c>
      <c r="AP43" s="9" t="str">
        <f>D43&amp;","&amp;C43</f>
        <v>458888.82,721379.88</v>
      </c>
    </row>
    <row r="44" spans="1:44" s="46" customFormat="1">
      <c r="A44" s="20">
        <f>A43+1</f>
        <v>3</v>
      </c>
      <c r="B44" s="44"/>
      <c r="C44" s="60">
        <v>721380.99</v>
      </c>
      <c r="D44" s="60">
        <v>458841.82</v>
      </c>
      <c r="E44" s="79"/>
      <c r="F44" s="72">
        <f>IF(C45=0,C44-$C$42,C44-C45)</f>
        <v>-29.35999999998603</v>
      </c>
      <c r="G44" s="72">
        <f>IF(D45=0,D44-$D$42,D44-D45)</f>
        <v>-0.83000000001629815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29.371729605169776</v>
      </c>
      <c r="N44" s="22">
        <f>IF(F44=0,,ATAN(G44/F44))</f>
        <v>2.826222751289742E-2</v>
      </c>
      <c r="O44" s="22">
        <f>ABS(DEGREES(N44))</f>
        <v>1.6193063561275396</v>
      </c>
      <c r="P44" s="24" t="str">
        <f>TEXT(INT(O44),"00")</f>
        <v>01</v>
      </c>
      <c r="Q44" s="25" t="str">
        <f>TEXT((O44-P44)*60,"00")</f>
        <v>37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37</v>
      </c>
      <c r="U44" s="24" t="str">
        <f>IF(L44="",IF(G44&gt;0,"W","E"),"")</f>
        <v>E</v>
      </c>
      <c r="V44" s="44"/>
      <c r="W44" s="22">
        <f>IF(S44="due",90*(I44+K44),S44+T44/60)</f>
        <v>1.6166666666666667</v>
      </c>
      <c r="X44" s="22">
        <f>IF(R44="",W44,IF(R44="N",IF(U44="E",180+W44,180-W44),IF(U44="E",360-W44,W44)))</f>
        <v>181.61666666666667</v>
      </c>
      <c r="Y44" s="22">
        <f>RADIANS(X44)</f>
        <v>3.1698088098303683</v>
      </c>
      <c r="Z44" s="64"/>
      <c r="AA44" s="58">
        <f>-M44*COS(Y44)</f>
        <v>29.360038207982832</v>
      </c>
      <c r="AB44" s="58">
        <f>-M44*SIN(Y44)</f>
        <v>0.82864734658052885</v>
      </c>
      <c r="AC44" s="64"/>
      <c r="AD44" s="82">
        <f>$AA$40/$M$40*M44</f>
        <v>-1.5952230410327178E-3</v>
      </c>
      <c r="AE44" s="82">
        <f>$AB$40/$M$40*M44</f>
        <v>-4.0006534650273456E-4</v>
      </c>
      <c r="AF44" s="22">
        <f>AA44-AD44</f>
        <v>29.361633431023865</v>
      </c>
      <c r="AG44" s="22">
        <f>AB44-AE44</f>
        <v>0.82904741192703157</v>
      </c>
      <c r="AH44" s="64"/>
      <c r="AI44" s="25">
        <f>A44</f>
        <v>3</v>
      </c>
      <c r="AJ44" s="82">
        <f t="shared" si="1"/>
        <v>721380.73667671904</v>
      </c>
      <c r="AK44" s="82">
        <f t="shared" si="1"/>
        <v>458841.80752118677</v>
      </c>
      <c r="AL44" s="66"/>
      <c r="AM44" s="9" t="str">
        <f>IF(A45=0,A44&amp;" - 1",A44&amp;" - "&amp;A45)</f>
        <v>3 - 4</v>
      </c>
      <c r="AN44" s="18">
        <f>AN43+F43+F44</f>
        <v>27.160000000032596</v>
      </c>
      <c r="AO44" s="18">
        <f>AN44*G44</f>
        <v>-22.542800000469711</v>
      </c>
      <c r="AP44" s="9" t="str">
        <f>D44&amp;","&amp;C44</f>
        <v>458841.82,721380.99</v>
      </c>
    </row>
    <row r="45" spans="1:44" s="46" customFormat="1">
      <c r="A45" s="20">
        <f>A44+1</f>
        <v>4</v>
      </c>
      <c r="B45" s="44"/>
      <c r="C45" s="60">
        <v>721410.35</v>
      </c>
      <c r="D45" s="60">
        <v>458842.65</v>
      </c>
      <c r="E45" s="79"/>
      <c r="F45" s="72">
        <f>IF(C46=0,C45-$C$42,C45-C46)</f>
        <v>1.0999999999767169</v>
      </c>
      <c r="G45" s="72">
        <f>IF(D46=0,D45-$D$42,D45-D46)</f>
        <v>-46.929999999993015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46.942889770435869</v>
      </c>
      <c r="N45" s="22">
        <f>IF(F45=0,,ATAN(G45/F45))</f>
        <v>-1.5473614531165356</v>
      </c>
      <c r="O45" s="22">
        <f>ABS(DEGREES(N45))</f>
        <v>88.657280644807699</v>
      </c>
      <c r="P45" s="24" t="str">
        <f>TEXT(INT(O45),"00")</f>
        <v>88</v>
      </c>
      <c r="Q45" s="25" t="str">
        <f>TEXT((O45-P45)*60,"00")</f>
        <v>39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39</v>
      </c>
      <c r="U45" s="24" t="str">
        <f>IF(L45="",IF(G45&gt;0,"W","E"),"")</f>
        <v>E</v>
      </c>
      <c r="V45" s="44"/>
      <c r="W45" s="22">
        <f>IF(S45="due",90*(I45+K45),S45+T45/60)</f>
        <v>88.65</v>
      </c>
      <c r="X45" s="22">
        <f>IF(R45="",W45,IF(R45="N",IF(U45="E",180+W45,180-W45),IF(U45="E",360-W45,W45)))</f>
        <v>271.35000000000002</v>
      </c>
      <c r="Y45" s="22">
        <f>RADIANS(X45)</f>
        <v>4.7359509252866134</v>
      </c>
      <c r="Z45" s="64"/>
      <c r="AA45" s="58">
        <f>-M45*COS(Y45)</f>
        <v>-1.1059634436015586</v>
      </c>
      <c r="AB45" s="58">
        <f>-M45*SIN(Y45)</f>
        <v>46.929859842755867</v>
      </c>
      <c r="AC45" s="64"/>
      <c r="AD45" s="82">
        <f>$AA$40/$M$40*M45</f>
        <v>-2.5495393148818111E-3</v>
      </c>
      <c r="AE45" s="82">
        <f>$AB$40/$M$40*M45</f>
        <v>-6.3939794197695303E-4</v>
      </c>
      <c r="AF45" s="22">
        <f>AA45-AD45</f>
        <v>-1.1034139042866768</v>
      </c>
      <c r="AG45" s="22">
        <f>AB45-AE45</f>
        <v>46.930499240697841</v>
      </c>
      <c r="AH45" s="64"/>
      <c r="AI45" s="25">
        <f>A45</f>
        <v>4</v>
      </c>
      <c r="AJ45" s="82">
        <f t="shared" ref="AJ45" si="2">AJ44+AF44</f>
        <v>721410.09831015009</v>
      </c>
      <c r="AK45" s="82">
        <f t="shared" ref="AK45" si="3">AK44+AG44</f>
        <v>458842.63656859868</v>
      </c>
      <c r="AL45" s="66"/>
      <c r="AM45" s="9" t="str">
        <f>IF(A46=0,A45&amp;" - 1",A45&amp;" - "&amp;A46)</f>
        <v>4 - 1</v>
      </c>
      <c r="AN45" s="18">
        <f>AN44+F44+F45</f>
        <v>-1.0999999999767169</v>
      </c>
      <c r="AO45" s="18">
        <f>AN45*G45</f>
        <v>51.622999998899644</v>
      </c>
      <c r="AP45" s="9" t="str">
        <f>D45&amp;","&amp;C45</f>
        <v>458842.65,721410.35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18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1" t="s">
        <v>91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1" t="s">
        <v>92</v>
      </c>
      <c r="D8" s="112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1" t="s">
        <v>86</v>
      </c>
      <c r="D9" s="112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1" t="s">
        <v>93</v>
      </c>
      <c r="D10" s="112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1" t="s">
        <v>88</v>
      </c>
      <c r="D11" s="112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1" t="s">
        <v>62</v>
      </c>
      <c r="D12" s="112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1" t="s">
        <v>89</v>
      </c>
      <c r="D13" s="112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1" t="s">
        <v>64</v>
      </c>
      <c r="D14" s="112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1" t="s">
        <v>65</v>
      </c>
      <c r="D15" s="112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1" t="s">
        <v>94</v>
      </c>
      <c r="D16" s="112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1" t="s">
        <v>95</v>
      </c>
      <c r="D19" s="112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4" t="s">
        <v>16</v>
      </c>
      <c r="B28" s="114"/>
      <c r="C28" s="33">
        <f>ABS(SUM(AO42:AO65536))</f>
        <v>2756.0786000003213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8" t="s">
        <v>17</v>
      </c>
      <c r="B29" s="118"/>
      <c r="C29" s="32">
        <f>ABS(C28/2)</f>
        <v>1378.0393000001607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8">
        <f>SQRT(AA40^2+AB40^2)</f>
        <v>3.5939512881359294E-3</v>
      </c>
      <c r="C32" s="118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2">
        <f>M40/B32</f>
        <v>42451.227251811542</v>
      </c>
      <c r="C33" s="12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8" t="str">
        <f>"1 : "&amp;TEXT(B35,"00")</f>
        <v>1 : 42000</v>
      </c>
      <c r="C34" s="118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1">
        <f>ROUND(B33,2-LEN(INT(B33)))</f>
        <v>42000</v>
      </c>
      <c r="C35" s="121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7" t="s">
        <v>7</v>
      </c>
      <c r="D38" s="12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8" t="s">
        <v>8</v>
      </c>
      <c r="N38" s="128"/>
      <c r="O38" s="128"/>
      <c r="P38" s="128"/>
      <c r="Q38" s="128"/>
      <c r="R38" s="128"/>
      <c r="S38" s="128"/>
      <c r="T38" s="128"/>
      <c r="U38" s="128"/>
      <c r="V38" s="129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5" t="s">
        <v>55</v>
      </c>
      <c r="AK38" s="117"/>
      <c r="AL38" s="65"/>
      <c r="AM38" s="115" t="s">
        <v>18</v>
      </c>
      <c r="AN38" s="116"/>
      <c r="AO38" s="117"/>
      <c r="AP38" s="12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5" t="s">
        <v>21</v>
      </c>
      <c r="O39" s="116"/>
      <c r="P39" s="116"/>
      <c r="Q39" s="117"/>
      <c r="R39" s="115" t="s">
        <v>24</v>
      </c>
      <c r="S39" s="116"/>
      <c r="T39" s="116"/>
      <c r="U39" s="117"/>
      <c r="V39" s="130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3"/>
    </row>
    <row r="40" spans="1:44" s="11" customFormat="1">
      <c r="A40" s="124" t="s">
        <v>25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51">
        <f>SUM(M42:M65536)</f>
        <v>152.56764286459915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1.9699496233052116E-3</v>
      </c>
      <c r="AB40" s="91">
        <f>SUM(AB42:AB65536)</f>
        <v>-3.005958140615661E-3</v>
      </c>
      <c r="AC40" s="91"/>
      <c r="AD40" s="91">
        <f>SUM(AD42:AD65536)</f>
        <v>1.9699496233052116E-3</v>
      </c>
      <c r="AE40" s="91">
        <f>SUM(AE42:AE65536)</f>
        <v>-3.0059581406156615E-3</v>
      </c>
      <c r="AF40" s="91">
        <f>SUM(AF42:AF65536)</f>
        <v>0</v>
      </c>
      <c r="AG40" s="91">
        <f>SUM(AG42:AG65536)</f>
        <v>-4.5519144009631418E-15</v>
      </c>
      <c r="AH40" s="92"/>
      <c r="AI40" s="93">
        <v>1</v>
      </c>
      <c r="AJ40" s="92">
        <f>AJ44+AF44</f>
        <v>721438.36526185262</v>
      </c>
      <c r="AK40" s="92">
        <f>AK44+AG44</f>
        <v>458890.32701996493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-180.63000000000466</v>
      </c>
      <c r="G41" s="72">
        <f>IF(D42=0,D41-$D$41,D41-D42)</f>
        <v>3560.6399999999558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3565.2187038805469</v>
      </c>
      <c r="N41" s="36">
        <f>IF(F41=0,,ATAN(G41/F41))</f>
        <v>-1.5201101331393638</v>
      </c>
      <c r="O41" s="36">
        <f>ABS(DEGREES(N41))</f>
        <v>87.095895023955208</v>
      </c>
      <c r="P41" s="37" t="str">
        <f>TEXT(INT(O41),"00")</f>
        <v>87</v>
      </c>
      <c r="Q41" s="38" t="str">
        <f>TEXT((O41-P41)*60,"00")</f>
        <v>06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06</v>
      </c>
      <c r="U41" s="40" t="str">
        <f>IF(L41="",IF(G41&gt;0,"W","E"),"")</f>
        <v>W</v>
      </c>
      <c r="V41" s="41"/>
      <c r="W41" s="22">
        <f>IF(S41="due",90*(I41+K41),S41+T41/60)</f>
        <v>87.1</v>
      </c>
      <c r="X41" s="22">
        <f>IF(R41="",W41,IF(R41="N",IF(U41="E",180+W41,180-W41),IF(U41="E",360-W41,W41)))</f>
        <v>92.9</v>
      </c>
      <c r="Y41" s="22">
        <f>RADIANS(X41)</f>
        <v>1.6214108751027323</v>
      </c>
      <c r="Z41" s="64"/>
      <c r="AA41" s="58">
        <f>-M41*COS(Y41)</f>
        <v>180.37489624580647</v>
      </c>
      <c r="AB41" s="58">
        <f>-M41*SIN(Y41)</f>
        <v>-3560.6529321606172</v>
      </c>
      <c r="AC41" s="64"/>
      <c r="AD41" s="22">
        <v>0</v>
      </c>
      <c r="AE41" s="22">
        <v>0</v>
      </c>
      <c r="AF41" s="22">
        <f t="shared" ref="AF41:AG43" si="0">AA41-AD41</f>
        <v>180.37489624580647</v>
      </c>
      <c r="AG41" s="22">
        <f t="shared" si="0"/>
        <v>-3560.6529321606172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721409.25</v>
      </c>
      <c r="D42" s="60">
        <v>458889.58</v>
      </c>
      <c r="E42" s="79"/>
      <c r="F42" s="72">
        <f>IF(C43=0,C42-$C$42,C42-C43)</f>
        <v>-1.0999999999767169</v>
      </c>
      <c r="G42" s="72">
        <f>IF(D43=0,D42-$D$42,D42-D43)</f>
        <v>46.929999999993015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46.942889770435869</v>
      </c>
      <c r="N42" s="36">
        <f>IF(F42=0,,ATAN(G42/F42))</f>
        <v>-1.5473614531165356</v>
      </c>
      <c r="O42" s="36">
        <f>ABS(DEGREES(N42))</f>
        <v>88.657280644807699</v>
      </c>
      <c r="P42" s="37" t="str">
        <f>TEXT(INT(O42),"00")</f>
        <v>88</v>
      </c>
      <c r="Q42" s="38" t="str">
        <f>TEXT((O42-P42)*60,"00")</f>
        <v>39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39</v>
      </c>
      <c r="U42" s="40" t="str">
        <f>IF(L42="",IF(G42&gt;0,"W","E"),"")</f>
        <v>W</v>
      </c>
      <c r="V42" s="44"/>
      <c r="W42" s="22">
        <f>IF(S42="due",90*(I42+K42),S42+T42/60)</f>
        <v>88.65</v>
      </c>
      <c r="X42" s="22">
        <f>IF(R42="",W42,IF(R42="N",IF(U42="E",180+W42,180-W42),IF(U42="E",360-W42,W42)))</f>
        <v>91.35</v>
      </c>
      <c r="Y42" s="22">
        <f>RADIANS(X42)</f>
        <v>1.5943582716968199</v>
      </c>
      <c r="Z42" s="64"/>
      <c r="AA42" s="58">
        <f>-M42*COS(Y42)</f>
        <v>1.1059634436015437</v>
      </c>
      <c r="AB42" s="58">
        <f>-M42*SIN(Y42)</f>
        <v>-46.929859842755867</v>
      </c>
      <c r="AC42" s="64"/>
      <c r="AD42" s="82">
        <f>$AA$40/$M$40*M42</f>
        <v>6.0612542924450973E-4</v>
      </c>
      <c r="AE42" s="82">
        <f>$AB$40/$M$40*M42</f>
        <v>-9.2489048791752197E-4</v>
      </c>
      <c r="AF42" s="22">
        <f t="shared" si="0"/>
        <v>1.1053573181722993</v>
      </c>
      <c r="AG42" s="22">
        <f t="shared" si="0"/>
        <v>-46.928934952267952</v>
      </c>
      <c r="AH42" s="63"/>
      <c r="AI42" s="38">
        <f>A42</f>
        <v>1</v>
      </c>
      <c r="AJ42" s="82">
        <f t="shared" ref="AJ42:AK44" si="1">AJ41+AF41</f>
        <v>721408.99489624577</v>
      </c>
      <c r="AK42" s="82">
        <f t="shared" si="1"/>
        <v>458889.56706783938</v>
      </c>
      <c r="AL42" s="66"/>
      <c r="AM42" s="9" t="str">
        <f>IF(A43=0,A42&amp;" - 1",A42&amp;" - "&amp;A43)</f>
        <v>1 - 2</v>
      </c>
      <c r="AN42" s="18">
        <f>F42</f>
        <v>-1.0999999999767169</v>
      </c>
      <c r="AO42" s="18">
        <f>AN42*G42</f>
        <v>-51.622999998899644</v>
      </c>
      <c r="AP42" s="9" t="str">
        <f>D42&amp;","&amp;C42</f>
        <v>458889.58,721409.25</v>
      </c>
    </row>
    <row r="43" spans="1:44">
      <c r="A43" s="20">
        <f>A42+1</f>
        <v>2</v>
      </c>
      <c r="B43" s="44"/>
      <c r="C43" s="60">
        <v>721410.35</v>
      </c>
      <c r="D43" s="60">
        <v>458842.65</v>
      </c>
      <c r="E43" s="79"/>
      <c r="F43" s="72">
        <f>IF(C44=0,C43-$C$42,C43-C44)</f>
        <v>-29.369999999995343</v>
      </c>
      <c r="G43" s="72">
        <f>IF(D44=0,D43-$D$42,D43-D44)</f>
        <v>-0.83999999996740371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29.382009801912321</v>
      </c>
      <c r="N43" s="36">
        <f>IF(F43=0,,ATAN(G43/F43))</f>
        <v>2.8592818307714093E-2</v>
      </c>
      <c r="O43" s="36">
        <f>ABS(DEGREES(N43))</f>
        <v>1.6382478134164102</v>
      </c>
      <c r="P43" s="37" t="str">
        <f>TEXT(INT(O43),"00")</f>
        <v>01</v>
      </c>
      <c r="Q43" s="38" t="str">
        <f>TEXT((O43-P43)*60,"00")</f>
        <v>38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38</v>
      </c>
      <c r="U43" s="40" t="str">
        <f>IF(L43="",IF(G43&gt;0,"W","E"),"")</f>
        <v>E</v>
      </c>
      <c r="V43" s="44"/>
      <c r="W43" s="22">
        <f>IF(S43="due",90*(I43+K43),S43+T43/60)</f>
        <v>1.6333333333333333</v>
      </c>
      <c r="X43" s="22">
        <f>IF(R43="",W43,IF(R43="N",IF(U43="E",180+W43,180-W43),IF(U43="E",360-W43,W43)))</f>
        <v>181.63333333333333</v>
      </c>
      <c r="Y43" s="22">
        <f>RADIANS(X43)</f>
        <v>3.1700996980390337</v>
      </c>
      <c r="Z43" s="64"/>
      <c r="AA43" s="58">
        <f>-M43*COS(Y43)</f>
        <v>29.370071941996553</v>
      </c>
      <c r="AB43" s="58">
        <f>-M43*SIN(Y43)</f>
        <v>0.8374808186571171</v>
      </c>
      <c r="AC43" s="64"/>
      <c r="AD43" s="82">
        <f>$AA$40/$M$40*M43</f>
        <v>3.7937978233428931E-4</v>
      </c>
      <c r="AE43" s="82">
        <f>$AB$40/$M$40*M43</f>
        <v>-5.7889792287143583E-4</v>
      </c>
      <c r="AF43" s="22">
        <f t="shared" si="0"/>
        <v>29.369692562214219</v>
      </c>
      <c r="AG43" s="22">
        <f t="shared" si="0"/>
        <v>0.83805971657998857</v>
      </c>
      <c r="AH43" s="64"/>
      <c r="AI43" s="25">
        <f>A43</f>
        <v>2</v>
      </c>
      <c r="AJ43" s="82">
        <f t="shared" si="1"/>
        <v>721410.10025356396</v>
      </c>
      <c r="AK43" s="82">
        <f t="shared" si="1"/>
        <v>458842.63813288714</v>
      </c>
      <c r="AL43" s="66"/>
      <c r="AM43" s="9" t="str">
        <f>IF(A44=0,A43&amp;" - 1",A43&amp;" - "&amp;A44)</f>
        <v>2 - 3</v>
      </c>
      <c r="AN43" s="18">
        <f>AN42+F42+F43</f>
        <v>-31.569999999948777</v>
      </c>
      <c r="AO43" s="18">
        <f>AN43*G43</f>
        <v>26.518799998927907</v>
      </c>
      <c r="AP43" s="9" t="str">
        <f>D43&amp;","&amp;C43</f>
        <v>458842.65,721410.35</v>
      </c>
    </row>
    <row r="44" spans="1:44" s="46" customFormat="1">
      <c r="A44" s="20">
        <f>A43+1</f>
        <v>3</v>
      </c>
      <c r="B44" s="44"/>
      <c r="C44" s="60">
        <v>721439.72</v>
      </c>
      <c r="D44" s="60">
        <v>458843.49</v>
      </c>
      <c r="E44" s="79"/>
      <c r="F44" s="72">
        <f>IF(C45=0,C44-$C$42,C44-C45)</f>
        <v>1.0999999999767169</v>
      </c>
      <c r="G44" s="72">
        <f>IF(D45=0,D44-$D$42,D44-D45)</f>
        <v>-46.850000000034925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46.862911774698986</v>
      </c>
      <c r="N44" s="22">
        <f>IF(F44=0,,ATAN(G44/F44))</f>
        <v>-1.5473214509437336</v>
      </c>
      <c r="O44" s="22">
        <f>ABS(DEGREES(N44))</f>
        <v>88.654988689134782</v>
      </c>
      <c r="P44" s="24" t="str">
        <f>TEXT(INT(O44),"00")</f>
        <v>88</v>
      </c>
      <c r="Q44" s="25" t="str">
        <f>TEXT((O44-P44)*60,"00")</f>
        <v>39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39</v>
      </c>
      <c r="U44" s="24" t="str">
        <f>IF(L44="",IF(G44&gt;0,"W","E"),"")</f>
        <v>E</v>
      </c>
      <c r="V44" s="44"/>
      <c r="W44" s="22">
        <f>IF(S44="due",90*(I44+K44),S44+T44/60)</f>
        <v>88.65</v>
      </c>
      <c r="X44" s="22">
        <f>IF(R44="",W44,IF(R44="N",IF(U44="E",180+W44,180-W44),IF(U44="E",360-W44,W44)))</f>
        <v>271.35000000000002</v>
      </c>
      <c r="Y44" s="22">
        <f>RADIANS(X44)</f>
        <v>4.7359509252866134</v>
      </c>
      <c r="Z44" s="64"/>
      <c r="AA44" s="58">
        <f>-M44*COS(Y44)</f>
        <v>-1.1040791808301342</v>
      </c>
      <c r="AB44" s="58">
        <f>-M44*SIN(Y44)</f>
        <v>46.849904046493826</v>
      </c>
      <c r="AC44" s="64"/>
      <c r="AD44" s="82">
        <f>$AA$40/$M$40*M44</f>
        <v>6.0509275534579578E-4</v>
      </c>
      <c r="AE44" s="82">
        <f>$AB$40/$M$40*M44</f>
        <v>-9.233147245194548E-4</v>
      </c>
      <c r="AF44" s="22">
        <f>AA44-AD44</f>
        <v>-1.10468427358548</v>
      </c>
      <c r="AG44" s="22">
        <f>AB44-AE44</f>
        <v>46.850827361218343</v>
      </c>
      <c r="AH44" s="64"/>
      <c r="AI44" s="25">
        <f>A44</f>
        <v>3</v>
      </c>
      <c r="AJ44" s="82">
        <f t="shared" si="1"/>
        <v>721439.46994612622</v>
      </c>
      <c r="AK44" s="82">
        <f t="shared" si="1"/>
        <v>458843.4761926037</v>
      </c>
      <c r="AL44" s="66"/>
      <c r="AM44" s="9" t="str">
        <f>IF(A45=0,A44&amp;" - 1",A44&amp;" - "&amp;A45)</f>
        <v>3 - 4</v>
      </c>
      <c r="AN44" s="18">
        <f>AN43+F43+F44</f>
        <v>-59.839999999967404</v>
      </c>
      <c r="AO44" s="18">
        <f>AN44*G44</f>
        <v>2803.5040000005629</v>
      </c>
      <c r="AP44" s="9" t="str">
        <f>D44&amp;","&amp;C44</f>
        <v>458843.49,721439.72</v>
      </c>
    </row>
    <row r="45" spans="1:44" s="46" customFormat="1">
      <c r="A45" s="20">
        <f>A44+1</f>
        <v>4</v>
      </c>
      <c r="B45" s="44"/>
      <c r="C45" s="60">
        <v>721438.62</v>
      </c>
      <c r="D45" s="60">
        <v>458890.34</v>
      </c>
      <c r="E45" s="79"/>
      <c r="F45" s="72">
        <f>IF(C46=0,C45-$C$42,C45-C46)</f>
        <v>29.369999999995343</v>
      </c>
      <c r="G45" s="72">
        <f>IF(D46=0,D45-$D$42,D45-D46)</f>
        <v>0.76000000000931323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29.379831517551981</v>
      </c>
      <c r="N45" s="22">
        <f>IF(F45=0,,ATAN(G45/F45))</f>
        <v>2.5870971556928021E-2</v>
      </c>
      <c r="O45" s="22">
        <f>ABS(DEGREES(N45))</f>
        <v>1.4822974821149719</v>
      </c>
      <c r="P45" s="24" t="str">
        <f>TEXT(INT(O45),"00")</f>
        <v>01</v>
      </c>
      <c r="Q45" s="25" t="str">
        <f>TEXT((O45-P45)*60,"00")</f>
        <v>29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29</v>
      </c>
      <c r="U45" s="24" t="str">
        <f>IF(L45="",IF(G45&gt;0,"W","E"),"")</f>
        <v>W</v>
      </c>
      <c r="V45" s="44"/>
      <c r="W45" s="22">
        <f>IF(S45="due",90*(I45+K45),S45+T45/60)</f>
        <v>1.4833333333333334</v>
      </c>
      <c r="X45" s="22">
        <f>IF(R45="",W45,IF(R45="N",IF(U45="E",180+W45,180-W45),IF(U45="E",360-W45,W45)))</f>
        <v>1.4833333333333334</v>
      </c>
      <c r="Y45" s="22">
        <f>RADIANS(X45)</f>
        <v>2.5889050571249222E-2</v>
      </c>
      <c r="Z45" s="64"/>
      <c r="AA45" s="58">
        <f>-M45*COS(Y45)</f>
        <v>-29.369986255144656</v>
      </c>
      <c r="AB45" s="58">
        <f>-M45*SIN(Y45)</f>
        <v>-0.76053098053569457</v>
      </c>
      <c r="AC45" s="64"/>
      <c r="AD45" s="82">
        <f>$AA$40/$M$40*M45</f>
        <v>3.7935165638061701E-4</v>
      </c>
      <c r="AE45" s="82">
        <f>$AB$40/$M$40*M45</f>
        <v>-5.7885500530724854E-4</v>
      </c>
      <c r="AF45" s="22">
        <f>AA45-AD45</f>
        <v>-29.370365606801037</v>
      </c>
      <c r="AG45" s="22">
        <f>AB45-AE45</f>
        <v>-0.75995212553038727</v>
      </c>
      <c r="AH45" s="64"/>
      <c r="AI45" s="25">
        <f>A45</f>
        <v>4</v>
      </c>
      <c r="AJ45" s="82">
        <f t="shared" ref="AJ45" si="2">AJ44+AF44</f>
        <v>721438.36526185262</v>
      </c>
      <c r="AK45" s="82">
        <f t="shared" ref="AK45" si="3">AK44+AG44</f>
        <v>458890.32701996493</v>
      </c>
      <c r="AL45" s="66"/>
      <c r="AM45" s="9" t="str">
        <f>IF(A46=0,A45&amp;" - 1",A45&amp;" - "&amp;A46)</f>
        <v>4 - 1</v>
      </c>
      <c r="AN45" s="18">
        <f>AN44+F44+F45</f>
        <v>-29.369999999995343</v>
      </c>
      <c r="AO45" s="18">
        <f>AN45*G45</f>
        <v>-22.32120000026999</v>
      </c>
      <c r="AP45" s="9" t="str">
        <f>D45&amp;","&amp;C45</f>
        <v>458890.34,721438.62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16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1" t="s">
        <v>96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1" t="s">
        <v>97</v>
      </c>
      <c r="D8" s="112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1" t="s">
        <v>86</v>
      </c>
      <c r="D9" s="112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1" t="s">
        <v>98</v>
      </c>
      <c r="D10" s="112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1" t="s">
        <v>88</v>
      </c>
      <c r="D11" s="112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1" t="s">
        <v>62</v>
      </c>
      <c r="D12" s="112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1" t="s">
        <v>99</v>
      </c>
      <c r="D13" s="112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1" t="s">
        <v>64</v>
      </c>
      <c r="D14" s="112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1" t="s">
        <v>65</v>
      </c>
      <c r="D15" s="112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1" t="s">
        <v>66</v>
      </c>
      <c r="D16" s="112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1" t="s">
        <v>100</v>
      </c>
      <c r="D19" s="112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4" t="s">
        <v>16</v>
      </c>
      <c r="B28" s="114"/>
      <c r="C28" s="33">
        <f>ABS(SUM(AO42:AO65536))</f>
        <v>2838.4902000048028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8" t="s">
        <v>17</v>
      </c>
      <c r="B29" s="118"/>
      <c r="C29" s="32">
        <f>ABS(C28/2)</f>
        <v>1419.2451000024014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8">
        <f>SQRT(AA40^2+AB40^2)</f>
        <v>3.2904618351909318E-3</v>
      </c>
      <c r="C32" s="118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2">
        <f>M40/B32</f>
        <v>49841.043576935124</v>
      </c>
      <c r="C33" s="12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8" t="str">
        <f>"1 : "&amp;TEXT(B35,"00")</f>
        <v>1 : 50000</v>
      </c>
      <c r="C34" s="118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1">
        <f>ROUND(B33,2-LEN(INT(B33)))</f>
        <v>50000</v>
      </c>
      <c r="C35" s="121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7" t="s">
        <v>7</v>
      </c>
      <c r="D38" s="12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8" t="s">
        <v>8</v>
      </c>
      <c r="N38" s="128"/>
      <c r="O38" s="128"/>
      <c r="P38" s="128"/>
      <c r="Q38" s="128"/>
      <c r="R38" s="128"/>
      <c r="S38" s="128"/>
      <c r="T38" s="128"/>
      <c r="U38" s="128"/>
      <c r="V38" s="129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5" t="s">
        <v>55</v>
      </c>
      <c r="AK38" s="117"/>
      <c r="AL38" s="65"/>
      <c r="AM38" s="115" t="s">
        <v>18</v>
      </c>
      <c r="AN38" s="116"/>
      <c r="AO38" s="117"/>
      <c r="AP38" s="12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5" t="s">
        <v>21</v>
      </c>
      <c r="O39" s="116"/>
      <c r="P39" s="116"/>
      <c r="Q39" s="117"/>
      <c r="R39" s="115" t="s">
        <v>24</v>
      </c>
      <c r="S39" s="116"/>
      <c r="T39" s="116"/>
      <c r="U39" s="117"/>
      <c r="V39" s="130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3"/>
    </row>
    <row r="40" spans="1:44" s="11" customFormat="1">
      <c r="A40" s="124" t="s">
        <v>25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51">
        <f>SUM(M42:M65536)</f>
        <v>164.00005171599315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3.0976870323300432E-3</v>
      </c>
      <c r="AB40" s="91">
        <f>SUM(AB42:AB65536)</f>
        <v>-1.1097180446322241E-3</v>
      </c>
      <c r="AC40" s="91"/>
      <c r="AD40" s="91">
        <f>SUM(AD42:AD65536)</f>
        <v>3.0976870323300436E-3</v>
      </c>
      <c r="AE40" s="91">
        <f>SUM(AE42:AE65536)</f>
        <v>-1.1097180446322243E-3</v>
      </c>
      <c r="AF40" s="91">
        <f>SUM(AF42:AF65536)</f>
        <v>0</v>
      </c>
      <c r="AG40" s="91">
        <f>SUM(AG42:AG65536)</f>
        <v>-6.6613381477509392E-15</v>
      </c>
      <c r="AH40" s="92"/>
      <c r="AI40" s="93">
        <v>1</v>
      </c>
      <c r="AJ40" s="92">
        <f>AJ44+AF44</f>
        <v>721483.61578208348</v>
      </c>
      <c r="AK40" s="92">
        <f>AK44+AG44</f>
        <v>458893.72857074154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-210</v>
      </c>
      <c r="G41" s="72">
        <f>IF(D42=0,D41-$D$41,D41-D42)</f>
        <v>3559.8799999999464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3566.0686497037068</v>
      </c>
      <c r="N41" s="36">
        <f>IF(F41=0,,ATAN(G41/F41))</f>
        <v>-1.5118738592601091</v>
      </c>
      <c r="O41" s="36">
        <f>ABS(DEGREES(N41))</f>
        <v>86.623991291760063</v>
      </c>
      <c r="P41" s="37" t="str">
        <f>TEXT(INT(O41),"00")</f>
        <v>86</v>
      </c>
      <c r="Q41" s="38" t="str">
        <f>TEXT((O41-P41)*60,"00")</f>
        <v>37</v>
      </c>
      <c r="R41" s="39" t="str">
        <f>IF(L41="",IF(F41&gt;0,"S","N"),"")</f>
        <v>N</v>
      </c>
      <c r="S41" s="25" t="str">
        <f>IF(L41="",IF(INT(Q41)=60,INT(P41+1),P41),"due")</f>
        <v>86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86.61666666666666</v>
      </c>
      <c r="X41" s="22">
        <f>IF(R41="",W41,IF(R41="N",IF(U41="E",180+W41,180-W41),IF(U41="E",360-W41,W41)))</f>
        <v>93.38333333333334</v>
      </c>
      <c r="Y41" s="22">
        <f>RADIANS(X41)</f>
        <v>1.6298466331540382</v>
      </c>
      <c r="Z41" s="64"/>
      <c r="AA41" s="58">
        <f>-M41*COS(Y41)</f>
        <v>210.45508915681179</v>
      </c>
      <c r="AB41" s="58">
        <f>-M41*SIN(Y41)</f>
        <v>-3559.8531247577639</v>
      </c>
      <c r="AC41" s="64"/>
      <c r="AD41" s="22">
        <v>0</v>
      </c>
      <c r="AE41" s="22">
        <v>0</v>
      </c>
      <c r="AF41" s="22">
        <f t="shared" ref="AF41:AG43" si="0">AA41-AD41</f>
        <v>210.45508915681179</v>
      </c>
      <c r="AG41" s="22">
        <f t="shared" si="0"/>
        <v>-3559.8531247577639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721438.62</v>
      </c>
      <c r="D42" s="60">
        <v>458890.34</v>
      </c>
      <c r="E42" s="79"/>
      <c r="F42" s="72">
        <f>IF(C43=0,C42-$C$42,C42-C43)</f>
        <v>-1.0999999999767169</v>
      </c>
      <c r="G42" s="72">
        <f>IF(D43=0,D42-$D$42,D42-D43)</f>
        <v>46.850000000034925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46.862911774698986</v>
      </c>
      <c r="N42" s="36">
        <f>IF(F42=0,,ATAN(G42/F42))</f>
        <v>-1.5473214509437336</v>
      </c>
      <c r="O42" s="36">
        <f>ABS(DEGREES(N42))</f>
        <v>88.654988689134782</v>
      </c>
      <c r="P42" s="37" t="str">
        <f>TEXT(INT(O42),"00")</f>
        <v>88</v>
      </c>
      <c r="Q42" s="38" t="str">
        <f>TEXT((O42-P42)*60,"00")</f>
        <v>39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39</v>
      </c>
      <c r="U42" s="40" t="str">
        <f>IF(L42="",IF(G42&gt;0,"W","E"),"")</f>
        <v>W</v>
      </c>
      <c r="V42" s="44"/>
      <c r="W42" s="22">
        <f>IF(S42="due",90*(I42+K42),S42+T42/60)</f>
        <v>88.65</v>
      </c>
      <c r="X42" s="22">
        <f>IF(R42="",W42,IF(R42="N",IF(U42="E",180+W42,180-W42),IF(U42="E",360-W42,W42)))</f>
        <v>91.35</v>
      </c>
      <c r="Y42" s="22">
        <f>RADIANS(X42)</f>
        <v>1.5943582716968199</v>
      </c>
      <c r="Z42" s="64"/>
      <c r="AA42" s="58">
        <f>-M42*COS(Y42)</f>
        <v>1.1040791808301194</v>
      </c>
      <c r="AB42" s="58">
        <f>-M42*SIN(Y42)</f>
        <v>-46.849904046493826</v>
      </c>
      <c r="AC42" s="64"/>
      <c r="AD42" s="82">
        <f>$AA$40/$M$40*M42</f>
        <v>8.8516212393093658E-4</v>
      </c>
      <c r="AE42" s="82">
        <f>$AB$40/$M$40*M42</f>
        <v>-3.1710123427552522E-4</v>
      </c>
      <c r="AF42" s="22">
        <f t="shared" si="0"/>
        <v>1.1031940187061884</v>
      </c>
      <c r="AG42" s="22">
        <f t="shared" si="0"/>
        <v>-46.849586945259553</v>
      </c>
      <c r="AH42" s="63"/>
      <c r="AI42" s="38">
        <f>A42</f>
        <v>1</v>
      </c>
      <c r="AJ42" s="82">
        <f t="shared" ref="AJ42:AK44" si="1">AJ41+AF41</f>
        <v>721439.07508915686</v>
      </c>
      <c r="AK42" s="82">
        <f t="shared" si="1"/>
        <v>458890.36687524221</v>
      </c>
      <c r="AL42" s="66"/>
      <c r="AM42" s="9" t="str">
        <f>IF(A43=0,A42&amp;" - 1",A42&amp;" - "&amp;A43)</f>
        <v>1 - 2</v>
      </c>
      <c r="AN42" s="18">
        <f>F42</f>
        <v>-1.0999999999767169</v>
      </c>
      <c r="AO42" s="18">
        <f>AN42*G42</f>
        <v>-51.534999998947605</v>
      </c>
      <c r="AP42" s="9" t="str">
        <f>D42&amp;","&amp;C42</f>
        <v>458890.34,721438.62</v>
      </c>
    </row>
    <row r="43" spans="1:44">
      <c r="A43" s="20">
        <f>A42+1</f>
        <v>2</v>
      </c>
      <c r="B43" s="44"/>
      <c r="C43" s="60">
        <v>721439.72</v>
      </c>
      <c r="D43" s="60">
        <v>458843.49</v>
      </c>
      <c r="E43" s="79"/>
      <c r="F43" s="72">
        <f>IF(C44=0,C43-$C$42,C43-C44)</f>
        <v>-15.28000000002794</v>
      </c>
      <c r="G43" s="72">
        <f>IF(D44=0,D43-$D$42,D43-D44)</f>
        <v>-0.44000000000232831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15.286333765846404</v>
      </c>
      <c r="N43" s="36">
        <f>IF(F43=0,,ATAN(G43/F43))</f>
        <v>2.8787856325500023E-2</v>
      </c>
      <c r="O43" s="36">
        <f>ABS(DEGREES(N43))</f>
        <v>1.6494226686801416</v>
      </c>
      <c r="P43" s="37" t="str">
        <f>TEXT(INT(O43),"00")</f>
        <v>01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39</v>
      </c>
      <c r="U43" s="40" t="str">
        <f>IF(L43="",IF(G43&gt;0,"W","E"),"")</f>
        <v>E</v>
      </c>
      <c r="V43" s="44"/>
      <c r="W43" s="22">
        <f>IF(S43="due",90*(I43+K43),S43+T43/60)</f>
        <v>1.65</v>
      </c>
      <c r="X43" s="22">
        <f>IF(R43="",W43,IF(R43="N",IF(U43="E",180+W43,180-W43),IF(U43="E",360-W43,W43)))</f>
        <v>181.65</v>
      </c>
      <c r="Y43" s="22">
        <f>RADIANS(X43)</f>
        <v>3.1703905862476995</v>
      </c>
      <c r="Z43" s="64"/>
      <c r="AA43" s="58">
        <f>-M43*COS(Y43)</f>
        <v>15.279995565665972</v>
      </c>
      <c r="AB43" s="58">
        <f>-M43*SIN(Y43)</f>
        <v>0.44015396633915677</v>
      </c>
      <c r="AC43" s="64"/>
      <c r="AD43" s="82">
        <f>$AA$40/$M$40*M43</f>
        <v>2.887333106475693E-4</v>
      </c>
      <c r="AE43" s="82">
        <f>$AB$40/$M$40*M43</f>
        <v>-1.0343606748129059E-4</v>
      </c>
      <c r="AF43" s="22">
        <f t="shared" si="0"/>
        <v>15.279706832355325</v>
      </c>
      <c r="AG43" s="22">
        <f t="shared" si="0"/>
        <v>0.44025740240663808</v>
      </c>
      <c r="AH43" s="64"/>
      <c r="AI43" s="25">
        <f>A43</f>
        <v>2</v>
      </c>
      <c r="AJ43" s="82">
        <f t="shared" si="1"/>
        <v>721440.17828317557</v>
      </c>
      <c r="AK43" s="82">
        <f t="shared" si="1"/>
        <v>458843.51728829695</v>
      </c>
      <c r="AL43" s="66"/>
      <c r="AM43" s="9" t="str">
        <f>IF(A44=0,A43&amp;" - 1",A43&amp;" - "&amp;A44)</f>
        <v>2 - 3</v>
      </c>
      <c r="AN43" s="18">
        <f>AN42+F42+F43</f>
        <v>-17.479999999981374</v>
      </c>
      <c r="AO43" s="18">
        <f>AN43*G43</f>
        <v>7.6912000000325031</v>
      </c>
      <c r="AP43" s="9" t="str">
        <f>D43&amp;","&amp;C43</f>
        <v>458843.49,721439.72</v>
      </c>
    </row>
    <row r="44" spans="1:44" s="46" customFormat="1">
      <c r="A44" s="20">
        <f>A43+1</f>
        <v>3</v>
      </c>
      <c r="B44" s="44"/>
      <c r="C44" s="60">
        <v>721455</v>
      </c>
      <c r="D44" s="60">
        <v>458843.93</v>
      </c>
      <c r="E44" s="79"/>
      <c r="F44" s="72">
        <f>IF(C45=0,C44-$C$42,C44-C45)</f>
        <v>-28.160000000032596</v>
      </c>
      <c r="G44" s="72">
        <f>IF(D45=0,D44-$D$42,D44-D45)</f>
        <v>-49.770000000018626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57.184250454156434</v>
      </c>
      <c r="N44" s="22">
        <f>IF(F44=0,,ATAN(G44/F44))</f>
        <v>1.0559015371728893</v>
      </c>
      <c r="O44" s="22">
        <f>ABS(DEGREES(N44))</f>
        <v>60.498701661382562</v>
      </c>
      <c r="P44" s="24" t="str">
        <f>TEXT(INT(O44),"00")</f>
        <v>60</v>
      </c>
      <c r="Q44" s="25" t="str">
        <f>TEXT((O44-P44)*60,"00")</f>
        <v>30</v>
      </c>
      <c r="R44" s="23" t="str">
        <f>IF(L44="",IF(F44&gt;0,"S","N"),"")</f>
        <v>N</v>
      </c>
      <c r="S44" s="25" t="str">
        <f>IF(L44="",IF(INT(Q44)=60,INT(P44+1),P44),"due")</f>
        <v>60</v>
      </c>
      <c r="T44" s="25" t="str">
        <f>IF(L44="",IF(INT(Q44)=60,"00",Q44),L44)</f>
        <v>30</v>
      </c>
      <c r="U44" s="24" t="str">
        <f>IF(L44="",IF(G44&gt;0,"W","E"),"")</f>
        <v>E</v>
      </c>
      <c r="V44" s="44"/>
      <c r="W44" s="22">
        <f>IF(S44="due",90*(I44+K44),S44+T44/60)</f>
        <v>60.5</v>
      </c>
      <c r="X44" s="22">
        <f>IF(R44="",W44,IF(R44="N",IF(U44="E",180+W44,180-W44),IF(U44="E",360-W44,W44)))</f>
        <v>240.5</v>
      </c>
      <c r="Y44" s="22">
        <f>RADIANS(X44)</f>
        <v>4.1975168510463625</v>
      </c>
      <c r="Z44" s="64"/>
      <c r="AA44" s="58">
        <f>-M44*COS(Y44)</f>
        <v>28.158872190484022</v>
      </c>
      <c r="AB44" s="58">
        <f>-M44*SIN(Y44)</f>
        <v>49.77063810082884</v>
      </c>
      <c r="AC44" s="64"/>
      <c r="AD44" s="82">
        <f>$AA$40/$M$40*M44</f>
        <v>1.080114970891069E-3</v>
      </c>
      <c r="AE44" s="82">
        <f>$AB$40/$M$40*M44</f>
        <v>-3.8694130845543775E-4</v>
      </c>
      <c r="AF44" s="22">
        <f>AA44-AD44</f>
        <v>28.157792075513132</v>
      </c>
      <c r="AG44" s="22">
        <f>AB44-AE44</f>
        <v>49.771025042137296</v>
      </c>
      <c r="AH44" s="64"/>
      <c r="AI44" s="25">
        <f>A44</f>
        <v>3</v>
      </c>
      <c r="AJ44" s="82">
        <f t="shared" si="1"/>
        <v>721455.45799000794</v>
      </c>
      <c r="AK44" s="82">
        <f t="shared" si="1"/>
        <v>458843.95754569938</v>
      </c>
      <c r="AL44" s="66"/>
      <c r="AM44" s="9" t="str">
        <f>IF(A45=0,A44&amp;" - 1",A44&amp;" - "&amp;A45)</f>
        <v>3 - 4</v>
      </c>
      <c r="AN44" s="18">
        <f>AN43+F43+F44</f>
        <v>-60.92000000004191</v>
      </c>
      <c r="AO44" s="18">
        <f>AN44*G44</f>
        <v>3031.9884000032207</v>
      </c>
      <c r="AP44" s="9" t="str">
        <f>D44&amp;","&amp;C44</f>
        <v>458843.93,721455</v>
      </c>
    </row>
    <row r="45" spans="1:44" s="46" customFormat="1">
      <c r="A45" s="20">
        <f>A44+1</f>
        <v>4</v>
      </c>
      <c r="B45" s="44"/>
      <c r="C45" s="60">
        <v>721483.16</v>
      </c>
      <c r="D45" s="60">
        <v>458893.7</v>
      </c>
      <c r="E45" s="79"/>
      <c r="F45" s="72">
        <f>IF(C46=0,C45-$C$42,C45-C46)</f>
        <v>44.540000000037253</v>
      </c>
      <c r="G45" s="72">
        <f>IF(D46=0,D45-$D$42,D45-D46)</f>
        <v>3.3599999999860302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44.666555721291346</v>
      </c>
      <c r="N45" s="22">
        <f>IF(F45=0,,ATAN(G45/F45))</f>
        <v>7.5295193280317294E-2</v>
      </c>
      <c r="O45" s="22">
        <f>ABS(DEGREES(N45))</f>
        <v>4.3140967925839773</v>
      </c>
      <c r="P45" s="24" t="str">
        <f>TEXT(INT(O45),"00")</f>
        <v>04</v>
      </c>
      <c r="Q45" s="25" t="str">
        <f>TEXT((O45-P45)*60,"00")</f>
        <v>19</v>
      </c>
      <c r="R45" s="23" t="str">
        <f>IF(L45="",IF(F45&gt;0,"S","N"),"")</f>
        <v>S</v>
      </c>
      <c r="S45" s="25" t="str">
        <f>IF(L45="",IF(INT(Q45)=60,INT(P45+1),P45),"due")</f>
        <v>04</v>
      </c>
      <c r="T45" s="25" t="str">
        <f>IF(L45="",IF(INT(Q45)=60,"00",Q45),L45)</f>
        <v>19</v>
      </c>
      <c r="U45" s="24" t="str">
        <f>IF(L45="",IF(G45&gt;0,"W","E"),"")</f>
        <v>W</v>
      </c>
      <c r="V45" s="44"/>
      <c r="W45" s="22">
        <f>IF(S45="due",90*(I45+K45),S45+T45/60)</f>
        <v>4.3166666666666664</v>
      </c>
      <c r="X45" s="22">
        <f>IF(R45="",W45,IF(R45="N",IF(U45="E",180+W45,180-W45),IF(U45="E",360-W45,W45)))</f>
        <v>4.3166666666666664</v>
      </c>
      <c r="Y45" s="22">
        <f>RADIANS(X45)</f>
        <v>7.5340046044421891E-2</v>
      </c>
      <c r="Z45" s="64"/>
      <c r="AA45" s="58">
        <f>-M45*COS(Y45)</f>
        <v>-44.539849249947785</v>
      </c>
      <c r="AB45" s="58">
        <f>-M45*SIN(Y45)</f>
        <v>-3.3619977387188067</v>
      </c>
      <c r="AC45" s="64"/>
      <c r="AD45" s="82">
        <f>$AA$40/$M$40*M45</f>
        <v>8.4367662686046861E-4</v>
      </c>
      <c r="AE45" s="82">
        <f>$AB$40/$M$40*M45</f>
        <v>-3.0223943441997069E-4</v>
      </c>
      <c r="AF45" s="22">
        <f>AA45-AD45</f>
        <v>-44.540692926574643</v>
      </c>
      <c r="AG45" s="22">
        <f>AB45-AE45</f>
        <v>-3.3616954992843868</v>
      </c>
      <c r="AH45" s="64"/>
      <c r="AI45" s="25">
        <f>A45</f>
        <v>4</v>
      </c>
      <c r="AJ45" s="82">
        <f t="shared" ref="AJ45" si="2">AJ44+AF44</f>
        <v>721483.61578208348</v>
      </c>
      <c r="AK45" s="82">
        <f t="shared" ref="AK45" si="3">AK44+AG44</f>
        <v>458893.72857074154</v>
      </c>
      <c r="AL45" s="66"/>
      <c r="AM45" s="9" t="str">
        <f>IF(A46=0,A45&amp;" - 1",A45&amp;" - "&amp;A46)</f>
        <v>4 - 1</v>
      </c>
      <c r="AN45" s="18">
        <f>AN44+F44+F45</f>
        <v>-44.540000000037253</v>
      </c>
      <c r="AO45" s="18">
        <f>AN45*G45</f>
        <v>-149.65439999950294</v>
      </c>
      <c r="AP45" s="9" t="str">
        <f>D45&amp;","&amp;C45</f>
        <v>458893.7,721483.16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17" workbookViewId="0">
      <selection activeCell="D44" sqref="D4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1" t="s">
        <v>101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1" t="s">
        <v>102</v>
      </c>
      <c r="D8" s="112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1" t="s">
        <v>86</v>
      </c>
      <c r="D9" s="112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1" t="s">
        <v>98</v>
      </c>
      <c r="D10" s="112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1" t="s">
        <v>103</v>
      </c>
      <c r="D11" s="112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1" t="s">
        <v>62</v>
      </c>
      <c r="D12" s="112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1" t="s">
        <v>89</v>
      </c>
      <c r="D13" s="112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1" t="s">
        <v>64</v>
      </c>
      <c r="D14" s="112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1" t="s">
        <v>65</v>
      </c>
      <c r="D15" s="112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1" t="s">
        <v>94</v>
      </c>
      <c r="D16" s="112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1" t="s">
        <v>105</v>
      </c>
      <c r="D19" s="112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104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4" t="s">
        <v>16</v>
      </c>
      <c r="B28" s="114"/>
      <c r="C28" s="33">
        <f>ABS(SUM(AO42:AO65536))</f>
        <v>3090.162700003033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8" t="s">
        <v>17</v>
      </c>
      <c r="B29" s="118"/>
      <c r="C29" s="32">
        <f>ABS(C28/2)</f>
        <v>1545.0813500015165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8">
        <f>SQRT(AA40^2+AB40^2)</f>
        <v>4.7266341084618553E-3</v>
      </c>
      <c r="C32" s="118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2">
        <f>M40/B32</f>
        <v>34298.828421541977</v>
      </c>
      <c r="C33" s="12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8" t="str">
        <f>"1 : "&amp;TEXT(B35,"00")</f>
        <v>1 : 34000</v>
      </c>
      <c r="C34" s="118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1">
        <f>ROUND(B33,2-LEN(INT(B33)))</f>
        <v>34000</v>
      </c>
      <c r="C35" s="121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7" t="s">
        <v>7</v>
      </c>
      <c r="D38" s="12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8" t="s">
        <v>8</v>
      </c>
      <c r="N38" s="128"/>
      <c r="O38" s="128"/>
      <c r="P38" s="128"/>
      <c r="Q38" s="128"/>
      <c r="R38" s="128"/>
      <c r="S38" s="128"/>
      <c r="T38" s="128"/>
      <c r="U38" s="128"/>
      <c r="V38" s="129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5" t="s">
        <v>55</v>
      </c>
      <c r="AK38" s="117"/>
      <c r="AL38" s="65"/>
      <c r="AM38" s="115" t="s">
        <v>18</v>
      </c>
      <c r="AN38" s="116"/>
      <c r="AO38" s="117"/>
      <c r="AP38" s="12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5" t="s">
        <v>21</v>
      </c>
      <c r="O39" s="116"/>
      <c r="P39" s="116"/>
      <c r="Q39" s="117"/>
      <c r="R39" s="115" t="s">
        <v>24</v>
      </c>
      <c r="S39" s="116"/>
      <c r="T39" s="116"/>
      <c r="U39" s="117"/>
      <c r="V39" s="130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3"/>
    </row>
    <row r="40" spans="1:44" s="11" customFormat="1">
      <c r="A40" s="124" t="s">
        <v>25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51">
        <f>SUM(M42:M65536)</f>
        <v>162.11801229754121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-4.4550693969043209E-3</v>
      </c>
      <c r="AB40" s="91">
        <f>SUM(AB42:AB65536)</f>
        <v>-1.5790587905589737E-3</v>
      </c>
      <c r="AC40" s="91"/>
      <c r="AD40" s="91">
        <f>SUM(AD42:AD65536)</f>
        <v>-4.4550693969043209E-3</v>
      </c>
      <c r="AE40" s="91">
        <f>SUM(AE42:AE65536)</f>
        <v>-1.5790587905589739E-3</v>
      </c>
      <c r="AF40" s="91">
        <f>SUM(AF42:AF65536)</f>
        <v>0</v>
      </c>
      <c r="AG40" s="91">
        <f>SUM(AG42:AG65536)</f>
        <v>-2.886579864025407E-15</v>
      </c>
      <c r="AH40" s="92"/>
      <c r="AI40" s="93">
        <v>1</v>
      </c>
      <c r="AJ40" s="92">
        <f>AJ44+AF44</f>
        <v>721483.01950753515</v>
      </c>
      <c r="AK40" s="92">
        <f>AK44+AG44</f>
        <v>458910.6182769452</v>
      </c>
      <c r="AL40" s="92"/>
      <c r="AM40" s="51"/>
      <c r="AN40" s="57"/>
      <c r="AO40" s="52"/>
      <c r="AP40" s="103"/>
    </row>
    <row r="41" spans="1:44">
      <c r="A41" s="34" t="str">
        <f>IF(A22=0, " ",  A22)</f>
        <v>BLLM1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-201.38000000000466</v>
      </c>
      <c r="G41" s="72">
        <f>IF(D42=0,D41-$D$41,D41-D42)</f>
        <v>3510.4799999999814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3516.2513753712024</v>
      </c>
      <c r="N41" s="36">
        <f>IF(F41=0,,ATAN(G41/F41))</f>
        <v>-1.5134937540329927</v>
      </c>
      <c r="O41" s="36">
        <f>ABS(DEGREES(N41))</f>
        <v>86.716804425501593</v>
      </c>
      <c r="P41" s="37" t="str">
        <f>TEXT(INT(O41),"00")</f>
        <v>86</v>
      </c>
      <c r="Q41" s="38" t="str">
        <f>TEXT((O41-P41)*60,"00")</f>
        <v>43</v>
      </c>
      <c r="R41" s="39" t="str">
        <f>IF(L41="",IF(F41&gt;0,"S","N"),"")</f>
        <v>N</v>
      </c>
      <c r="S41" s="25" t="str">
        <f>IF(L41="",IF(INT(Q41)=60,INT(P41+1),P41),"due")</f>
        <v>86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86.716666666666669</v>
      </c>
      <c r="X41" s="22">
        <f>IF(R41="",W41,IF(R41="N",IF(U41="E",180+W41,180-W41),IF(U41="E",360-W41,W41)))</f>
        <v>93.283333333333331</v>
      </c>
      <c r="Y41" s="22">
        <f>RADIANS(X41)</f>
        <v>1.6281013039020438</v>
      </c>
      <c r="Z41" s="64"/>
      <c r="AA41" s="58">
        <f>-M41*COS(Y41)</f>
        <v>201.38844040531191</v>
      </c>
      <c r="AB41" s="58">
        <f>-M41*SIN(Y41)</f>
        <v>-3510.4795158027896</v>
      </c>
      <c r="AC41" s="64"/>
      <c r="AD41" s="22">
        <v>0</v>
      </c>
      <c r="AE41" s="22">
        <v>0</v>
      </c>
      <c r="AF41" s="22">
        <f t="shared" ref="AF41:AG43" si="0">AA41-AD41</f>
        <v>201.38844040531191</v>
      </c>
      <c r="AG41" s="22">
        <f t="shared" si="0"/>
        <v>-3510.4795158027896</v>
      </c>
      <c r="AH41" s="63"/>
      <c r="AI41" s="36" t="str">
        <f>A41</f>
        <v>BLLM1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BLLM1 - 1</v>
      </c>
      <c r="AN41" s="42"/>
      <c r="AO41" s="43"/>
      <c r="AP41" s="9"/>
    </row>
    <row r="42" spans="1:44">
      <c r="A42" s="20">
        <v>1</v>
      </c>
      <c r="B42" s="44"/>
      <c r="C42" s="60">
        <v>721430</v>
      </c>
      <c r="D42" s="60">
        <v>458939.74</v>
      </c>
      <c r="E42" s="79"/>
      <c r="F42" s="72">
        <f>IF(C43=0,C42-$C$42,C42-C43)</f>
        <v>-0.68999999994412065</v>
      </c>
      <c r="G42" s="72">
        <f>IF(D43=0,D42-$D$42,D42-D43)</f>
        <v>26.589999999967404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26.59895110710551</v>
      </c>
      <c r="N42" s="36">
        <f>IF(F42=0,,ATAN(G42/F42))</f>
        <v>-1.5448525439957688</v>
      </c>
      <c r="O42" s="36">
        <f>ABS(DEGREES(N42))</f>
        <v>88.51353074100588</v>
      </c>
      <c r="P42" s="37" t="str">
        <f>TEXT(INT(O42),"00")</f>
        <v>88</v>
      </c>
      <c r="Q42" s="38" t="str">
        <f>TEXT((O42-P42)*60,"00")</f>
        <v>31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31</v>
      </c>
      <c r="U42" s="40" t="str">
        <f>IF(L42="",IF(G42&gt;0,"W","E"),"")</f>
        <v>W</v>
      </c>
      <c r="V42" s="44"/>
      <c r="W42" s="22">
        <f>IF(S42="due",90*(I42+K42),S42+T42/60)</f>
        <v>88.516666666666666</v>
      </c>
      <c r="X42" s="22">
        <f>IF(R42="",W42,IF(R42="N",IF(U42="E",180+W42,180-W42),IF(U42="E",360-W42,W42)))</f>
        <v>91.483333333333334</v>
      </c>
      <c r="Y42" s="22">
        <f>RADIANS(X42)</f>
        <v>1.5966853773661458</v>
      </c>
      <c r="Z42" s="64"/>
      <c r="AA42" s="58">
        <f>-M42*COS(Y42)</f>
        <v>0.68854466897206668</v>
      </c>
      <c r="AB42" s="58">
        <f>-M42*SIN(Y42)</f>
        <v>-26.590037725377893</v>
      </c>
      <c r="AC42" s="64"/>
      <c r="AD42" s="82">
        <f>$AA$40/$M$40*M42</f>
        <v>-7.3095007388526505E-4</v>
      </c>
      <c r="AE42" s="82">
        <f>$AB$40/$M$40*M42</f>
        <v>-2.5907859941088311E-4</v>
      </c>
      <c r="AF42" s="22">
        <f t="shared" si="0"/>
        <v>0.68927561904595191</v>
      </c>
      <c r="AG42" s="22">
        <f t="shared" si="0"/>
        <v>-26.589778646778484</v>
      </c>
      <c r="AH42" s="63"/>
      <c r="AI42" s="38">
        <f>A42</f>
        <v>1</v>
      </c>
      <c r="AJ42" s="82">
        <f t="shared" ref="AJ42:AK44" si="1">AJ41+AF41</f>
        <v>721430.00844040536</v>
      </c>
      <c r="AK42" s="82">
        <f t="shared" si="1"/>
        <v>458939.74048419716</v>
      </c>
      <c r="AL42" s="66"/>
      <c r="AM42" s="9" t="str">
        <f>IF(A43=0,A42&amp;" - 1",A42&amp;" - "&amp;A43)</f>
        <v>1 - 2</v>
      </c>
      <c r="AN42" s="18">
        <f>F42</f>
        <v>-0.68999999994412065</v>
      </c>
      <c r="AO42" s="18">
        <f>AN42*G42</f>
        <v>-18.347099998491675</v>
      </c>
      <c r="AP42" s="9" t="str">
        <f>D42&amp;","&amp;C42</f>
        <v>458939.74,721430</v>
      </c>
    </row>
    <row r="43" spans="1:44">
      <c r="A43" s="20">
        <f>A42+1</f>
        <v>2</v>
      </c>
      <c r="B43" s="44"/>
      <c r="C43" s="60">
        <v>721430.69</v>
      </c>
      <c r="D43" s="60">
        <v>458913.15</v>
      </c>
      <c r="E43" s="79"/>
      <c r="F43" s="72">
        <f>IF(C44=0,C43-$C$42,C43-C44)</f>
        <v>-3.0800000000745058</v>
      </c>
      <c r="G43" s="72">
        <f>IF(D44=0,D43-$D$42,D43-D44)</f>
        <v>2.9200000000419095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4.2441489135872352</v>
      </c>
      <c r="N43" s="36">
        <f>IF(F43=0,,ATAN(G43/F43))</f>
        <v>-0.75873781501793858</v>
      </c>
      <c r="O43" s="36">
        <f>ABS(DEGREES(N43))</f>
        <v>43.472474557505649</v>
      </c>
      <c r="P43" s="37" t="str">
        <f>TEXT(INT(O43),"00")</f>
        <v>43</v>
      </c>
      <c r="Q43" s="38" t="str">
        <f>TEXT((O43-P43)*60,"00")</f>
        <v>28</v>
      </c>
      <c r="R43" s="39" t="str">
        <f>IF(L43="",IF(F43&gt;0,"S","N"),"")</f>
        <v>N</v>
      </c>
      <c r="S43" s="25" t="str">
        <f>IF(L43="",IF(INT(Q43)=60,INT(P43+1),P43),"due")</f>
        <v>43</v>
      </c>
      <c r="T43" s="38" t="str">
        <f>IF(L43="",IF(INT(Q43)=60,"00",Q43),L43)</f>
        <v>28</v>
      </c>
      <c r="U43" s="40" t="str">
        <f>IF(L43="",IF(G43&gt;0,"W","E"),"")</f>
        <v>W</v>
      </c>
      <c r="V43" s="44"/>
      <c r="W43" s="22">
        <f>IF(S43="due",90*(I43+K43),S43+T43/60)</f>
        <v>43.466666666666669</v>
      </c>
      <c r="X43" s="22">
        <f>IF(R43="",W43,IF(R43="N",IF(U43="E",180+W43,180-W43),IF(U43="E",360-W43,W43)))</f>
        <v>136.53333333333333</v>
      </c>
      <c r="Y43" s="22">
        <f>RADIANS(X43)</f>
        <v>2.3829562053895912</v>
      </c>
      <c r="Z43" s="64"/>
      <c r="AA43" s="58">
        <f>-M43*COS(Y43)</f>
        <v>3.0802959753579371</v>
      </c>
      <c r="AB43" s="58">
        <f>-M43*SIN(Y43)</f>
        <v>-2.9196877752419699</v>
      </c>
      <c r="AC43" s="64"/>
      <c r="AD43" s="82">
        <f>$AA$40/$M$40*M43</f>
        <v>-1.1663095095272139E-4</v>
      </c>
      <c r="AE43" s="82">
        <f>$AB$40/$M$40*M43</f>
        <v>-4.1338778803562259E-5</v>
      </c>
      <c r="AF43" s="22">
        <f t="shared" si="0"/>
        <v>3.0804126063088897</v>
      </c>
      <c r="AG43" s="22">
        <f t="shared" si="0"/>
        <v>-2.9196464364631662</v>
      </c>
      <c r="AH43" s="64"/>
      <c r="AI43" s="25">
        <f>A43</f>
        <v>2</v>
      </c>
      <c r="AJ43" s="82">
        <f t="shared" si="1"/>
        <v>721430.69771602436</v>
      </c>
      <c r="AK43" s="82">
        <f t="shared" si="1"/>
        <v>458913.15070555039</v>
      </c>
      <c r="AL43" s="66"/>
      <c r="AM43" s="9" t="str">
        <f>IF(A44=0,A43&amp;" - 1",A43&amp;" - "&amp;A44)</f>
        <v>2 - 3</v>
      </c>
      <c r="AN43" s="18">
        <f>AN42+F42+F43</f>
        <v>-4.4599999999627471</v>
      </c>
      <c r="AO43" s="18">
        <f>AN43*G43</f>
        <v>-13.023200000078138</v>
      </c>
      <c r="AP43" s="9" t="str">
        <f>D43&amp;","&amp;C43</f>
        <v>458913.15,721430.69</v>
      </c>
    </row>
    <row r="44" spans="1:44" s="46" customFormat="1">
      <c r="A44" s="20">
        <f>A43+1</f>
        <v>3</v>
      </c>
      <c r="B44" s="44"/>
      <c r="C44" s="60">
        <v>721433.77</v>
      </c>
      <c r="D44" s="60">
        <v>458910.23</v>
      </c>
      <c r="E44" s="79"/>
      <c r="F44" s="72">
        <f>IF(C45=0,C44-$C$42,C44-C45)</f>
        <v>-49.239999999990687</v>
      </c>
      <c r="G44" s="72">
        <f>IF(D45=0,D44-$D$42,D44-D45)</f>
        <v>-0.39000000001396984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49.241544451805062</v>
      </c>
      <c r="N44" s="22">
        <f>IF(F44=0,,ATAN(G44/F44))</f>
        <v>7.9202243112516477E-3</v>
      </c>
      <c r="O44" s="22">
        <f>ABS(DEGREES(N44))</f>
        <v>0.45379542583162868</v>
      </c>
      <c r="P44" s="24" t="str">
        <f>TEXT(INT(O44),"00")</f>
        <v>00</v>
      </c>
      <c r="Q44" s="25" t="str">
        <f>TEXT((O44-P44)*60,"00")</f>
        <v>27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27</v>
      </c>
      <c r="U44" s="24" t="str">
        <f>IF(L44="",IF(G44&gt;0,"W","E"),"")</f>
        <v>E</v>
      </c>
      <c r="V44" s="44"/>
      <c r="W44" s="22">
        <f>IF(S44="due",90*(I44+K44),S44+T44/60)</f>
        <v>0.45</v>
      </c>
      <c r="X44" s="22">
        <f>IF(R44="",W44,IF(R44="N",IF(U44="E",180+W44,180-W44),IF(U44="E",360-W44,W44)))</f>
        <v>180.45</v>
      </c>
      <c r="Y44" s="22">
        <f>RADIANS(X44)</f>
        <v>3.1494466352237676</v>
      </c>
      <c r="Z44" s="64"/>
      <c r="AA44" s="58">
        <f>-M44*COS(Y44)</f>
        <v>49.240025726599974</v>
      </c>
      <c r="AB44" s="58">
        <f>-M44*SIN(Y44)</f>
        <v>0.38673820973154216</v>
      </c>
      <c r="AC44" s="64"/>
      <c r="AD44" s="82">
        <f>$AA$40/$M$40*M44</f>
        <v>-1.3531778155589172E-3</v>
      </c>
      <c r="AE44" s="82">
        <f>$AB$40/$M$40*M44</f>
        <v>-4.7962155793408116E-4</v>
      </c>
      <c r="AF44" s="22">
        <f>AA44-AD44</f>
        <v>49.241378904415534</v>
      </c>
      <c r="AG44" s="22">
        <f>AB44-AE44</f>
        <v>0.38721783128947623</v>
      </c>
      <c r="AH44" s="64"/>
      <c r="AI44" s="25">
        <f>A44</f>
        <v>3</v>
      </c>
      <c r="AJ44" s="82">
        <f t="shared" si="1"/>
        <v>721433.77812863071</v>
      </c>
      <c r="AK44" s="82">
        <f t="shared" si="1"/>
        <v>458910.23105911392</v>
      </c>
      <c r="AL44" s="66"/>
      <c r="AM44" s="9" t="str">
        <f>IF(A45=0,A44&amp;" - 1",A44&amp;" - "&amp;A45)</f>
        <v>3 - 4</v>
      </c>
      <c r="AN44" s="18">
        <f>AN43+F43+F44</f>
        <v>-56.78000000002794</v>
      </c>
      <c r="AO44" s="18">
        <f>AN44*G44</f>
        <v>22.144200000804105</v>
      </c>
      <c r="AP44" s="9" t="str">
        <f>D44&amp;","&amp;C44</f>
        <v>458910.23,721433.77</v>
      </c>
    </row>
    <row r="45" spans="1:44" s="46" customFormat="1">
      <c r="A45" s="20">
        <f t="shared" ref="A45:A46" si="2">A44+1</f>
        <v>4</v>
      </c>
      <c r="B45" s="44"/>
      <c r="C45" s="60">
        <v>721483.01</v>
      </c>
      <c r="D45" s="60">
        <v>458910.62</v>
      </c>
      <c r="E45" s="79"/>
      <c r="F45" s="72">
        <f t="shared" ref="F45:F46" si="3">IF(C46=0,C45-$C$42,C45-C46)</f>
        <v>0.75</v>
      </c>
      <c r="G45" s="72">
        <f t="shared" ref="G45:G46" si="4">IF(D46=0,D45-$D$42,D45-D46)</f>
        <v>-29.760000000009313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29.769449104754262</v>
      </c>
      <c r="N45" s="22">
        <f t="shared" ref="N45:N46" si="11">IF(F45=0,,ATAN(G45/F45))</f>
        <v>-1.5456000472197637</v>
      </c>
      <c r="O45" s="22">
        <f t="shared" ref="O45:O46" si="12">ABS(DEGREES(N45))</f>
        <v>88.556359520913205</v>
      </c>
      <c r="P45" s="24" t="str">
        <f t="shared" ref="P45:P46" si="13">TEXT(INT(O45),"00")</f>
        <v>88</v>
      </c>
      <c r="Q45" s="25" t="str">
        <f t="shared" ref="Q45:Q46" si="14">TEXT((O45-P45)*60,"00")</f>
        <v>33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33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88.55</v>
      </c>
      <c r="X45" s="22">
        <f t="shared" ref="X45:X46" si="20">IF(R45="",W45,IF(R45="N",IF(U45="E",180+W45,180-W45),IF(U45="E",360-W45,W45)))</f>
        <v>271.45</v>
      </c>
      <c r="Y45" s="22">
        <f t="shared" ref="Y45:Y46" si="21">RADIANS(X45)</f>
        <v>4.7376962545386077</v>
      </c>
      <c r="Z45" s="64"/>
      <c r="AA45" s="58">
        <f t="shared" ref="AA45:AA46" si="22">-M45*COS(Y45)</f>
        <v>-0.75330319403793145</v>
      </c>
      <c r="AB45" s="58">
        <f t="shared" ref="AB45:AB46" si="23">-M45*SIN(Y45)</f>
        <v>29.759916570756825</v>
      </c>
      <c r="AC45" s="64"/>
      <c r="AD45" s="82">
        <f t="shared" ref="AD45:AD46" si="24">$AA$40/$M$40*M45</f>
        <v>-8.1807665779839403E-4</v>
      </c>
      <c r="AE45" s="82">
        <f t="shared" ref="AE45:AE46" si="25">$AB$40/$M$40*M45</f>
        <v>-2.8995982391324406E-4</v>
      </c>
      <c r="AF45" s="22">
        <f t="shared" ref="AF45:AF46" si="26">AA45-AD45</f>
        <v>-0.75248511738013302</v>
      </c>
      <c r="AG45" s="22">
        <f t="shared" ref="AG45:AG46" si="27">AB45-AE45</f>
        <v>29.760206530580739</v>
      </c>
      <c r="AH45" s="64"/>
      <c r="AI45" s="25">
        <f t="shared" ref="AI45:AI46" si="28">A45</f>
        <v>4</v>
      </c>
      <c r="AJ45" s="82">
        <f t="shared" ref="AJ45:AJ46" si="29">AJ44+AF44</f>
        <v>721483.01950753515</v>
      </c>
      <c r="AK45" s="82">
        <f t="shared" ref="AK45:AK46" si="30">AK44+AG44</f>
        <v>458910.6182769452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-105.27000000001863</v>
      </c>
      <c r="AO45" s="18">
        <f t="shared" ref="AO45:AO46" si="33">AN45*G45</f>
        <v>3132.8352000015348</v>
      </c>
      <c r="AP45" s="9" t="str">
        <f t="shared" ref="AP45:AP46" si="34">D45&amp;","&amp;C45</f>
        <v>458910.62,721483.01</v>
      </c>
    </row>
    <row r="46" spans="1:44" s="46" customFormat="1">
      <c r="A46" s="20">
        <f t="shared" si="2"/>
        <v>5</v>
      </c>
      <c r="B46" s="44"/>
      <c r="C46" s="60">
        <v>721482.26</v>
      </c>
      <c r="D46" s="60">
        <v>458940.38</v>
      </c>
      <c r="E46" s="79"/>
      <c r="F46" s="72">
        <f t="shared" si="3"/>
        <v>52.260000000009313</v>
      </c>
      <c r="G46" s="72">
        <f t="shared" si="4"/>
        <v>0.64000000001396984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52.263918720289155</v>
      </c>
      <c r="N46" s="22">
        <f t="shared" si="11"/>
        <v>1.2245847838862777E-2</v>
      </c>
      <c r="O46" s="22">
        <f t="shared" si="12"/>
        <v>0.70163539772623729</v>
      </c>
      <c r="P46" s="24" t="str">
        <f t="shared" si="13"/>
        <v>00</v>
      </c>
      <c r="Q46" s="25" t="str">
        <f t="shared" si="14"/>
        <v>42</v>
      </c>
      <c r="R46" s="23" t="str">
        <f t="shared" si="15"/>
        <v>S</v>
      </c>
      <c r="S46" s="25" t="str">
        <f t="shared" si="16"/>
        <v>00</v>
      </c>
      <c r="T46" s="25" t="str">
        <f t="shared" si="17"/>
        <v>42</v>
      </c>
      <c r="U46" s="24" t="str">
        <f t="shared" si="18"/>
        <v>W</v>
      </c>
      <c r="V46" s="44"/>
      <c r="W46" s="22">
        <f t="shared" si="19"/>
        <v>0.7</v>
      </c>
      <c r="X46" s="22">
        <f t="shared" si="20"/>
        <v>0.7</v>
      </c>
      <c r="Y46" s="22">
        <f t="shared" si="21"/>
        <v>1.2217304763960306E-2</v>
      </c>
      <c r="Z46" s="64"/>
      <c r="AA46" s="58">
        <f t="shared" si="22"/>
        <v>-52.260018246288951</v>
      </c>
      <c r="AB46" s="58">
        <f t="shared" si="23"/>
        <v>-0.63850833865906276</v>
      </c>
      <c r="AC46" s="64"/>
      <c r="AD46" s="82">
        <f t="shared" si="24"/>
        <v>-1.4362338987090237E-3</v>
      </c>
      <c r="AE46" s="82">
        <f t="shared" si="25"/>
        <v>-5.0906003049720327E-4</v>
      </c>
      <c r="AF46" s="22">
        <f t="shared" si="26"/>
        <v>-52.258582012390242</v>
      </c>
      <c r="AG46" s="22">
        <f t="shared" si="27"/>
        <v>-0.63799927862856554</v>
      </c>
      <c r="AH46" s="64"/>
      <c r="AI46" s="25">
        <f t="shared" si="28"/>
        <v>5</v>
      </c>
      <c r="AJ46" s="82">
        <f t="shared" si="29"/>
        <v>721482.26702241774</v>
      </c>
      <c r="AK46" s="82">
        <f t="shared" si="30"/>
        <v>458940.37848347577</v>
      </c>
      <c r="AL46" s="66"/>
      <c r="AM46" s="9" t="str">
        <f t="shared" si="31"/>
        <v>5 - 1</v>
      </c>
      <c r="AN46" s="18">
        <f t="shared" si="32"/>
        <v>-52.260000000009313</v>
      </c>
      <c r="AO46" s="18">
        <f t="shared" si="33"/>
        <v>-33.446400000736027</v>
      </c>
      <c r="AP46" s="9" t="str">
        <f t="shared" si="34"/>
        <v>458940.38,721482.26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10" workbookViewId="0">
      <selection activeCell="A40" sqref="A40:L4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3" t="s">
        <v>48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1" t="s">
        <v>106</v>
      </c>
      <c r="D7" s="112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1" t="s">
        <v>107</v>
      </c>
      <c r="D8" s="112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1" t="s">
        <v>86</v>
      </c>
      <c r="D9" s="112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1" t="s">
        <v>93</v>
      </c>
      <c r="D10" s="112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1" t="s">
        <v>88</v>
      </c>
      <c r="D11" s="112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1" t="s">
        <v>62</v>
      </c>
      <c r="D12" s="112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1" t="s">
        <v>89</v>
      </c>
      <c r="D13" s="112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1" t="s">
        <v>64</v>
      </c>
      <c r="D14" s="112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1" t="s">
        <v>65</v>
      </c>
      <c r="D15" s="112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1" t="s">
        <v>66</v>
      </c>
      <c r="D16" s="112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1" t="s">
        <v>108</v>
      </c>
      <c r="D19" s="112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109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4" t="s">
        <v>16</v>
      </c>
      <c r="B28" s="114"/>
      <c r="C28" s="33">
        <f>ABS(SUM(AO42:AO65536))</f>
        <v>3142.9430000004427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8" t="s">
        <v>17</v>
      </c>
      <c r="B29" s="118"/>
      <c r="C29" s="32">
        <f>ABS(C28/2)</f>
        <v>1571.4715000002213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8">
        <f>SQRT(AA40^2+AB40^2)</f>
        <v>6.1444352917598092E-3</v>
      </c>
      <c r="C32" s="118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2">
        <f>M40/B32</f>
        <v>26801.110082105937</v>
      </c>
      <c r="C33" s="12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8" t="str">
        <f>"1 : "&amp;TEXT(B35,"00")</f>
        <v>1 : 27000</v>
      </c>
      <c r="C34" s="118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1">
        <f>ROUND(B33,2-LEN(INT(B33)))</f>
        <v>27000</v>
      </c>
      <c r="C35" s="121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7" t="s">
        <v>7</v>
      </c>
      <c r="D38" s="127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8" t="s">
        <v>8</v>
      </c>
      <c r="N38" s="128"/>
      <c r="O38" s="128"/>
      <c r="P38" s="128"/>
      <c r="Q38" s="128"/>
      <c r="R38" s="128"/>
      <c r="S38" s="128"/>
      <c r="T38" s="128"/>
      <c r="U38" s="128"/>
      <c r="V38" s="129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5" t="s">
        <v>55</v>
      </c>
      <c r="AK38" s="117"/>
      <c r="AL38" s="65"/>
      <c r="AM38" s="115" t="s">
        <v>18</v>
      </c>
      <c r="AN38" s="116"/>
      <c r="AO38" s="117"/>
      <c r="AP38" s="12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5" t="s">
        <v>21</v>
      </c>
      <c r="O39" s="116"/>
      <c r="P39" s="116"/>
      <c r="Q39" s="117"/>
      <c r="R39" s="115" t="s">
        <v>24</v>
      </c>
      <c r="S39" s="116"/>
      <c r="T39" s="116"/>
      <c r="U39" s="117"/>
      <c r="V39" s="130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3"/>
    </row>
    <row r="40" spans="1:44" s="11" customFormat="1">
      <c r="A40" s="124" t="s">
        <v>25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51">
        <f>SUM(M42:M65536)</f>
        <v>164.67768664683135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-2.6898071066153717E-3</v>
      </c>
      <c r="AB40" s="91">
        <f>SUM(AB42:AB65536)</f>
        <v>-5.5244024820630955E-3</v>
      </c>
      <c r="AC40" s="91"/>
      <c r="AD40" s="91">
        <f>SUM(AD42:AD65536)</f>
        <v>-2.6898071066153717E-3</v>
      </c>
      <c r="AE40" s="91">
        <f>SUM(AE42:AE65536)</f>
        <v>-5.5244024820630955E-3</v>
      </c>
      <c r="AF40" s="91">
        <f>SUM(AF42:AF65536)</f>
        <v>-3.219646771412954E-15</v>
      </c>
      <c r="AG40" s="91">
        <f>SUM(AG42:AG65536)</f>
        <v>0</v>
      </c>
      <c r="AH40" s="92"/>
      <c r="AI40" s="93">
        <v>1</v>
      </c>
      <c r="AJ40" s="92">
        <f>AJ44+AF44</f>
        <v>721429.2298083374</v>
      </c>
      <c r="AK40" s="92">
        <f>AK44+AG44</f>
        <v>458969.78952397167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BBLM1 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-201.38000000000466</v>
      </c>
      <c r="G41" s="72">
        <f>IF(D42=0,D41-$D$41,D41-D42)</f>
        <v>3510.4799999999814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3516.2513753712024</v>
      </c>
      <c r="N41" s="36">
        <f>IF(F41=0,,ATAN(G41/F41))</f>
        <v>-1.5134937540329927</v>
      </c>
      <c r="O41" s="36">
        <f>ABS(DEGREES(N41))</f>
        <v>86.716804425501593</v>
      </c>
      <c r="P41" s="37" t="str">
        <f>TEXT(INT(O41),"00")</f>
        <v>86</v>
      </c>
      <c r="Q41" s="38" t="str">
        <f>TEXT((O41-P41)*60,"00")</f>
        <v>43</v>
      </c>
      <c r="R41" s="39" t="str">
        <f>IF(L41="",IF(F41&gt;0,"S","N"),"")</f>
        <v>N</v>
      </c>
      <c r="S41" s="25" t="str">
        <f>IF(L41="",IF(INT(Q41)=60,INT(P41+1),P41),"due")</f>
        <v>86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86.716666666666669</v>
      </c>
      <c r="X41" s="22">
        <f>IF(R41="",W41,IF(R41="N",IF(U41="E",180+W41,180-W41),IF(U41="E",360-W41,W41)))</f>
        <v>93.283333333333331</v>
      </c>
      <c r="Y41" s="22">
        <f>RADIANS(X41)</f>
        <v>1.6281013039020438</v>
      </c>
      <c r="Z41" s="64"/>
      <c r="AA41" s="58">
        <f>-M41*COS(Y41)</f>
        <v>201.38844040531191</v>
      </c>
      <c r="AB41" s="58">
        <f>-M41*SIN(Y41)</f>
        <v>-3510.4795158027896</v>
      </c>
      <c r="AC41" s="64"/>
      <c r="AD41" s="22">
        <v>0</v>
      </c>
      <c r="AE41" s="22">
        <v>0</v>
      </c>
      <c r="AF41" s="22">
        <f t="shared" ref="AF41:AG43" si="0">AA41-AD41</f>
        <v>201.38844040531191</v>
      </c>
      <c r="AG41" s="22">
        <f t="shared" si="0"/>
        <v>-3510.4795158027896</v>
      </c>
      <c r="AH41" s="63"/>
      <c r="AI41" s="36" t="str">
        <f>A41</f>
        <v xml:space="preserve">BBLM1 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BBLM1  - 1</v>
      </c>
      <c r="AN41" s="42"/>
      <c r="AO41" s="43"/>
      <c r="AP41" s="9"/>
    </row>
    <row r="42" spans="1:44">
      <c r="A42" s="20">
        <v>1</v>
      </c>
      <c r="B42" s="44"/>
      <c r="C42" s="60">
        <v>721430</v>
      </c>
      <c r="D42" s="60">
        <v>458939.74</v>
      </c>
      <c r="E42" s="79"/>
      <c r="F42" s="72">
        <f>IF(C43=0,C42-$C$42,C42-C43)</f>
        <v>-52.260000000009313</v>
      </c>
      <c r="G42" s="72">
        <f>IF(D43=0,D42-$D$42,D42-D43)</f>
        <v>-0.64000000001396984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52.263918720289155</v>
      </c>
      <c r="N42" s="36">
        <f>IF(F42=0,,ATAN(G42/F42))</f>
        <v>1.2245847838862777E-2</v>
      </c>
      <c r="O42" s="36">
        <f>ABS(DEGREES(N42))</f>
        <v>0.70163539772623729</v>
      </c>
      <c r="P42" s="37" t="str">
        <f>TEXT(INT(O42),"00")</f>
        <v>00</v>
      </c>
      <c r="Q42" s="38" t="str">
        <f>TEXT((O42-P42)*60,"00")</f>
        <v>42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42</v>
      </c>
      <c r="U42" s="40" t="str">
        <f>IF(L42="",IF(G42&gt;0,"W","E"),"")</f>
        <v>E</v>
      </c>
      <c r="V42" s="44"/>
      <c r="W42" s="22">
        <f>IF(S42="due",90*(I42+K42),S42+T42/60)</f>
        <v>0.7</v>
      </c>
      <c r="X42" s="22">
        <f>IF(R42="",W42,IF(R42="N",IF(U42="E",180+W42,180-W42),IF(U42="E",360-W42,W42)))</f>
        <v>180.7</v>
      </c>
      <c r="Y42" s="22">
        <f>RADIANS(X42)</f>
        <v>3.1538099583537531</v>
      </c>
      <c r="Z42" s="64"/>
      <c r="AA42" s="58">
        <f>-M42*COS(Y42)</f>
        <v>52.260018246288951</v>
      </c>
      <c r="AB42" s="58">
        <f>-M42*SIN(Y42)</f>
        <v>0.63850833865903978</v>
      </c>
      <c r="AC42" s="64"/>
      <c r="AD42" s="82">
        <f>$AA$40/$M$40*M42</f>
        <v>-8.5366671621329158E-4</v>
      </c>
      <c r="AE42" s="82">
        <f>$AB$40/$M$40*M42</f>
        <v>-1.7532850271325137E-3</v>
      </c>
      <c r="AF42" s="22">
        <f t="shared" si="0"/>
        <v>52.260871913005161</v>
      </c>
      <c r="AG42" s="22">
        <f t="shared" si="0"/>
        <v>0.64026162368617234</v>
      </c>
      <c r="AH42" s="63"/>
      <c r="AI42" s="38">
        <f>A42</f>
        <v>1</v>
      </c>
      <c r="AJ42" s="82">
        <f t="shared" ref="AJ42:AK44" si="1">AJ41+AF41</f>
        <v>721430.00844040536</v>
      </c>
      <c r="AK42" s="82">
        <f t="shared" si="1"/>
        <v>458939.74048419716</v>
      </c>
      <c r="AL42" s="66"/>
      <c r="AM42" s="9" t="str">
        <f>IF(A43=0,A42&amp;" - 1",A42&amp;" - "&amp;A43)</f>
        <v>1 - 2</v>
      </c>
      <c r="AN42" s="18">
        <f>F42</f>
        <v>-52.260000000009313</v>
      </c>
      <c r="AO42" s="18">
        <f>AN42*G42</f>
        <v>33.446400000736027</v>
      </c>
      <c r="AP42" s="9" t="str">
        <f>D42&amp;","&amp;C42</f>
        <v>458939.74,721430</v>
      </c>
    </row>
    <row r="43" spans="1:44">
      <c r="A43" s="20">
        <f>A42+1</f>
        <v>2</v>
      </c>
      <c r="B43" s="44"/>
      <c r="C43" s="60">
        <v>721482.26</v>
      </c>
      <c r="D43" s="60">
        <v>458940.38</v>
      </c>
      <c r="E43" s="79"/>
      <c r="F43" s="72">
        <f>IF(C44=0,C43-$C$42,C43-C44)</f>
        <v>0.76000000000931323</v>
      </c>
      <c r="G43" s="72">
        <f>IF(D44=0,D43-$D$42,D43-D44)</f>
        <v>-30.059999999997672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30.069605916936691</v>
      </c>
      <c r="N43" s="36">
        <f>IF(F43=0,,ATAN(G43/F43))</f>
        <v>-1.5455189440013659</v>
      </c>
      <c r="O43" s="36">
        <f>ABS(DEGREES(N43))</f>
        <v>88.55171264879408</v>
      </c>
      <c r="P43" s="37" t="str">
        <f>TEXT(INT(O43),"00")</f>
        <v>88</v>
      </c>
      <c r="Q43" s="38" t="str">
        <f>TEXT((O43-P43)*60,"00")</f>
        <v>33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33</v>
      </c>
      <c r="U43" s="40" t="str">
        <f>IF(L43="",IF(G43&gt;0,"W","E"),"")</f>
        <v>E</v>
      </c>
      <c r="V43" s="44"/>
      <c r="W43" s="22">
        <f>IF(S43="due",90*(I43+K43),S43+T43/60)</f>
        <v>88.55</v>
      </c>
      <c r="X43" s="22">
        <f>IF(R43="",W43,IF(R43="N",IF(U43="E",180+W43,180-W43),IF(U43="E",360-W43,W43)))</f>
        <v>271.45</v>
      </c>
      <c r="Y43" s="22">
        <f>RADIANS(X43)</f>
        <v>4.7376962545386077</v>
      </c>
      <c r="Z43" s="64"/>
      <c r="AA43" s="58">
        <f>-M43*COS(Y43)</f>
        <v>-0.76089853396288676</v>
      </c>
      <c r="AB43" s="58">
        <f>-M43*SIN(Y43)</f>
        <v>30.059977269134574</v>
      </c>
      <c r="AC43" s="64"/>
      <c r="AD43" s="82">
        <f>$AA$40/$M$40*M43</f>
        <v>-4.911499629088106E-4</v>
      </c>
      <c r="AE43" s="82">
        <f>$AB$40/$M$40*M43</f>
        <v>-1.008737789221188E-3</v>
      </c>
      <c r="AF43" s="22">
        <f t="shared" si="0"/>
        <v>-0.76040738399997798</v>
      </c>
      <c r="AG43" s="22">
        <f t="shared" si="0"/>
        <v>30.060986006923795</v>
      </c>
      <c r="AH43" s="64"/>
      <c r="AI43" s="25">
        <f>A43</f>
        <v>2</v>
      </c>
      <c r="AJ43" s="82">
        <f t="shared" si="1"/>
        <v>721482.26931231841</v>
      </c>
      <c r="AK43" s="82">
        <f t="shared" si="1"/>
        <v>458940.38074582082</v>
      </c>
      <c r="AL43" s="66"/>
      <c r="AM43" s="9" t="str">
        <f>IF(A44=0,A43&amp;" - 1",A43&amp;" - "&amp;A44)</f>
        <v>2 - 3</v>
      </c>
      <c r="AN43" s="18">
        <f>AN42+F42+F43</f>
        <v>-103.76000000000931</v>
      </c>
      <c r="AO43" s="18">
        <f>AN43*G43</f>
        <v>3119.0256000000386</v>
      </c>
      <c r="AP43" s="9" t="str">
        <f>D43&amp;","&amp;C43</f>
        <v>458940.38,721482.26</v>
      </c>
    </row>
    <row r="44" spans="1:44" s="46" customFormat="1">
      <c r="A44" s="20">
        <f>A43+1</f>
        <v>3</v>
      </c>
      <c r="B44" s="44"/>
      <c r="C44" s="60">
        <v>721481.5</v>
      </c>
      <c r="D44" s="60">
        <v>458970.44</v>
      </c>
      <c r="E44" s="79"/>
      <c r="F44" s="72">
        <f>IF(C45=0,C44-$C$42,C44-C45)</f>
        <v>52.28000000002794</v>
      </c>
      <c r="G44" s="72">
        <f>IF(D45=0,D44-$D$42,D44-D45)</f>
        <v>0.65000000002328306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52.284040586042615</v>
      </c>
      <c r="N44" s="22">
        <f>IF(F44=0,,ATAN(G44/F44))</f>
        <v>1.2432412215415524E-2</v>
      </c>
      <c r="O44" s="22">
        <f>ABS(DEGREES(N44))</f>
        <v>0.71232474911019916</v>
      </c>
      <c r="P44" s="24" t="str">
        <f>TEXT(INT(O44),"00")</f>
        <v>00</v>
      </c>
      <c r="Q44" s="25" t="str">
        <f>TEXT((O44-P44)*60,"00")</f>
        <v>43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43</v>
      </c>
      <c r="U44" s="24" t="str">
        <f>IF(L44="",IF(G44&gt;0,"W","E"),"")</f>
        <v>W</v>
      </c>
      <c r="V44" s="44"/>
      <c r="W44" s="22">
        <f>IF(S44="due",90*(I44+K44),S44+T44/60)</f>
        <v>0.71666666666666667</v>
      </c>
      <c r="X44" s="22">
        <f>IF(R44="",W44,IF(R44="N",IF(U44="E",180+W44,180-W44),IF(U44="E",360-W44,W44)))</f>
        <v>0.71666666666666667</v>
      </c>
      <c r="Y44" s="22">
        <f>RADIANS(X44)</f>
        <v>1.2508192972626028E-2</v>
      </c>
      <c r="Z44" s="64"/>
      <c r="AA44" s="58">
        <f>-M44*COS(Y44)</f>
        <v>-52.27995059242101</v>
      </c>
      <c r="AB44" s="58">
        <f>-M44*SIN(Y44)</f>
        <v>-0.65396181614007332</v>
      </c>
      <c r="AC44" s="64"/>
      <c r="AD44" s="82">
        <f>$AA$40/$M$40*M44</f>
        <v>-8.5399538209756591E-4</v>
      </c>
      <c r="AE44" s="82">
        <f>$AB$40/$M$40*M44</f>
        <v>-1.7539600504910247E-3</v>
      </c>
      <c r="AF44" s="22">
        <f>AA44-AD44</f>
        <v>-52.279096597038915</v>
      </c>
      <c r="AG44" s="22">
        <f>AB44-AE44</f>
        <v>-0.65220785608958232</v>
      </c>
      <c r="AH44" s="64"/>
      <c r="AI44" s="25">
        <f>A44</f>
        <v>3</v>
      </c>
      <c r="AJ44" s="82">
        <f t="shared" si="1"/>
        <v>721481.5089049344</v>
      </c>
      <c r="AK44" s="82">
        <f t="shared" si="1"/>
        <v>458970.44173182774</v>
      </c>
      <c r="AL44" s="66"/>
      <c r="AM44" s="9" t="str">
        <f>IF(A45=0,A44&amp;" - 1",A44&amp;" - "&amp;A45)</f>
        <v>3 - 4</v>
      </c>
      <c r="AN44" s="18">
        <f>AN43+F43+F44</f>
        <v>-50.71999999997206</v>
      </c>
      <c r="AO44" s="18">
        <f>AN44*G44</f>
        <v>-32.968000001162757</v>
      </c>
      <c r="AP44" s="9" t="str">
        <f>D44&amp;","&amp;C44</f>
        <v>458970.44,721481.5</v>
      </c>
    </row>
    <row r="45" spans="1:44" s="46" customFormat="1">
      <c r="A45" s="20">
        <f>A44+1</f>
        <v>4</v>
      </c>
      <c r="B45" s="44"/>
      <c r="C45" s="60">
        <v>721429.22</v>
      </c>
      <c r="D45" s="60">
        <v>458969.79</v>
      </c>
      <c r="E45" s="79"/>
      <c r="F45" s="72">
        <f>IF(C46=0,C45-$C$42,C45-C46)</f>
        <v>-0.78000000002793968</v>
      </c>
      <c r="G45" s="72">
        <f>IF(D46=0,D45-$D$42,D45-D46)</f>
        <v>30.049999999988358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30.06012142356288</v>
      </c>
      <c r="N45" s="22">
        <f>IF(F45=0,,ATAN(G45/F45))</f>
        <v>-1.5448454151405078</v>
      </c>
      <c r="O45" s="22">
        <f>ABS(DEGREES(N45))</f>
        <v>88.513122287686656</v>
      </c>
      <c r="P45" s="24" t="str">
        <f>TEXT(INT(O45),"00")</f>
        <v>88</v>
      </c>
      <c r="Q45" s="25" t="str">
        <f>TEXT((O45-P45)*60,"00")</f>
        <v>31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31</v>
      </c>
      <c r="U45" s="24" t="str">
        <f>IF(L45="",IF(G45&gt;0,"W","E"),"")</f>
        <v>W</v>
      </c>
      <c r="V45" s="44"/>
      <c r="W45" s="22">
        <f>IF(S45="due",90*(I45+K45),S45+T45/60)</f>
        <v>88.516666666666666</v>
      </c>
      <c r="X45" s="22">
        <f>IF(R45="",W45,IF(R45="N",IF(U45="E",180+W45,180-W45),IF(U45="E",360-W45,W45)))</f>
        <v>91.483333333333334</v>
      </c>
      <c r="Y45" s="22">
        <f>RADIANS(X45)</f>
        <v>1.5966853773661458</v>
      </c>
      <c r="Z45" s="64"/>
      <c r="AA45" s="58">
        <f>-M45*COS(Y45)</f>
        <v>0.7781410729883308</v>
      </c>
      <c r="AB45" s="58">
        <f>-M45*SIN(Y45)</f>
        <v>-30.050048194135606</v>
      </c>
      <c r="AC45" s="64"/>
      <c r="AD45" s="82">
        <f>$AA$40/$M$40*M45</f>
        <v>-4.9099504539570362E-4</v>
      </c>
      <c r="AE45" s="82">
        <f>$AB$40/$M$40*M45</f>
        <v>-1.0084196152183691E-3</v>
      </c>
      <c r="AF45" s="22">
        <f>AA45-AD45</f>
        <v>0.77863206803372653</v>
      </c>
      <c r="AG45" s="22">
        <f>AB45-AE45</f>
        <v>-30.049039774520388</v>
      </c>
      <c r="AH45" s="64"/>
      <c r="AI45" s="25">
        <f>A45</f>
        <v>4</v>
      </c>
      <c r="AJ45" s="82">
        <f t="shared" ref="AJ45" si="2">AJ44+AF44</f>
        <v>721429.2298083374</v>
      </c>
      <c r="AK45" s="82">
        <f t="shared" ref="AK45" si="3">AK44+AG44</f>
        <v>458969.78952397167</v>
      </c>
      <c r="AL45" s="66"/>
      <c r="AM45" s="9" t="str">
        <f>IF(A46=0,A45&amp;" - 1",A45&amp;" - "&amp;A46)</f>
        <v>4 - 1</v>
      </c>
      <c r="AN45" s="18">
        <f>AN44+F44+F45</f>
        <v>0.78000000002793968</v>
      </c>
      <c r="AO45" s="18">
        <f>AN45*G45</f>
        <v>23.439000000830507</v>
      </c>
      <c r="AP45" s="9" t="str">
        <f>D45&amp;","&amp;C45</f>
        <v>458969.79,721429.22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2115</vt:lpstr>
      <vt:lpstr>2116</vt:lpstr>
      <vt:lpstr>2117</vt:lpstr>
      <vt:lpstr>2118</vt:lpstr>
      <vt:lpstr>2119</vt:lpstr>
      <vt:lpstr>2120</vt:lpstr>
      <vt:lpstr>2121</vt:lpstr>
      <vt:lpstr>2122</vt:lpstr>
      <vt:lpstr>2123</vt:lpstr>
      <vt:lpstr>2124</vt:lpstr>
      <vt:lpstr>'2115'!Print_Area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2007-04-01T22:52:50Z</dcterms:modified>
</cp:coreProperties>
</file>