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-30" yWindow="-45" windowWidth="7620" windowHeight="8385" activeTab="9"/>
  </bookViews>
  <sheets>
    <sheet name="3516" sheetId="2" r:id="rId1"/>
    <sheet name="3517" sheetId="4" r:id="rId2"/>
    <sheet name="3518" sheetId="5" r:id="rId3"/>
    <sheet name="3519" sheetId="6" r:id="rId4"/>
    <sheet name="3520" sheetId="7" r:id="rId5"/>
    <sheet name="3521" sheetId="8" r:id="rId6"/>
    <sheet name="3522" sheetId="9" r:id="rId7"/>
    <sheet name="3523" sheetId="10" r:id="rId8"/>
    <sheet name="3524" sheetId="11" r:id="rId9"/>
    <sheet name="3525" sheetId="3" r:id="rId10"/>
  </sheets>
  <definedNames>
    <definedName name="_xlnm.Print_Area" localSheetId="0">'3516'!$A$1:$AJ$43</definedName>
  </definedNames>
  <calcPr calcId="124519"/>
</workbook>
</file>

<file path=xl/calcChain.xml><?xml version="1.0" encoding="utf-8"?>
<calcChain xmlns="http://schemas.openxmlformats.org/spreadsheetml/2006/main">
  <c r="AP46" i="3"/>
  <c r="G46"/>
  <c r="F46"/>
  <c r="N46" s="1"/>
  <c r="O46" s="1"/>
  <c r="AP45"/>
  <c r="G45"/>
  <c r="F45"/>
  <c r="N45" s="1"/>
  <c r="O45" s="1"/>
  <c r="A45"/>
  <c r="A46" s="1"/>
  <c r="AP45" i="11"/>
  <c r="G45"/>
  <c r="F45"/>
  <c r="N45" s="1"/>
  <c r="O45" s="1"/>
  <c r="A45"/>
  <c r="AM45" s="1"/>
  <c r="AP45" i="10"/>
  <c r="G45"/>
  <c r="F45"/>
  <c r="N45" s="1"/>
  <c r="O45" s="1"/>
  <c r="A45"/>
  <c r="AM45" s="1"/>
  <c r="AP45" i="9"/>
  <c r="G45"/>
  <c r="F45"/>
  <c r="N45" s="1"/>
  <c r="O45" s="1"/>
  <c r="A45"/>
  <c r="AM45" s="1"/>
  <c r="AP45" i="8"/>
  <c r="G45"/>
  <c r="F45"/>
  <c r="N45" s="1"/>
  <c r="O45" s="1"/>
  <c r="A45"/>
  <c r="AM45" s="1"/>
  <c r="AP46" i="7"/>
  <c r="G46"/>
  <c r="F46"/>
  <c r="N46" s="1"/>
  <c r="O46" s="1"/>
  <c r="AP45"/>
  <c r="G45"/>
  <c r="F45"/>
  <c r="N45" s="1"/>
  <c r="O45" s="1"/>
  <c r="A45"/>
  <c r="A46" s="1"/>
  <c r="AP46" i="6"/>
  <c r="G46"/>
  <c r="F46"/>
  <c r="N46" s="1"/>
  <c r="O46" s="1"/>
  <c r="AP45"/>
  <c r="G45"/>
  <c r="F45"/>
  <c r="N45" s="1"/>
  <c r="O45" s="1"/>
  <c r="A45"/>
  <c r="A46" s="1"/>
  <c r="AP46" i="5"/>
  <c r="G46"/>
  <c r="F46"/>
  <c r="N46" s="1"/>
  <c r="O46" s="1"/>
  <c r="AP45"/>
  <c r="G45"/>
  <c r="F45"/>
  <c r="N45" s="1"/>
  <c r="O45" s="1"/>
  <c r="A45"/>
  <c r="A46" s="1"/>
  <c r="AP46" i="4"/>
  <c r="G46"/>
  <c r="F46"/>
  <c r="N46" s="1"/>
  <c r="O46" s="1"/>
  <c r="AP45"/>
  <c r="G45"/>
  <c r="F45"/>
  <c r="N45" s="1"/>
  <c r="O45" s="1"/>
  <c r="A45"/>
  <c r="A46" s="1"/>
  <c r="AP45" i="2"/>
  <c r="G45"/>
  <c r="F45"/>
  <c r="N45" s="1"/>
  <c r="O45" s="1"/>
  <c r="A45"/>
  <c r="AM45" s="1"/>
  <c r="AP44"/>
  <c r="AP43"/>
  <c r="AP42"/>
  <c r="AP44" i="11"/>
  <c r="F42"/>
  <c r="AN42"/>
  <c r="F43"/>
  <c r="AN43"/>
  <c r="F44"/>
  <c r="AN44"/>
  <c r="AN45" s="1"/>
  <c r="AO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4" i="10"/>
  <c r="F42"/>
  <c r="AN42"/>
  <c r="F43"/>
  <c r="AN43"/>
  <c r="F44"/>
  <c r="AN44"/>
  <c r="AN45" s="1"/>
  <c r="AO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4" i="9"/>
  <c r="F42"/>
  <c r="AN42"/>
  <c r="F43"/>
  <c r="AN43"/>
  <c r="F44"/>
  <c r="AN44"/>
  <c r="AN45" s="1"/>
  <c r="AO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4" i="8"/>
  <c r="F42"/>
  <c r="AN42"/>
  <c r="F43"/>
  <c r="AN43"/>
  <c r="F44"/>
  <c r="AN44"/>
  <c r="AN45" s="1"/>
  <c r="AO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4" i="7"/>
  <c r="F42"/>
  <c r="AN42"/>
  <c r="F43"/>
  <c r="AN43"/>
  <c r="F44"/>
  <c r="AN44"/>
  <c r="AN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4" i="6"/>
  <c r="F42"/>
  <c r="AN42"/>
  <c r="F43"/>
  <c r="AN43"/>
  <c r="F44"/>
  <c r="AN44"/>
  <c r="AN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4" i="5"/>
  <c r="F42"/>
  <c r="AN42"/>
  <c r="F43"/>
  <c r="AN43"/>
  <c r="F44"/>
  <c r="AN44"/>
  <c r="AN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4" i="4"/>
  <c r="F42"/>
  <c r="AN42"/>
  <c r="F43"/>
  <c r="AN43"/>
  <c r="F44"/>
  <c r="AN44"/>
  <c r="AN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3" i="3"/>
  <c r="AP44"/>
  <c r="AP42"/>
  <c r="F42"/>
  <c r="AN42"/>
  <c r="F43"/>
  <c r="AN43"/>
  <c r="F44"/>
  <c r="AN44"/>
  <c r="AN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O43"/>
  <c r="AM43"/>
  <c r="AI43"/>
  <c r="U43"/>
  <c r="N43"/>
  <c r="O43"/>
  <c r="P43"/>
  <c r="Q43"/>
  <c r="S43" s="1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G44" i="2"/>
  <c r="F44"/>
  <c r="M44" s="1"/>
  <c r="H44"/>
  <c r="J44"/>
  <c r="L44"/>
  <c r="R44" s="1"/>
  <c r="K44"/>
  <c r="I44"/>
  <c r="G43"/>
  <c r="F43"/>
  <c r="M43" s="1"/>
  <c r="H43"/>
  <c r="J43"/>
  <c r="L43"/>
  <c r="R43" s="1"/>
  <c r="K43"/>
  <c r="I43"/>
  <c r="G42"/>
  <c r="F42"/>
  <c r="AN42" s="1"/>
  <c r="H42"/>
  <c r="J42"/>
  <c r="L42"/>
  <c r="R42" s="1"/>
  <c r="K42"/>
  <c r="I42"/>
  <c r="D41"/>
  <c r="G41"/>
  <c r="C41"/>
  <c r="F41"/>
  <c r="N41" s="1"/>
  <c r="O41" s="1"/>
  <c r="H41"/>
  <c r="J41"/>
  <c r="L41"/>
  <c r="U41" s="1"/>
  <c r="K41"/>
  <c r="I41"/>
  <c r="M41"/>
  <c r="AK41"/>
  <c r="AJ41"/>
  <c r="A43"/>
  <c r="A44"/>
  <c r="AI44"/>
  <c r="AM44"/>
  <c r="AM43"/>
  <c r="A41"/>
  <c r="AM42"/>
  <c r="AI42"/>
  <c r="AI43"/>
  <c r="AI41"/>
  <c r="AM41"/>
  <c r="T42" i="3" l="1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H45"/>
  <c r="H46"/>
  <c r="AN46"/>
  <c r="AO46" s="1"/>
  <c r="AO45"/>
  <c r="C28" s="1"/>
  <c r="C29" s="1"/>
  <c r="AM46"/>
  <c r="AI46"/>
  <c r="AM45"/>
  <c r="P45"/>
  <c r="Q45" s="1"/>
  <c r="I45"/>
  <c r="P46"/>
  <c r="Q46" s="1"/>
  <c r="I46"/>
  <c r="J45"/>
  <c r="K45" s="1"/>
  <c r="M45"/>
  <c r="AI45"/>
  <c r="J46"/>
  <c r="K46" s="1"/>
  <c r="M46"/>
  <c r="T42" i="11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C28"/>
  <c r="C29" s="1"/>
  <c r="H45"/>
  <c r="P45"/>
  <c r="Q45" s="1"/>
  <c r="I45"/>
  <c r="J45"/>
  <c r="K45" s="1"/>
  <c r="M45"/>
  <c r="AI45"/>
  <c r="T42" i="10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C28"/>
  <c r="C29" s="1"/>
  <c r="H45"/>
  <c r="P45"/>
  <c r="Q45" s="1"/>
  <c r="I45"/>
  <c r="J45"/>
  <c r="K45" s="1"/>
  <c r="M45"/>
  <c r="AI45"/>
  <c r="T42" i="9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C28"/>
  <c r="C29" s="1"/>
  <c r="H45"/>
  <c r="P45"/>
  <c r="Q45" s="1"/>
  <c r="I45"/>
  <c r="J45"/>
  <c r="K45" s="1"/>
  <c r="M45"/>
  <c r="AI45"/>
  <c r="T42" i="8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C28"/>
  <c r="C29" s="1"/>
  <c r="H45"/>
  <c r="P45"/>
  <c r="Q45" s="1"/>
  <c r="I45"/>
  <c r="J45"/>
  <c r="K45" s="1"/>
  <c r="M45"/>
  <c r="AI45"/>
  <c r="T42" i="7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H45"/>
  <c r="H46"/>
  <c r="AN46"/>
  <c r="AO46" s="1"/>
  <c r="AO45"/>
  <c r="C28" s="1"/>
  <c r="C29" s="1"/>
  <c r="AM46"/>
  <c r="AI46"/>
  <c r="AM45"/>
  <c r="P45"/>
  <c r="Q45" s="1"/>
  <c r="I45"/>
  <c r="P46"/>
  <c r="Q46" s="1"/>
  <c r="I46"/>
  <c r="J45"/>
  <c r="K45" s="1"/>
  <c r="M45"/>
  <c r="AI45"/>
  <c r="J46"/>
  <c r="K46" s="1"/>
  <c r="M46"/>
  <c r="T42" i="6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H45"/>
  <c r="H46"/>
  <c r="AN46"/>
  <c r="AO46" s="1"/>
  <c r="AO45"/>
  <c r="C28" s="1"/>
  <c r="C29" s="1"/>
  <c r="AM46"/>
  <c r="AI46"/>
  <c r="AM45"/>
  <c r="P45"/>
  <c r="Q45" s="1"/>
  <c r="I45"/>
  <c r="P46"/>
  <c r="Q46" s="1"/>
  <c r="I46"/>
  <c r="J45"/>
  <c r="K45" s="1"/>
  <c r="M45"/>
  <c r="AI45"/>
  <c r="J46"/>
  <c r="K46" s="1"/>
  <c r="M46"/>
  <c r="T42" i="5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H45"/>
  <c r="H46"/>
  <c r="AN46"/>
  <c r="AO46" s="1"/>
  <c r="AO45"/>
  <c r="C28" s="1"/>
  <c r="C29" s="1"/>
  <c r="AM46"/>
  <c r="AI46"/>
  <c r="AM45"/>
  <c r="P45"/>
  <c r="Q45" s="1"/>
  <c r="I45"/>
  <c r="P46"/>
  <c r="Q46" s="1"/>
  <c r="I46"/>
  <c r="J45"/>
  <c r="K45" s="1"/>
  <c r="M45"/>
  <c r="AI45"/>
  <c r="J46"/>
  <c r="K46" s="1"/>
  <c r="M46"/>
  <c r="T42" i="4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H45"/>
  <c r="H46"/>
  <c r="AN46"/>
  <c r="AO46" s="1"/>
  <c r="AO45"/>
  <c r="C28" s="1"/>
  <c r="C29" s="1"/>
  <c r="AM46"/>
  <c r="AI46"/>
  <c r="AM45"/>
  <c r="P45"/>
  <c r="Q45" s="1"/>
  <c r="I45"/>
  <c r="P46"/>
  <c r="Q46" s="1"/>
  <c r="I46"/>
  <c r="J45"/>
  <c r="K45" s="1"/>
  <c r="M45"/>
  <c r="AI45"/>
  <c r="J46"/>
  <c r="K46" s="1"/>
  <c r="M46"/>
  <c r="H45" i="2"/>
  <c r="P45"/>
  <c r="Q45" s="1"/>
  <c r="I45"/>
  <c r="J45"/>
  <c r="K45" s="1"/>
  <c r="M45"/>
  <c r="AI45"/>
  <c r="P41"/>
  <c r="Q41"/>
  <c r="AN43"/>
  <c r="AO42"/>
  <c r="R41"/>
  <c r="S41"/>
  <c r="T41"/>
  <c r="U44"/>
  <c r="N44"/>
  <c r="O44" s="1"/>
  <c r="U43"/>
  <c r="N43"/>
  <c r="O43" s="1"/>
  <c r="U42"/>
  <c r="N42"/>
  <c r="O42" s="1"/>
  <c r="M42"/>
  <c r="AB42" i="3" l="1"/>
  <c r="AA42"/>
  <c r="AB44"/>
  <c r="AA44"/>
  <c r="AB43"/>
  <c r="AA43"/>
  <c r="AB41"/>
  <c r="AG41" s="1"/>
  <c r="AK42" s="1"/>
  <c r="AA41"/>
  <c r="AF41" s="1"/>
  <c r="AJ42" s="1"/>
  <c r="M40"/>
  <c r="L46"/>
  <c r="L45"/>
  <c r="AB42" i="11"/>
  <c r="AA42"/>
  <c r="AB44"/>
  <c r="AA44"/>
  <c r="AB43"/>
  <c r="AA43"/>
  <c r="AB41"/>
  <c r="AG41" s="1"/>
  <c r="AK42" s="1"/>
  <c r="AA41"/>
  <c r="AF41" s="1"/>
  <c r="AJ42" s="1"/>
  <c r="M40"/>
  <c r="L45"/>
  <c r="AB42" i="10"/>
  <c r="AA42"/>
  <c r="AB44"/>
  <c r="AA44"/>
  <c r="AB43"/>
  <c r="AA43"/>
  <c r="AB41"/>
  <c r="AG41" s="1"/>
  <c r="AK42" s="1"/>
  <c r="AA41"/>
  <c r="AF41" s="1"/>
  <c r="AJ42" s="1"/>
  <c r="M40"/>
  <c r="L45"/>
  <c r="AB42" i="9"/>
  <c r="AA42"/>
  <c r="AB44"/>
  <c r="AA44"/>
  <c r="AB43"/>
  <c r="AA43"/>
  <c r="AB41"/>
  <c r="AG41" s="1"/>
  <c r="AK42" s="1"/>
  <c r="AA41"/>
  <c r="AF41" s="1"/>
  <c r="AJ42" s="1"/>
  <c r="M40"/>
  <c r="L45"/>
  <c r="AB42" i="8"/>
  <c r="AA42"/>
  <c r="AB44"/>
  <c r="AA44"/>
  <c r="AB43"/>
  <c r="AA43"/>
  <c r="AB41"/>
  <c r="AG41" s="1"/>
  <c r="AK42" s="1"/>
  <c r="AA41"/>
  <c r="AF41" s="1"/>
  <c r="AJ42" s="1"/>
  <c r="M40"/>
  <c r="L45"/>
  <c r="AB42" i="7"/>
  <c r="AA42"/>
  <c r="AB44"/>
  <c r="AA44"/>
  <c r="AB43"/>
  <c r="AA43"/>
  <c r="AB41"/>
  <c r="AG41" s="1"/>
  <c r="AK42" s="1"/>
  <c r="AA41"/>
  <c r="AF41" s="1"/>
  <c r="AJ42" s="1"/>
  <c r="M40"/>
  <c r="L46"/>
  <c r="L45"/>
  <c r="AB42" i="6"/>
  <c r="AA42"/>
  <c r="AB44"/>
  <c r="AA44"/>
  <c r="AB43"/>
  <c r="AA43"/>
  <c r="AB41"/>
  <c r="AG41" s="1"/>
  <c r="AK42" s="1"/>
  <c r="AA41"/>
  <c r="AF41" s="1"/>
  <c r="AJ42" s="1"/>
  <c r="M40"/>
  <c r="L46"/>
  <c r="L45"/>
  <c r="AB42" i="5"/>
  <c r="AA42"/>
  <c r="AB44"/>
  <c r="AA44"/>
  <c r="AB43"/>
  <c r="AA43"/>
  <c r="AB41"/>
  <c r="AG41" s="1"/>
  <c r="AK42" s="1"/>
  <c r="AA41"/>
  <c r="AF41" s="1"/>
  <c r="AJ42" s="1"/>
  <c r="M40"/>
  <c r="L46"/>
  <c r="L45"/>
  <c r="AB42" i="4"/>
  <c r="AA42"/>
  <c r="AB44"/>
  <c r="AA44"/>
  <c r="AB43"/>
  <c r="AA43"/>
  <c r="AB41"/>
  <c r="AG41" s="1"/>
  <c r="AK42" s="1"/>
  <c r="AA41"/>
  <c r="AF41" s="1"/>
  <c r="AJ42" s="1"/>
  <c r="M40"/>
  <c r="L46"/>
  <c r="L45"/>
  <c r="W41" i="2"/>
  <c r="L45"/>
  <c r="M40"/>
  <c r="P42"/>
  <c r="Q42"/>
  <c r="P43"/>
  <c r="Q43"/>
  <c r="P44"/>
  <c r="Q44"/>
  <c r="AN44"/>
  <c r="AO43"/>
  <c r="X41"/>
  <c r="Y41" s="1"/>
  <c r="U45" i="3" l="1"/>
  <c r="T45"/>
  <c r="S45"/>
  <c r="W45" s="1"/>
  <c r="R45"/>
  <c r="X45" s="1"/>
  <c r="Y45" s="1"/>
  <c r="U46"/>
  <c r="T46"/>
  <c r="S46"/>
  <c r="W46" s="1"/>
  <c r="R46"/>
  <c r="X46" s="1"/>
  <c r="Y46" s="1"/>
  <c r="U45" i="11"/>
  <c r="T45"/>
  <c r="S45"/>
  <c r="W45" s="1"/>
  <c r="R45"/>
  <c r="X45" s="1"/>
  <c r="Y45" s="1"/>
  <c r="U45" i="10"/>
  <c r="T45"/>
  <c r="S45"/>
  <c r="W45" s="1"/>
  <c r="R45"/>
  <c r="X45" s="1"/>
  <c r="Y45" s="1"/>
  <c r="U45" i="9"/>
  <c r="T45"/>
  <c r="S45"/>
  <c r="W45" s="1"/>
  <c r="R45"/>
  <c r="X45" s="1"/>
  <c r="Y45" s="1"/>
  <c r="U45" i="8"/>
  <c r="T45"/>
  <c r="S45"/>
  <c r="W45" s="1"/>
  <c r="R45"/>
  <c r="X45" s="1"/>
  <c r="Y45" s="1"/>
  <c r="U45" i="7"/>
  <c r="T45"/>
  <c r="S45"/>
  <c r="W45" s="1"/>
  <c r="R45"/>
  <c r="X45" s="1"/>
  <c r="Y45" s="1"/>
  <c r="U46"/>
  <c r="T46"/>
  <c r="S46"/>
  <c r="W46" s="1"/>
  <c r="R46"/>
  <c r="X46" s="1"/>
  <c r="Y46" s="1"/>
  <c r="U45" i="6"/>
  <c r="T45"/>
  <c r="S45"/>
  <c r="W45" s="1"/>
  <c r="R45"/>
  <c r="X45" s="1"/>
  <c r="Y45" s="1"/>
  <c r="U46"/>
  <c r="T46"/>
  <c r="S46"/>
  <c r="W46" s="1"/>
  <c r="R46"/>
  <c r="X46" s="1"/>
  <c r="Y46" s="1"/>
  <c r="U45" i="5"/>
  <c r="T45"/>
  <c r="S45"/>
  <c r="W45" s="1"/>
  <c r="R45"/>
  <c r="X45" s="1"/>
  <c r="Y45" s="1"/>
  <c r="U46"/>
  <c r="T46"/>
  <c r="S46"/>
  <c r="W46" s="1"/>
  <c r="R46"/>
  <c r="X46" s="1"/>
  <c r="Y46" s="1"/>
  <c r="U45" i="4"/>
  <c r="T45"/>
  <c r="S45"/>
  <c r="W45" s="1"/>
  <c r="R45"/>
  <c r="X45" s="1"/>
  <c r="Y45" s="1"/>
  <c r="U46"/>
  <c r="T46"/>
  <c r="S46"/>
  <c r="W46" s="1"/>
  <c r="R46"/>
  <c r="X46" s="1"/>
  <c r="Y46" s="1"/>
  <c r="T42" i="2"/>
  <c r="S42"/>
  <c r="W42" s="1"/>
  <c r="X42" s="1"/>
  <c r="Y42" s="1"/>
  <c r="T44"/>
  <c r="S44"/>
  <c r="W44" s="1"/>
  <c r="X44" s="1"/>
  <c r="Y44" s="1"/>
  <c r="T43"/>
  <c r="S43"/>
  <c r="W43" s="1"/>
  <c r="X43" s="1"/>
  <c r="Y43" s="1"/>
  <c r="AO44"/>
  <c r="AN45"/>
  <c r="AO45" s="1"/>
  <c r="U45"/>
  <c r="T45"/>
  <c r="S45"/>
  <c r="W45" s="1"/>
  <c r="R45"/>
  <c r="X45" s="1"/>
  <c r="Y45" s="1"/>
  <c r="AB41"/>
  <c r="AG41" s="1"/>
  <c r="AK42" s="1"/>
  <c r="AA41"/>
  <c r="AF41" s="1"/>
  <c r="AJ42" s="1"/>
  <c r="AB46" i="3" l="1"/>
  <c r="AA46"/>
  <c r="AB45"/>
  <c r="AA45"/>
  <c r="AB45" i="11"/>
  <c r="AA45"/>
  <c r="AB45" i="10"/>
  <c r="AA45"/>
  <c r="AB45" i="9"/>
  <c r="AA45"/>
  <c r="AB45" i="8"/>
  <c r="AA45"/>
  <c r="AB46" i="7"/>
  <c r="AA46"/>
  <c r="AB45"/>
  <c r="AA45"/>
  <c r="AB46" i="6"/>
  <c r="AA46"/>
  <c r="AB45"/>
  <c r="AA45"/>
  <c r="AB46" i="5"/>
  <c r="AA46"/>
  <c r="AB45"/>
  <c r="AA45"/>
  <c r="AB46" i="4"/>
  <c r="AA46"/>
  <c r="AB45"/>
  <c r="AA45"/>
  <c r="AB42" i="2"/>
  <c r="AA42"/>
  <c r="AB43"/>
  <c r="AA43"/>
  <c r="AB44"/>
  <c r="AA44"/>
  <c r="AB45"/>
  <c r="AA45"/>
  <c r="C28"/>
  <c r="C29" s="1"/>
  <c r="AA40" i="3" l="1"/>
  <c r="AB40"/>
  <c r="AA40" i="11"/>
  <c r="AB40"/>
  <c r="AA40" i="10"/>
  <c r="AB40"/>
  <c r="AA40" i="9"/>
  <c r="AB40"/>
  <c r="AA40" i="8"/>
  <c r="AB40"/>
  <c r="AA40" i="7"/>
  <c r="AB40"/>
  <c r="AA40" i="6"/>
  <c r="AB40"/>
  <c r="AA40" i="5"/>
  <c r="AB40"/>
  <c r="AA40" i="4"/>
  <c r="AB40"/>
  <c r="AA40" i="2"/>
  <c r="AB40"/>
  <c r="AE46" i="3" l="1"/>
  <c r="AG46" s="1"/>
  <c r="AE45"/>
  <c r="AG45" s="1"/>
  <c r="AE42"/>
  <c r="AE43"/>
  <c r="AG43" s="1"/>
  <c r="AE44"/>
  <c r="AG44" s="1"/>
  <c r="AD46"/>
  <c r="AF46" s="1"/>
  <c r="AD45"/>
  <c r="AF45" s="1"/>
  <c r="AD42"/>
  <c r="AD43"/>
  <c r="AF43" s="1"/>
  <c r="AD44"/>
  <c r="AF44" s="1"/>
  <c r="B32"/>
  <c r="B33" s="1"/>
  <c r="B35" s="1"/>
  <c r="B34" s="1"/>
  <c r="AE45" i="11"/>
  <c r="AG45" s="1"/>
  <c r="AE42"/>
  <c r="AE43"/>
  <c r="AG43" s="1"/>
  <c r="AE44"/>
  <c r="AG44" s="1"/>
  <c r="AD45"/>
  <c r="AF45" s="1"/>
  <c r="AD42"/>
  <c r="AD43"/>
  <c r="AF43" s="1"/>
  <c r="AD44"/>
  <c r="AF44" s="1"/>
  <c r="B32"/>
  <c r="B33" s="1"/>
  <c r="B35" s="1"/>
  <c r="B34" s="1"/>
  <c r="AE45" i="10"/>
  <c r="AG45" s="1"/>
  <c r="AE42"/>
  <c r="AE43"/>
  <c r="AG43" s="1"/>
  <c r="AE44"/>
  <c r="AG44" s="1"/>
  <c r="AD45"/>
  <c r="AF45" s="1"/>
  <c r="AD42"/>
  <c r="AD43"/>
  <c r="AF43" s="1"/>
  <c r="AD44"/>
  <c r="AF44" s="1"/>
  <c r="B32"/>
  <c r="B33" s="1"/>
  <c r="B35" s="1"/>
  <c r="B34" s="1"/>
  <c r="AE45" i="9"/>
  <c r="AG45" s="1"/>
  <c r="AE42"/>
  <c r="AE43"/>
  <c r="AG43" s="1"/>
  <c r="AE44"/>
  <c r="AG44" s="1"/>
  <c r="AD45"/>
  <c r="AF45" s="1"/>
  <c r="AD42"/>
  <c r="AD43"/>
  <c r="AF43" s="1"/>
  <c r="AD44"/>
  <c r="AF44" s="1"/>
  <c r="B32"/>
  <c r="B33" s="1"/>
  <c r="B35" s="1"/>
  <c r="B34" s="1"/>
  <c r="AE45" i="8"/>
  <c r="AG45" s="1"/>
  <c r="AE42"/>
  <c r="AE43"/>
  <c r="AG43" s="1"/>
  <c r="AE44"/>
  <c r="AG44" s="1"/>
  <c r="AD45"/>
  <c r="AF45" s="1"/>
  <c r="AD42"/>
  <c r="AD43"/>
  <c r="AF43" s="1"/>
  <c r="AD44"/>
  <c r="AF44" s="1"/>
  <c r="B32"/>
  <c r="B33" s="1"/>
  <c r="B35" s="1"/>
  <c r="B34" s="1"/>
  <c r="AE46" i="7"/>
  <c r="AG46" s="1"/>
  <c r="AE45"/>
  <c r="AG45" s="1"/>
  <c r="AE42"/>
  <c r="AE43"/>
  <c r="AG43" s="1"/>
  <c r="AE44"/>
  <c r="AG44" s="1"/>
  <c r="AD46"/>
  <c r="AF46" s="1"/>
  <c r="AD45"/>
  <c r="AF45" s="1"/>
  <c r="AD42"/>
  <c r="AD43"/>
  <c r="AF43" s="1"/>
  <c r="AD44"/>
  <c r="AF44" s="1"/>
  <c r="B32"/>
  <c r="B33" s="1"/>
  <c r="B35" s="1"/>
  <c r="B34" s="1"/>
  <c r="AE46" i="6"/>
  <c r="AG46" s="1"/>
  <c r="AE45"/>
  <c r="AG45" s="1"/>
  <c r="AE42"/>
  <c r="AE43"/>
  <c r="AG43" s="1"/>
  <c r="AE44"/>
  <c r="AG44" s="1"/>
  <c r="AD46"/>
  <c r="AF46" s="1"/>
  <c r="AD45"/>
  <c r="AF45" s="1"/>
  <c r="AD42"/>
  <c r="AD43"/>
  <c r="AF43" s="1"/>
  <c r="AD44"/>
  <c r="AF44" s="1"/>
  <c r="B32"/>
  <c r="B33" s="1"/>
  <c r="B35" s="1"/>
  <c r="B34" s="1"/>
  <c r="AE46" i="5"/>
  <c r="AG46" s="1"/>
  <c r="AE45"/>
  <c r="AG45" s="1"/>
  <c r="AE42"/>
  <c r="AE43"/>
  <c r="AG43" s="1"/>
  <c r="AE44"/>
  <c r="AG44" s="1"/>
  <c r="AD46"/>
  <c r="AF46" s="1"/>
  <c r="AD45"/>
  <c r="AF45" s="1"/>
  <c r="AD42"/>
  <c r="AD43"/>
  <c r="AF43" s="1"/>
  <c r="AD44"/>
  <c r="AF44" s="1"/>
  <c r="B32"/>
  <c r="B33" s="1"/>
  <c r="B35" s="1"/>
  <c r="B34" s="1"/>
  <c r="AE46" i="4"/>
  <c r="AG46" s="1"/>
  <c r="AE45"/>
  <c r="AG45" s="1"/>
  <c r="AE42"/>
  <c r="AE43"/>
  <c r="AG43" s="1"/>
  <c r="AE44"/>
  <c r="AG44" s="1"/>
  <c r="AD46"/>
  <c r="AF46" s="1"/>
  <c r="AD45"/>
  <c r="AF45" s="1"/>
  <c r="AD42"/>
  <c r="AD43"/>
  <c r="AF43" s="1"/>
  <c r="AD44"/>
  <c r="AF44" s="1"/>
  <c r="B32"/>
  <c r="B33" s="1"/>
  <c r="B35" s="1"/>
  <c r="B34" s="1"/>
  <c r="AE45" i="2"/>
  <c r="AG45" s="1"/>
  <c r="AE42"/>
  <c r="AE43"/>
  <c r="AG43" s="1"/>
  <c r="AE44"/>
  <c r="AG44" s="1"/>
  <c r="AD45"/>
  <c r="AF45" s="1"/>
  <c r="AD42"/>
  <c r="AD43"/>
  <c r="AF43" s="1"/>
  <c r="AD44"/>
  <c r="AF44" s="1"/>
  <c r="B32"/>
  <c r="B33" s="1"/>
  <c r="B35" s="1"/>
  <c r="B34" s="1"/>
  <c r="AF42" i="3" l="1"/>
  <c r="AD40"/>
  <c r="AG42"/>
  <c r="AE40"/>
  <c r="AF42" i="11"/>
  <c r="AD40"/>
  <c r="AG42"/>
  <c r="AE40"/>
  <c r="AF42" i="10"/>
  <c r="AD40"/>
  <c r="AG42"/>
  <c r="AE40"/>
  <c r="AF42" i="9"/>
  <c r="AD40"/>
  <c r="AG42"/>
  <c r="AE40"/>
  <c r="AF42" i="8"/>
  <c r="AD40"/>
  <c r="AG42"/>
  <c r="AE40"/>
  <c r="AF42" i="7"/>
  <c r="AD40"/>
  <c r="AG42"/>
  <c r="AE40"/>
  <c r="AF42" i="6"/>
  <c r="AD40"/>
  <c r="AG42"/>
  <c r="AE40"/>
  <c r="AF42" i="5"/>
  <c r="AD40"/>
  <c r="AG42"/>
  <c r="AE40"/>
  <c r="AF42" i="4"/>
  <c r="AD40"/>
  <c r="AG42"/>
  <c r="AE40"/>
  <c r="AD40" i="2"/>
  <c r="AF42"/>
  <c r="AE40"/>
  <c r="AG42"/>
  <c r="AK43" i="3" l="1"/>
  <c r="AK44" s="1"/>
  <c r="AG40"/>
  <c r="AJ43"/>
  <c r="AJ44" s="1"/>
  <c r="AF40"/>
  <c r="AK43" i="11"/>
  <c r="AK44" s="1"/>
  <c r="AG40"/>
  <c r="AJ43"/>
  <c r="AJ44" s="1"/>
  <c r="AF40"/>
  <c r="AK43" i="10"/>
  <c r="AK44" s="1"/>
  <c r="AG40"/>
  <c r="AJ43"/>
  <c r="AJ44" s="1"/>
  <c r="AF40"/>
  <c r="AK43" i="9"/>
  <c r="AK44" s="1"/>
  <c r="AG40"/>
  <c r="AJ43"/>
  <c r="AJ44" s="1"/>
  <c r="AF40"/>
  <c r="AK43" i="8"/>
  <c r="AK44" s="1"/>
  <c r="AG40"/>
  <c r="AJ43"/>
  <c r="AJ44" s="1"/>
  <c r="AF40"/>
  <c r="AK43" i="7"/>
  <c r="AK44" s="1"/>
  <c r="AG40"/>
  <c r="AJ43"/>
  <c r="AJ44" s="1"/>
  <c r="AF40"/>
  <c r="AK43" i="6"/>
  <c r="AK44" s="1"/>
  <c r="AG40"/>
  <c r="AJ43"/>
  <c r="AJ44" s="1"/>
  <c r="AF40"/>
  <c r="AK43" i="5"/>
  <c r="AK44" s="1"/>
  <c r="AG40"/>
  <c r="AJ43"/>
  <c r="AJ44" s="1"/>
  <c r="AF40"/>
  <c r="AK43" i="4"/>
  <c r="AK44" s="1"/>
  <c r="AG40"/>
  <c r="AJ43"/>
  <c r="AJ44" s="1"/>
  <c r="AF40"/>
  <c r="AG40" i="2"/>
  <c r="AK43"/>
  <c r="AK44" s="1"/>
  <c r="AF40"/>
  <c r="AJ43"/>
  <c r="AJ44" s="1"/>
  <c r="AJ45" i="3" l="1"/>
  <c r="AJ46" s="1"/>
  <c r="AJ40"/>
  <c r="AK45"/>
  <c r="AK46" s="1"/>
  <c r="AK40"/>
  <c r="AJ45" i="11"/>
  <c r="AJ40"/>
  <c r="AK45"/>
  <c r="AK40"/>
  <c r="AJ45" i="10"/>
  <c r="AJ40"/>
  <c r="AK45"/>
  <c r="AK40"/>
  <c r="AJ45" i="9"/>
  <c r="AJ40"/>
  <c r="AK45"/>
  <c r="AK40"/>
  <c r="AJ45" i="8"/>
  <c r="AJ40"/>
  <c r="AK45"/>
  <c r="AK40"/>
  <c r="AJ45" i="7"/>
  <c r="AJ46" s="1"/>
  <c r="AJ40"/>
  <c r="AK45"/>
  <c r="AK46" s="1"/>
  <c r="AK40"/>
  <c r="AJ45" i="6"/>
  <c r="AJ46" s="1"/>
  <c r="AJ40"/>
  <c r="AK45"/>
  <c r="AK46" s="1"/>
  <c r="AK40"/>
  <c r="AJ45" i="5"/>
  <c r="AJ46" s="1"/>
  <c r="AJ40"/>
  <c r="AK45"/>
  <c r="AK46" s="1"/>
  <c r="AK40"/>
  <c r="AJ45" i="4"/>
  <c r="AJ46" s="1"/>
  <c r="AJ40"/>
  <c r="AK45"/>
  <c r="AK46" s="1"/>
  <c r="AK40"/>
  <c r="AJ40" i="2"/>
  <c r="AJ45"/>
  <c r="AK40"/>
  <c r="AK45"/>
</calcChain>
</file>

<file path=xl/sharedStrings.xml><?xml version="1.0" encoding="utf-8"?>
<sst xmlns="http://schemas.openxmlformats.org/spreadsheetml/2006/main" count="930" uniqueCount="99">
  <si>
    <t>Lot No.</t>
  </si>
  <si>
    <t>=</t>
  </si>
  <si>
    <t>Owner</t>
  </si>
  <si>
    <t>Barrio</t>
  </si>
  <si>
    <t>Mun / City</t>
  </si>
  <si>
    <t>Province</t>
  </si>
  <si>
    <t>Island</t>
  </si>
  <si>
    <t>COORDINATES</t>
  </si>
  <si>
    <t>TECHNICAL DESCRIPTION</t>
  </si>
  <si>
    <t>STATIONS</t>
  </si>
  <si>
    <t>NORTHINGS</t>
  </si>
  <si>
    <t>EASTINGS</t>
  </si>
  <si>
    <t>DISTANCES</t>
  </si>
  <si>
    <t>LINE</t>
  </si>
  <si>
    <t>DMD</t>
  </si>
  <si>
    <t>DPA</t>
  </si>
  <si>
    <t>DOUBLE AREA</t>
  </si>
  <si>
    <t>AREA</t>
  </si>
  <si>
    <t>AREA COMPUTATION</t>
  </si>
  <si>
    <t>INSTRUCTIONS:</t>
  </si>
  <si>
    <t>1.  Enter required data in the yellow colored cells.</t>
  </si>
  <si>
    <t>COMPUTATIONS</t>
  </si>
  <si>
    <t>ERROR CHECKING:</t>
  </si>
  <si>
    <t>2.  Compare declared area with computed area for error checking.</t>
  </si>
  <si>
    <t>BEARINGS</t>
  </si>
  <si>
    <t>ERROR CHECK</t>
  </si>
  <si>
    <t>N/S</t>
  </si>
  <si>
    <t>DEG</t>
  </si>
  <si>
    <t>MIN</t>
  </si>
  <si>
    <t>E/W</t>
  </si>
  <si>
    <t>LAT</t>
  </si>
  <si>
    <t>DEP</t>
  </si>
  <si>
    <t>CORR</t>
  </si>
  <si>
    <t>AZIMUTH</t>
  </si>
  <si>
    <t>RAD</t>
  </si>
  <si>
    <t>STA</t>
  </si>
  <si>
    <t>NO</t>
  </si>
  <si>
    <t>ADJ</t>
  </si>
  <si>
    <t>TIE POINT DATA:</t>
  </si>
  <si>
    <t>N</t>
  </si>
  <si>
    <t>E</t>
  </si>
  <si>
    <t>ACCURACY STANDARDS:</t>
  </si>
  <si>
    <t>L.E.C.</t>
  </si>
  <si>
    <t>R.E.C.</t>
  </si>
  <si>
    <t>ACC</t>
  </si>
  <si>
    <t>NO.OF CORNERS:</t>
  </si>
  <si>
    <t>CHANGE IN</t>
  </si>
  <si>
    <t>Cad Survey No.</t>
  </si>
  <si>
    <t>LOT DATA COMPUTATION</t>
  </si>
  <si>
    <t>Geodetic Engr.</t>
  </si>
  <si>
    <t>Date Surveyed</t>
  </si>
  <si>
    <t>CM Quadrangle</t>
  </si>
  <si>
    <t>Declared Area</t>
  </si>
  <si>
    <t>Surv. Sym. &amp; No.</t>
  </si>
  <si>
    <t>L.R.C. No.</t>
  </si>
  <si>
    <t>COORDINATES FROM TD</t>
  </si>
  <si>
    <t>For Plotting</t>
  </si>
  <si>
    <t>3516</t>
  </si>
  <si>
    <t>Delos Santos, Raymundo</t>
  </si>
  <si>
    <t>409 C-4</t>
  </si>
  <si>
    <t>6 31 N. 124 39 E.</t>
  </si>
  <si>
    <t>Poblacion</t>
  </si>
  <si>
    <t>Norala</t>
  </si>
  <si>
    <t>South Cotabato</t>
  </si>
  <si>
    <t>Mindanao</t>
  </si>
  <si>
    <t>M.R. Malate</t>
  </si>
  <si>
    <t>June 25, 1970</t>
  </si>
  <si>
    <t>437.83</t>
  </si>
  <si>
    <t>BLLM 1</t>
  </si>
  <si>
    <t>3517</t>
  </si>
  <si>
    <t>Evangelista, Eleuterio</t>
  </si>
  <si>
    <t>6 31 N. 123 39 E.</t>
  </si>
  <si>
    <t>438</t>
  </si>
  <si>
    <t>3518</t>
  </si>
  <si>
    <t>Evangelista, Semeon</t>
  </si>
  <si>
    <t>458.08</t>
  </si>
  <si>
    <t>3519</t>
  </si>
  <si>
    <t>Baltiller, Aladino</t>
  </si>
  <si>
    <t>668.39</t>
  </si>
  <si>
    <t>3520</t>
  </si>
  <si>
    <t>Bostareche, Lilia</t>
  </si>
  <si>
    <t>690.27</t>
  </si>
  <si>
    <t>3521</t>
  </si>
  <si>
    <t>Belgira, Mariano</t>
  </si>
  <si>
    <t xml:space="preserve">Poblacion </t>
  </si>
  <si>
    <t>649.16</t>
  </si>
  <si>
    <t>3522</t>
  </si>
  <si>
    <t>Brosa, Nelly</t>
  </si>
  <si>
    <t>683.46</t>
  </si>
  <si>
    <t>3523</t>
  </si>
  <si>
    <t>Quiruben, Leopoldo</t>
  </si>
  <si>
    <t>671.89</t>
  </si>
  <si>
    <t>3524</t>
  </si>
  <si>
    <t>Vellasis, Bienvenido</t>
  </si>
  <si>
    <t>South Cotabao</t>
  </si>
  <si>
    <t>642.91</t>
  </si>
  <si>
    <t>3525</t>
  </si>
  <si>
    <t>Boctil,Fortunato</t>
  </si>
  <si>
    <t>659</t>
  </si>
</sst>
</file>

<file path=xl/styles.xml><?xml version="1.0" encoding="utf-8"?>
<styleSheet xmlns="http://schemas.openxmlformats.org/spreadsheetml/2006/main">
  <numFmts count="2">
    <numFmt numFmtId="164" formatCode="#,##0.000"/>
    <numFmt numFmtId="165" formatCode="00"/>
  </numFmts>
  <fonts count="8">
    <font>
      <sz val="10"/>
      <name val="Arial"/>
    </font>
    <font>
      <b/>
      <sz val="12"/>
      <color indexed="9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8"/>
      <name val="Arial"/>
    </font>
    <font>
      <b/>
      <i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0">
    <xf numFmtId="0" fontId="0" fillId="0" borderId="0" xfId="0"/>
    <xf numFmtId="0" fontId="1" fillId="0" borderId="0" xfId="0" applyFont="1" applyFill="1" applyAlignment="1"/>
    <xf numFmtId="0" fontId="1" fillId="0" borderId="0" xfId="0" applyFont="1" applyFill="1" applyAlignment="1">
      <alignment horizontal="center"/>
    </xf>
    <xf numFmtId="0" fontId="2" fillId="0" borderId="0" xfId="0" applyFont="1"/>
    <xf numFmtId="2" fontId="2" fillId="0" borderId="0" xfId="0" applyNumberFormat="1" applyFont="1"/>
    <xf numFmtId="4" fontId="0" fillId="0" borderId="0" xfId="0" applyNumberFormat="1"/>
    <xf numFmtId="2" fontId="0" fillId="0" borderId="0" xfId="0" applyNumberFormat="1"/>
    <xf numFmtId="2" fontId="0" fillId="0" borderId="0" xfId="0" applyNumberFormat="1" applyAlignment="1">
      <alignment horizontal="center"/>
    </xf>
    <xf numFmtId="4" fontId="0" fillId="0" borderId="0" xfId="0" applyNumberFormat="1" applyFill="1"/>
    <xf numFmtId="0" fontId="0" fillId="2" borderId="1" xfId="0" applyFill="1" applyBorder="1"/>
    <xf numFmtId="49" fontId="0" fillId="0" borderId="0" xfId="0" applyNumberFormat="1" applyFill="1" applyBorder="1" applyAlignment="1"/>
    <xf numFmtId="0" fontId="3" fillId="0" borderId="0" xfId="0" applyFont="1"/>
    <xf numFmtId="2" fontId="3" fillId="0" borderId="0" xfId="0" applyNumberFormat="1" applyFont="1"/>
    <xf numFmtId="2" fontId="3" fillId="0" borderId="0" xfId="0" applyNumberFormat="1" applyFont="1" applyAlignment="1">
      <alignment horizontal="center"/>
    </xf>
    <xf numFmtId="4" fontId="3" fillId="0" borderId="0" xfId="0" applyNumberFormat="1" applyFont="1"/>
    <xf numFmtId="4" fontId="3" fillId="0" borderId="0" xfId="0" applyNumberFormat="1" applyFont="1" applyFill="1"/>
    <xf numFmtId="4" fontId="3" fillId="2" borderId="1" xfId="0" applyNumberFormat="1" applyFont="1" applyFill="1" applyBorder="1" applyAlignment="1">
      <alignment horizontal="center"/>
    </xf>
    <xf numFmtId="2" fontId="3" fillId="2" borderId="1" xfId="0" applyNumberFormat="1" applyFont="1" applyFill="1" applyBorder="1" applyAlignment="1">
      <alignment horizontal="center"/>
    </xf>
    <xf numFmtId="4" fontId="0" fillId="2" borderId="1" xfId="0" applyNumberFormat="1" applyFill="1" applyBorder="1"/>
    <xf numFmtId="0" fontId="3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Fill="1" applyBorder="1"/>
    <xf numFmtId="2" fontId="0" fillId="4" borderId="1" xfId="0" applyNumberFormat="1" applyFill="1" applyBorder="1"/>
    <xf numFmtId="2" fontId="0" fillId="4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5" fontId="0" fillId="0" borderId="0" xfId="0" applyNumberFormat="1"/>
    <xf numFmtId="0" fontId="0" fillId="0" borderId="0" xfId="0" applyNumberFormat="1" applyAlignment="1">
      <alignment horizontal="center"/>
    </xf>
    <xf numFmtId="0" fontId="4" fillId="0" borderId="0" xfId="0" applyFont="1"/>
    <xf numFmtId="0" fontId="3" fillId="5" borderId="1" xfId="0" applyFont="1" applyFill="1" applyBorder="1" applyAlignment="1">
      <alignment horizontal="center"/>
    </xf>
    <xf numFmtId="4" fontId="3" fillId="5" borderId="1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4" fontId="0" fillId="3" borderId="2" xfId="0" applyNumberFormat="1" applyFill="1" applyBorder="1"/>
    <xf numFmtId="2" fontId="0" fillId="4" borderId="2" xfId="0" applyNumberFormat="1" applyFill="1" applyBorder="1"/>
    <xf numFmtId="0" fontId="0" fillId="4" borderId="2" xfId="0" applyFill="1" applyBorder="1" applyAlignment="1">
      <alignment horizontal="center"/>
    </xf>
    <xf numFmtId="1" fontId="0" fillId="4" borderId="2" xfId="0" applyNumberFormat="1" applyFill="1" applyBorder="1" applyAlignment="1">
      <alignment horizontal="center"/>
    </xf>
    <xf numFmtId="2" fontId="0" fillId="4" borderId="2" xfId="0" applyNumberFormat="1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2" borderId="2" xfId="0" applyFill="1" applyBorder="1"/>
    <xf numFmtId="4" fontId="0" fillId="2" borderId="2" xfId="0" applyNumberFormat="1" applyFill="1" applyBorder="1"/>
    <xf numFmtId="0" fontId="0" fillId="6" borderId="1" xfId="0" applyFill="1" applyBorder="1" applyAlignment="1">
      <alignment horizontal="center"/>
    </xf>
    <xf numFmtId="2" fontId="3" fillId="2" borderId="4" xfId="0" applyNumberFormat="1" applyFont="1" applyFill="1" applyBorder="1" applyAlignment="1">
      <alignment horizontal="center"/>
    </xf>
    <xf numFmtId="0" fontId="0" fillId="0" borderId="0" xfId="0" applyFill="1" applyBorder="1"/>
    <xf numFmtId="4" fontId="0" fillId="0" borderId="0" xfId="0" applyNumberFormat="1" applyFill="1" applyBorder="1"/>
    <xf numFmtId="2" fontId="0" fillId="0" borderId="0" xfId="0" applyNumberFormat="1" applyFill="1" applyBorder="1"/>
    <xf numFmtId="1" fontId="0" fillId="0" borderId="0" xfId="0" applyNumberFormat="1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2" fontId="3" fillId="5" borderId="2" xfId="0" applyNumberFormat="1" applyFont="1" applyFill="1" applyBorder="1" applyAlignment="1">
      <alignment horizontal="center"/>
    </xf>
    <xf numFmtId="4" fontId="3" fillId="5" borderId="2" xfId="0" applyNumberFormat="1" applyFont="1" applyFill="1" applyBorder="1" applyAlignment="1">
      <alignment horizontal="center"/>
    </xf>
    <xf numFmtId="2" fontId="3" fillId="5" borderId="1" xfId="0" applyNumberFormat="1" applyFont="1" applyFill="1" applyBorder="1" applyAlignment="1">
      <alignment horizontal="center"/>
    </xf>
    <xf numFmtId="2" fontId="3" fillId="5" borderId="3" xfId="0" applyNumberFormat="1" applyFont="1" applyFill="1" applyBorder="1" applyAlignment="1">
      <alignment horizontal="center"/>
    </xf>
    <xf numFmtId="2" fontId="3" fillId="5" borderId="5" xfId="0" applyNumberFormat="1" applyFont="1" applyFill="1" applyBorder="1" applyAlignment="1">
      <alignment horizontal="center"/>
    </xf>
    <xf numFmtId="2" fontId="3" fillId="5" borderId="6" xfId="0" applyNumberFormat="1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2" fontId="0" fillId="2" borderId="1" xfId="0" applyNumberFormat="1" applyFill="1" applyBorder="1"/>
    <xf numFmtId="2" fontId="3" fillId="2" borderId="1" xfId="0" applyNumberFormat="1" applyFont="1" applyFill="1" applyBorder="1" applyAlignment="1">
      <alignment horizontal="center" vertical="center"/>
    </xf>
    <xf numFmtId="164" fontId="0" fillId="3" borderId="1" xfId="0" applyNumberFormat="1" applyFill="1" applyBorder="1"/>
    <xf numFmtId="2" fontId="3" fillId="6" borderId="4" xfId="0" applyNumberFormat="1" applyFont="1" applyFill="1" applyBorder="1" applyAlignment="1">
      <alignment horizontal="center"/>
    </xf>
    <xf numFmtId="2" fontId="3" fillId="6" borderId="1" xfId="0" applyNumberFormat="1" applyFont="1" applyFill="1" applyBorder="1" applyAlignment="1">
      <alignment horizontal="center"/>
    </xf>
    <xf numFmtId="2" fontId="0" fillId="6" borderId="2" xfId="0" applyNumberFormat="1" applyFill="1" applyBorder="1"/>
    <xf numFmtId="2" fontId="0" fillId="6" borderId="1" xfId="0" applyNumberFormat="1" applyFill="1" applyBorder="1"/>
    <xf numFmtId="2" fontId="3" fillId="6" borderId="7" xfId="0" applyNumberFormat="1" applyFont="1" applyFill="1" applyBorder="1" applyAlignment="1">
      <alignment horizontal="center"/>
    </xf>
    <xf numFmtId="2" fontId="4" fillId="6" borderId="1" xfId="0" applyNumberFormat="1" applyFont="1" applyFill="1" applyBorder="1"/>
    <xf numFmtId="0" fontId="3" fillId="3" borderId="1" xfId="0" applyFont="1" applyFill="1" applyBorder="1" applyAlignment="1">
      <alignment horizontal="center"/>
    </xf>
    <xf numFmtId="164" fontId="3" fillId="3" borderId="1" xfId="0" applyNumberFormat="1" applyFont="1" applyFill="1" applyBorder="1" applyAlignment="1"/>
    <xf numFmtId="0" fontId="3" fillId="0" borderId="1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4" fontId="3" fillId="5" borderId="1" xfId="0" applyNumberFormat="1" applyFont="1" applyFill="1" applyBorder="1"/>
    <xf numFmtId="4" fontId="0" fillId="4" borderId="1" xfId="0" applyNumberFormat="1" applyFill="1" applyBorder="1"/>
    <xf numFmtId="0" fontId="3" fillId="3" borderId="1" xfId="0" applyFont="1" applyFill="1" applyBorder="1"/>
    <xf numFmtId="0" fontId="3" fillId="6" borderId="1" xfId="0" applyFont="1" applyFill="1" applyBorder="1" applyAlignment="1">
      <alignment horizontal="center"/>
    </xf>
    <xf numFmtId="4" fontId="0" fillId="6" borderId="2" xfId="0" applyNumberFormat="1" applyFill="1" applyBorder="1"/>
    <xf numFmtId="4" fontId="0" fillId="6" borderId="1" xfId="0" applyNumberFormat="1" applyFill="1" applyBorder="1"/>
    <xf numFmtId="4" fontId="3" fillId="6" borderId="1" xfId="0" applyNumberFormat="1" applyFont="1" applyFill="1" applyBorder="1" applyAlignment="1">
      <alignment horizontal="center"/>
    </xf>
    <xf numFmtId="164" fontId="0" fillId="6" borderId="2" xfId="0" applyNumberFormat="1" applyFill="1" applyBorder="1"/>
    <xf numFmtId="164" fontId="0" fillId="6" borderId="1" xfId="0" applyNumberFormat="1" applyFill="1" applyBorder="1"/>
    <xf numFmtId="2" fontId="3" fillId="6" borderId="2" xfId="0" applyNumberFormat="1" applyFont="1" applyFill="1" applyBorder="1" applyAlignment="1">
      <alignment horizontal="center" vertical="center"/>
    </xf>
    <xf numFmtId="2" fontId="3" fillId="6" borderId="8" xfId="0" applyNumberFormat="1" applyFont="1" applyFill="1" applyBorder="1" applyAlignment="1">
      <alignment horizontal="center" vertical="center"/>
    </xf>
    <xf numFmtId="2" fontId="4" fillId="4" borderId="1" xfId="0" applyNumberFormat="1" applyFont="1" applyFill="1" applyBorder="1"/>
    <xf numFmtId="0" fontId="0" fillId="0" borderId="1" xfId="0" applyFill="1" applyBorder="1" applyAlignment="1">
      <alignment horizontal="center"/>
    </xf>
    <xf numFmtId="0" fontId="0" fillId="0" borderId="1" xfId="0" quotePrefix="1" applyFill="1" applyBorder="1" applyAlignment="1">
      <alignment horizontal="center"/>
    </xf>
    <xf numFmtId="49" fontId="3" fillId="3" borderId="4" xfId="0" applyNumberFormat="1" applyFont="1" applyFill="1" applyBorder="1" applyAlignment="1">
      <alignment horizontal="center"/>
    </xf>
    <xf numFmtId="49" fontId="3" fillId="3" borderId="7" xfId="0" applyNumberFormat="1" applyFont="1" applyFill="1" applyBorder="1" applyAlignment="1">
      <alignment horizontal="center"/>
    </xf>
    <xf numFmtId="2" fontId="3" fillId="5" borderId="1" xfId="0" applyNumberFormat="1" applyFont="1" applyFill="1" applyBorder="1"/>
    <xf numFmtId="0" fontId="0" fillId="6" borderId="1" xfId="0" applyFill="1" applyBorder="1"/>
    <xf numFmtId="0" fontId="0" fillId="6" borderId="2" xfId="0" applyFill="1" applyBorder="1" applyAlignment="1">
      <alignment horizontal="center"/>
    </xf>
    <xf numFmtId="2" fontId="3" fillId="5" borderId="9" xfId="0" applyNumberFormat="1" applyFont="1" applyFill="1" applyBorder="1" applyAlignment="1">
      <alignment horizontal="center"/>
    </xf>
    <xf numFmtId="2" fontId="7" fillId="5" borderId="1" xfId="0" applyNumberFormat="1" applyFont="1" applyFill="1" applyBorder="1"/>
    <xf numFmtId="2" fontId="7" fillId="5" borderId="2" xfId="0" applyNumberFormat="1" applyFont="1" applyFill="1" applyBorder="1"/>
    <xf numFmtId="1" fontId="7" fillId="5" borderId="2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left"/>
    </xf>
    <xf numFmtId="0" fontId="0" fillId="5" borderId="1" xfId="0" applyFill="1" applyBorder="1" applyAlignment="1">
      <alignment horizontal="center"/>
    </xf>
    <xf numFmtId="2" fontId="3" fillId="2" borderId="10" xfId="0" applyNumberFormat="1" applyFont="1" applyFill="1" applyBorder="1" applyAlignment="1">
      <alignment horizontal="center"/>
    </xf>
    <xf numFmtId="2" fontId="3" fillId="2" borderId="7" xfId="0" applyNumberFormat="1" applyFont="1" applyFill="1" applyBorder="1" applyAlignment="1">
      <alignment horizontal="center"/>
    </xf>
    <xf numFmtId="2" fontId="3" fillId="6" borderId="2" xfId="0" applyNumberFormat="1" applyFont="1" applyFill="1" applyBorder="1" applyAlignment="1">
      <alignment horizontal="center"/>
    </xf>
    <xf numFmtId="2" fontId="3" fillId="6" borderId="8" xfId="0" applyNumberFormat="1" applyFont="1" applyFill="1" applyBorder="1" applyAlignment="1">
      <alignment horizontal="center"/>
    </xf>
    <xf numFmtId="2" fontId="3" fillId="2" borderId="2" xfId="0" applyNumberFormat="1" applyFont="1" applyFill="1" applyBorder="1" applyAlignment="1">
      <alignment horizontal="center" vertical="center"/>
    </xf>
    <xf numFmtId="2" fontId="3" fillId="2" borderId="8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3" fillId="5" borderId="1" xfId="0" applyFont="1" applyFill="1" applyBorder="1"/>
    <xf numFmtId="3" fontId="3" fillId="0" borderId="5" xfId="0" applyNumberFormat="1" applyFont="1" applyBorder="1" applyAlignment="1">
      <alignment horizontal="center"/>
    </xf>
    <xf numFmtId="2" fontId="3" fillId="5" borderId="4" xfId="0" applyNumberFormat="1" applyFont="1" applyFill="1" applyBorder="1" applyAlignment="1">
      <alignment horizontal="center"/>
    </xf>
    <xf numFmtId="2" fontId="3" fillId="5" borderId="10" xfId="0" applyNumberFormat="1" applyFont="1" applyFill="1" applyBorder="1" applyAlignment="1">
      <alignment horizontal="center"/>
    </xf>
    <xf numFmtId="2" fontId="3" fillId="5" borderId="7" xfId="0" applyNumberFormat="1" applyFont="1" applyFill="1" applyBorder="1" applyAlignment="1">
      <alignment horizontal="center"/>
    </xf>
    <xf numFmtId="3" fontId="3" fillId="5" borderId="1" xfId="0" applyNumberFormat="1" applyFont="1" applyFill="1" applyBorder="1" applyAlignment="1">
      <alignment horizontal="center"/>
    </xf>
    <xf numFmtId="49" fontId="3" fillId="3" borderId="4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 vertical="center"/>
    </xf>
    <xf numFmtId="2" fontId="3" fillId="5" borderId="4" xfId="0" applyNumberFormat="1" applyFont="1" applyFill="1" applyBorder="1" applyAlignment="1">
      <alignment horizontal="center"/>
    </xf>
    <xf numFmtId="2" fontId="3" fillId="5" borderId="10" xfId="0" applyNumberFormat="1" applyFont="1" applyFill="1" applyBorder="1" applyAlignment="1">
      <alignment horizontal="center"/>
    </xf>
    <xf numFmtId="2" fontId="3" fillId="5" borderId="7" xfId="0" applyNumberFormat="1" applyFont="1" applyFill="1" applyBorder="1" applyAlignment="1">
      <alignment horizontal="center"/>
    </xf>
    <xf numFmtId="2" fontId="3" fillId="2" borderId="4" xfId="0" applyNumberFormat="1" applyFont="1" applyFill="1" applyBorder="1" applyAlignment="1">
      <alignment horizontal="center"/>
    </xf>
    <xf numFmtId="2" fontId="3" fillId="2" borderId="7" xfId="0" applyNumberFormat="1" applyFont="1" applyFill="1" applyBorder="1" applyAlignment="1">
      <alignment horizontal="center"/>
    </xf>
    <xf numFmtId="2" fontId="3" fillId="2" borderId="2" xfId="0" applyNumberFormat="1" applyFont="1" applyFill="1" applyBorder="1" applyAlignment="1">
      <alignment horizontal="center" vertical="center"/>
    </xf>
    <xf numFmtId="2" fontId="3" fillId="2" borderId="8" xfId="0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/>
    </xf>
    <xf numFmtId="2" fontId="3" fillId="2" borderId="10" xfId="0" applyNumberFormat="1" applyFont="1" applyFill="1" applyBorder="1" applyAlignment="1">
      <alignment horizontal="center"/>
    </xf>
    <xf numFmtId="2" fontId="3" fillId="2" borderId="1" xfId="0" applyNumberFormat="1" applyFont="1" applyFill="1" applyBorder="1" applyAlignment="1">
      <alignment horizontal="center"/>
    </xf>
    <xf numFmtId="2" fontId="3" fillId="6" borderId="2" xfId="0" applyNumberFormat="1" applyFont="1" applyFill="1" applyBorder="1" applyAlignment="1">
      <alignment horizontal="center"/>
    </xf>
    <xf numFmtId="2" fontId="3" fillId="6" borderId="8" xfId="0" applyNumberFormat="1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49" fontId="3" fillId="3" borderId="4" xfId="0" applyNumberFormat="1" applyFont="1" applyFill="1" applyBorder="1" applyAlignment="1">
      <alignment horizontal="center"/>
    </xf>
    <xf numFmtId="49" fontId="3" fillId="3" borderId="7" xfId="0" applyNumberFormat="1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3" fontId="3" fillId="0" borderId="5" xfId="0" applyNumberFormat="1" applyFont="1" applyBorder="1" applyAlignment="1">
      <alignment horizontal="center"/>
    </xf>
    <xf numFmtId="3" fontId="3" fillId="5" borderId="1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AS47"/>
  <sheetViews>
    <sheetView workbookViewId="0">
      <selection activeCell="D17" sqref="D17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29" t="s">
        <v>48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  <c r="T1" s="129"/>
      <c r="U1" s="129"/>
      <c r="V1" s="129"/>
      <c r="W1" s="129"/>
      <c r="X1" s="129"/>
      <c r="Y1" s="129"/>
      <c r="Z1" s="129"/>
      <c r="AA1" s="129"/>
      <c r="AB1" s="129"/>
      <c r="AC1" s="129"/>
      <c r="AD1" s="129"/>
      <c r="AE1" s="129"/>
      <c r="AF1" s="129"/>
      <c r="AG1" s="129"/>
      <c r="AH1" s="129"/>
      <c r="AI1" s="129"/>
      <c r="AJ1" s="129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24" t="s">
        <v>57</v>
      </c>
      <c r="D7" s="125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24" t="s">
        <v>58</v>
      </c>
      <c r="D8" s="125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24" t="s">
        <v>59</v>
      </c>
      <c r="D9" s="125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24" t="s">
        <v>60</v>
      </c>
      <c r="D10" s="125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24" t="s">
        <v>61</v>
      </c>
      <c r="D11" s="125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24" t="s">
        <v>62</v>
      </c>
      <c r="D12" s="125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24" t="s">
        <v>63</v>
      </c>
      <c r="D13" s="125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24" t="s">
        <v>64</v>
      </c>
      <c r="D14" s="125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24" t="s">
        <v>65</v>
      </c>
      <c r="D15" s="125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24" t="s">
        <v>66</v>
      </c>
      <c r="D16" s="125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24" t="s">
        <v>67</v>
      </c>
      <c r="D19" s="125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4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23" t="s">
        <v>16</v>
      </c>
      <c r="B28" s="123"/>
      <c r="C28" s="33">
        <f>ABS(SUM(AO42:AO65536))</f>
        <v>875.66960000016741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26" t="s">
        <v>17</v>
      </c>
      <c r="B29" s="126"/>
      <c r="C29" s="32">
        <f>ABS(C28/2)</f>
        <v>437.8348000000837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26">
        <f>SQRT(AA40^2+AB40^2)</f>
        <v>7.1716382017549668E-4</v>
      </c>
      <c r="C32" s="126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8">
        <f>M40/B32</f>
        <v>120031.78456180185</v>
      </c>
      <c r="C33" s="128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26" t="str">
        <f>"1 : "&amp;TEXT(B35,"00")</f>
        <v>1 : 120000</v>
      </c>
      <c r="C34" s="126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7">
        <f>ROUND(B33,2-LEN(INT(B33)))</f>
        <v>120000</v>
      </c>
      <c r="C35" s="127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6" t="s">
        <v>9</v>
      </c>
      <c r="B38" s="88"/>
      <c r="C38" s="118" t="s">
        <v>7</v>
      </c>
      <c r="D38" s="118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0" t="s">
        <v>8</v>
      </c>
      <c r="N38" s="120"/>
      <c r="O38" s="120"/>
      <c r="P38" s="120"/>
      <c r="Q38" s="120"/>
      <c r="R38" s="120"/>
      <c r="S38" s="120"/>
      <c r="T38" s="120"/>
      <c r="U38" s="120"/>
      <c r="V38" s="121"/>
      <c r="W38" s="59"/>
      <c r="X38" s="59" t="s">
        <v>33</v>
      </c>
      <c r="Y38" s="59" t="s">
        <v>34</v>
      </c>
      <c r="Z38" s="80"/>
      <c r="AA38" s="116" t="s">
        <v>30</v>
      </c>
      <c r="AB38" s="116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5"/>
      <c r="AL38" s="65"/>
      <c r="AM38" s="114" t="s">
        <v>18</v>
      </c>
      <c r="AN38" s="119"/>
      <c r="AO38" s="115"/>
      <c r="AP38" s="110" t="s">
        <v>56</v>
      </c>
    </row>
    <row r="39" spans="1:44">
      <c r="A39" s="117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9"/>
      <c r="P39" s="119"/>
      <c r="Q39" s="115"/>
      <c r="R39" s="114" t="s">
        <v>24</v>
      </c>
      <c r="S39" s="119"/>
      <c r="T39" s="119"/>
      <c r="U39" s="115"/>
      <c r="V39" s="122"/>
      <c r="W39" s="59"/>
      <c r="X39" s="59"/>
      <c r="Y39" s="59"/>
      <c r="Z39" s="81"/>
      <c r="AA39" s="117"/>
      <c r="AB39" s="117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10"/>
    </row>
    <row r="40" spans="1:44" s="11" customFormat="1">
      <c r="A40" s="111" t="s">
        <v>25</v>
      </c>
      <c r="B40" s="112"/>
      <c r="C40" s="112"/>
      <c r="D40" s="112"/>
      <c r="E40" s="112"/>
      <c r="F40" s="112"/>
      <c r="G40" s="112"/>
      <c r="H40" s="112"/>
      <c r="I40" s="112"/>
      <c r="J40" s="112"/>
      <c r="K40" s="112"/>
      <c r="L40" s="113"/>
      <c r="M40" s="51">
        <f>SUM(M42:M65536)</f>
        <v>86.082453158824023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3.0314658554431162E-4</v>
      </c>
      <c r="AB40" s="91">
        <f>SUM(AB42:AB65536)</f>
        <v>-6.4994314569932765E-4</v>
      </c>
      <c r="AC40" s="91"/>
      <c r="AD40" s="91">
        <f>SUM(AD42:AD65536)</f>
        <v>3.0314658554431162E-4</v>
      </c>
      <c r="AE40" s="91">
        <f>SUM(AE42:AE65536)</f>
        <v>-6.4994314569932754E-4</v>
      </c>
      <c r="AF40" s="91">
        <f>SUM(AF42:AF65536)</f>
        <v>0</v>
      </c>
      <c r="AG40" s="91">
        <f>SUM(AG42:AG65536)</f>
        <v>-3.4694469519536142E-16</v>
      </c>
      <c r="AH40" s="92"/>
      <c r="AI40" s="93">
        <v>1</v>
      </c>
      <c r="AJ40" s="92">
        <f>AJ44+AF44</f>
        <v>721381.10357900441</v>
      </c>
      <c r="AK40" s="92">
        <f>AK44+AG44</f>
        <v>461602.69532842876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-136.05000000004657</v>
      </c>
      <c r="G41" s="72">
        <f>IF(D42=0,D41-$D$41,D41-D42)</f>
        <v>847.63999999995576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858.48888874576448</v>
      </c>
      <c r="N41" s="36">
        <f>IF(F41=0,,ATAN(G41/F41))</f>
        <v>-1.4116492357254213</v>
      </c>
      <c r="O41" s="36">
        <f>ABS(DEGREES(N41))</f>
        <v>80.881543359934909</v>
      </c>
      <c r="P41" s="37" t="str">
        <f>TEXT(INT(O41),"00")</f>
        <v>80</v>
      </c>
      <c r="Q41" s="38" t="str">
        <f>TEXT((O41-P41)*60,"00")</f>
        <v>53</v>
      </c>
      <c r="R41" s="39" t="str">
        <f>IF(L41="",IF(F41&gt;0,"S","N"),"")</f>
        <v>N</v>
      </c>
      <c r="S41" s="25" t="str">
        <f>IF(L41="",IF(INT(Q41)=60,INT(P41+1),P41),"due")</f>
        <v>80</v>
      </c>
      <c r="T41" s="38" t="str">
        <f>IF(L41="",IF(INT(Q41)=60,"00",Q41),L41)</f>
        <v>53</v>
      </c>
      <c r="U41" s="40" t="str">
        <f>IF(L41="",IF(G41&gt;0,"W","E"),"")</f>
        <v>W</v>
      </c>
      <c r="V41" s="41"/>
      <c r="W41" s="22">
        <f>IF(S41="due",90*(I41+K41),S41+T41/60)</f>
        <v>80.88333333333334</v>
      </c>
      <c r="X41" s="22">
        <f>IF(R41="",W41,IF(R41="N",IF(U41="E",180+W41,180-W41),IF(U41="E",360-W41,W41)))</f>
        <v>99.11666666666666</v>
      </c>
      <c r="Y41" s="22">
        <f>RADIANS(X41)</f>
        <v>1.7299121769350463</v>
      </c>
      <c r="Z41" s="64"/>
      <c r="AA41" s="58">
        <f>-M41*COS(Y41)</f>
        <v>136.02351887232521</v>
      </c>
      <c r="AB41" s="58">
        <f>-M41*SIN(Y41)</f>
        <v>-847.64424991474323</v>
      </c>
      <c r="AC41" s="64"/>
      <c r="AD41" s="22">
        <v>0</v>
      </c>
      <c r="AE41" s="22">
        <v>0</v>
      </c>
      <c r="AF41" s="22">
        <f t="shared" ref="AF41:AG43" si="0">AA41-AD41</f>
        <v>136.02351887232521</v>
      </c>
      <c r="AG41" s="22">
        <f t="shared" si="0"/>
        <v>-847.64424991474323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721364.67</v>
      </c>
      <c r="D42" s="60">
        <v>461602.58</v>
      </c>
      <c r="E42" s="79"/>
      <c r="F42" s="72">
        <f>IF(C43=0,C42-$C$42,C42-C43)</f>
        <v>0.22000000008847564</v>
      </c>
      <c r="G42" s="72">
        <f>IF(D43=0,D42-$D$42,D42-D43)</f>
        <v>26.559999999997672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26.560911128948781</v>
      </c>
      <c r="N42" s="36">
        <f>IF(F42=0,,ATAN(G42/F42))</f>
        <v>1.562513383689673</v>
      </c>
      <c r="O42" s="36">
        <f>ABS(DEGREES(N42))</f>
        <v>89.525422318123702</v>
      </c>
      <c r="P42" s="37" t="str">
        <f>TEXT(INT(O42),"00")</f>
        <v>89</v>
      </c>
      <c r="Q42" s="38" t="str">
        <f>TEXT((O42-P42)*60,"00")</f>
        <v>32</v>
      </c>
      <c r="R42" s="39" t="str">
        <f>IF(L42="",IF(F42&gt;0,"S","N"),"")</f>
        <v>S</v>
      </c>
      <c r="S42" s="25" t="str">
        <f>IF(L42="",IF(INT(Q42)=60,INT(P42+1),P42),"due")</f>
        <v>89</v>
      </c>
      <c r="T42" s="38" t="str">
        <f>IF(L42="",IF(INT(Q42)=60,"00",Q42),L42)</f>
        <v>32</v>
      </c>
      <c r="U42" s="40" t="str">
        <f>IF(L42="",IF(G42&gt;0,"W","E"),"")</f>
        <v>W</v>
      </c>
      <c r="V42" s="44"/>
      <c r="W42" s="22">
        <f>IF(S42="due",90*(I42+K42),S42+T42/60)</f>
        <v>89.533333333333331</v>
      </c>
      <c r="X42" s="22">
        <f>IF(R42="",W42,IF(R42="N",IF(U42="E",180+W42,180-W42),IF(U42="E",360-W42,W42)))</f>
        <v>89.533333333333331</v>
      </c>
      <c r="Y42" s="22">
        <f>RADIANS(X42)</f>
        <v>1.5626514569522563</v>
      </c>
      <c r="Z42" s="64"/>
      <c r="AA42" s="58">
        <f>-M42*COS(Y42)</f>
        <v>-0.21633277214885213</v>
      </c>
      <c r="AB42" s="58">
        <f>-M42*SIN(Y42)</f>
        <v>-26.560030122942436</v>
      </c>
      <c r="AC42" s="64"/>
      <c r="AD42" s="82">
        <f>$AA$40/$M$40*M42</f>
        <v>9.3536478367210217E-5</v>
      </c>
      <c r="AE42" s="82">
        <f>$AB$40/$M$40*M42</f>
        <v>-2.0054124270759899E-4</v>
      </c>
      <c r="AF42" s="22">
        <f t="shared" si="0"/>
        <v>-0.21642630862721934</v>
      </c>
      <c r="AG42" s="22">
        <f t="shared" si="0"/>
        <v>-26.559829581699727</v>
      </c>
      <c r="AH42" s="63"/>
      <c r="AI42" s="38">
        <f>A42</f>
        <v>1</v>
      </c>
      <c r="AJ42" s="82">
        <f t="shared" ref="AJ42:AK44" si="1">AJ41+AF41</f>
        <v>721364.64351887233</v>
      </c>
      <c r="AK42" s="82">
        <f t="shared" si="1"/>
        <v>461602.57575008523</v>
      </c>
      <c r="AL42" s="66"/>
      <c r="AM42" s="9" t="str">
        <f>IF(A43=0,A42&amp;" - 1",A42&amp;" - "&amp;A43)</f>
        <v>1 - 2</v>
      </c>
      <c r="AN42" s="18">
        <f>F42</f>
        <v>0.22000000008847564</v>
      </c>
      <c r="AO42" s="18">
        <f>AN42*G42</f>
        <v>5.8432000023494011</v>
      </c>
      <c r="AP42" s="9" t="str">
        <f>D42&amp;","&amp;C42</f>
        <v>461602.58,721364.67</v>
      </c>
    </row>
    <row r="43" spans="1:44">
      <c r="A43" s="20">
        <f>A42+1</f>
        <v>2</v>
      </c>
      <c r="B43" s="44"/>
      <c r="C43" s="60">
        <v>721364.45</v>
      </c>
      <c r="D43" s="60">
        <v>461576.02</v>
      </c>
      <c r="E43" s="79"/>
      <c r="F43" s="72">
        <f>IF(C44=0,C43-$C$42,C43-C44)</f>
        <v>-16.53000000002794</v>
      </c>
      <c r="G43" s="72">
        <f>IF(D44=0,D43-$D$42,D43-D44)</f>
        <v>-0.1499999999650754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16.530680566779857</v>
      </c>
      <c r="N43" s="36">
        <f>IF(F43=0,,ATAN(G43/F43))</f>
        <v>9.0741610963244249E-3</v>
      </c>
      <c r="O43" s="36">
        <f>ABS(DEGREES(N43))</f>
        <v>0.51991113344119366</v>
      </c>
      <c r="P43" s="37" t="str">
        <f>TEXT(INT(O43),"00")</f>
        <v>00</v>
      </c>
      <c r="Q43" s="38" t="str">
        <f>TEXT((O43-P43)*60,"00")</f>
        <v>31</v>
      </c>
      <c r="R43" s="39" t="str">
        <f>IF(L43="",IF(F43&gt;0,"S","N"),"")</f>
        <v>N</v>
      </c>
      <c r="S43" s="25" t="str">
        <f>IF(L43="",IF(INT(Q43)=60,INT(P43+1),P43),"due")</f>
        <v>00</v>
      </c>
      <c r="T43" s="38" t="str">
        <f>IF(L43="",IF(INT(Q43)=60,"00",Q43),L43)</f>
        <v>31</v>
      </c>
      <c r="U43" s="40" t="str">
        <f>IF(L43="",IF(G43&gt;0,"W","E"),"")</f>
        <v>E</v>
      </c>
      <c r="V43" s="44"/>
      <c r="W43" s="22">
        <f>IF(S43="due",90*(I43+K43),S43+T43/60)</f>
        <v>0.51666666666666672</v>
      </c>
      <c r="X43" s="22">
        <f>IF(R43="",W43,IF(R43="N",IF(U43="E",180+W43,180-W43),IF(U43="E",360-W43,W43)))</f>
        <v>180.51666666666668</v>
      </c>
      <c r="Y43" s="22">
        <f>RADIANS(X43)</f>
        <v>3.150610188058431</v>
      </c>
      <c r="Z43" s="64"/>
      <c r="AA43" s="58">
        <f>-M43*COS(Y43)</f>
        <v>16.530008467519743</v>
      </c>
      <c r="AB43" s="58">
        <f>-M43*SIN(Y43)</f>
        <v>0.14906396156941976</v>
      </c>
      <c r="AC43" s="64"/>
      <c r="AD43" s="82">
        <f>$AA$40/$M$40*M43</f>
        <v>5.8214179390278404E-5</v>
      </c>
      <c r="AE43" s="82">
        <f>$AB$40/$M$40*M43</f>
        <v>-1.2481059883714889E-4</v>
      </c>
      <c r="AF43" s="22">
        <f t="shared" si="0"/>
        <v>16.529950253340353</v>
      </c>
      <c r="AG43" s="22">
        <f t="shared" si="0"/>
        <v>0.14918877216825691</v>
      </c>
      <c r="AH43" s="64"/>
      <c r="AI43" s="25">
        <f>A43</f>
        <v>2</v>
      </c>
      <c r="AJ43" s="82">
        <f t="shared" si="1"/>
        <v>721364.42709256371</v>
      </c>
      <c r="AK43" s="82">
        <f t="shared" si="1"/>
        <v>461576.01592050353</v>
      </c>
      <c r="AL43" s="66"/>
      <c r="AM43" s="9" t="str">
        <f>IF(A44=0,A43&amp;" - 1",A43&amp;" - "&amp;A44)</f>
        <v>2 - 3</v>
      </c>
      <c r="AN43" s="18">
        <f>AN42+F42+F43</f>
        <v>-16.089999999850988</v>
      </c>
      <c r="AO43" s="18">
        <f>AN43*G43</f>
        <v>2.4134999994157114</v>
      </c>
      <c r="AP43" s="9" t="str">
        <f>D43&amp;","&amp;C43</f>
        <v>461576.02,721364.45</v>
      </c>
    </row>
    <row r="44" spans="1:44" s="46" customFormat="1">
      <c r="A44" s="20">
        <f>A43+1</f>
        <v>3</v>
      </c>
      <c r="B44" s="44"/>
      <c r="C44" s="60">
        <v>721380.98</v>
      </c>
      <c r="D44" s="60">
        <v>461576.17</v>
      </c>
      <c r="E44" s="79"/>
      <c r="F44" s="72">
        <f>IF(C45=0,C44-$C$42,C44-C45)</f>
        <v>-0.15000000002328306</v>
      </c>
      <c r="G44" s="72">
        <f>IF(D45=0,D44-$D$42,D44-D45)</f>
        <v>-26.53000000002794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26.530424044886455</v>
      </c>
      <c r="N44" s="22">
        <f>IF(F44=0,,ATAN(G44/F44))</f>
        <v>1.5651424104103813</v>
      </c>
      <c r="O44" s="22">
        <f>ABS(DEGREES(N44))</f>
        <v>89.676054453447406</v>
      </c>
      <c r="P44" s="24" t="str">
        <f>TEXT(INT(O44),"00")</f>
        <v>89</v>
      </c>
      <c r="Q44" s="25" t="str">
        <f>TEXT((O44-P44)*60,"00")</f>
        <v>41</v>
      </c>
      <c r="R44" s="23" t="str">
        <f>IF(L44="",IF(F44&gt;0,"S","N"),"")</f>
        <v>N</v>
      </c>
      <c r="S44" s="25" t="str">
        <f>IF(L44="",IF(INT(Q44)=60,INT(P44+1),P44),"due")</f>
        <v>89</v>
      </c>
      <c r="T44" s="25" t="str">
        <f>IF(L44="",IF(INT(Q44)=60,"00",Q44),L44)</f>
        <v>41</v>
      </c>
      <c r="U44" s="24" t="str">
        <f>IF(L44="",IF(G44&gt;0,"W","E"),"")</f>
        <v>E</v>
      </c>
      <c r="V44" s="44"/>
      <c r="W44" s="22">
        <f>IF(S44="due",90*(I44+K44),S44+T44/60)</f>
        <v>89.683333333333337</v>
      </c>
      <c r="X44" s="22">
        <f>IF(R44="",W44,IF(R44="N",IF(U44="E",180+W44,180-W44),IF(U44="E",360-W44,W44)))</f>
        <v>269.68333333333334</v>
      </c>
      <c r="Y44" s="22">
        <f>RADIANS(X44)</f>
        <v>4.7068621044200407</v>
      </c>
      <c r="Z44" s="64"/>
      <c r="AA44" s="58">
        <f>-M44*COS(Y44)</f>
        <v>0.14662961648284761</v>
      </c>
      <c r="AB44" s="58">
        <f>-M44*SIN(Y44)</f>
        <v>26.530018842003479</v>
      </c>
      <c r="AC44" s="64"/>
      <c r="AD44" s="82">
        <f>$AA$40/$M$40*M44</f>
        <v>9.3429115541250263E-5</v>
      </c>
      <c r="AE44" s="82">
        <f>$AB$40/$M$40*M44</f>
        <v>-2.0031105791857922E-4</v>
      </c>
      <c r="AF44" s="22">
        <f>AA44-AD44</f>
        <v>0.14653618736730636</v>
      </c>
      <c r="AG44" s="22">
        <f>AB44-AE44</f>
        <v>26.530219153061399</v>
      </c>
      <c r="AH44" s="64"/>
      <c r="AI44" s="25">
        <f>A44</f>
        <v>3</v>
      </c>
      <c r="AJ44" s="82">
        <f t="shared" si="1"/>
        <v>721380.95704281703</v>
      </c>
      <c r="AK44" s="82">
        <f t="shared" si="1"/>
        <v>461576.16510927572</v>
      </c>
      <c r="AL44" s="66"/>
      <c r="AM44" s="9" t="str">
        <f>IF(A45=0,A44&amp;" - 1",A44&amp;" - "&amp;A45)</f>
        <v>3 - 4</v>
      </c>
      <c r="AN44" s="18">
        <f>AN43+F43+F44</f>
        <v>-32.769999999902211</v>
      </c>
      <c r="AO44" s="18">
        <f>AN44*G44</f>
        <v>869.3880999983212</v>
      </c>
      <c r="AP44" s="9" t="str">
        <f>D44&amp;","&amp;C44</f>
        <v>461576.17,721380.98</v>
      </c>
    </row>
    <row r="45" spans="1:44" s="46" customFormat="1">
      <c r="A45" s="20">
        <f>A44+1</f>
        <v>4</v>
      </c>
      <c r="B45" s="44"/>
      <c r="C45" s="60">
        <v>721381.13</v>
      </c>
      <c r="D45" s="60">
        <v>461602.7</v>
      </c>
      <c r="E45" s="79"/>
      <c r="F45" s="72">
        <f>IF(C46=0,C45-$C$42,C45-C46)</f>
        <v>16.459999999962747</v>
      </c>
      <c r="G45" s="72">
        <f>IF(D46=0,D45-$D$42,D45-D46)</f>
        <v>0.11999999999534339</v>
      </c>
      <c r="H45" s="76" t="str">
        <f>IF(G45=0,IF(F45&gt;0,"South","North"),"")</f>
        <v/>
      </c>
      <c r="I45" s="76">
        <f>IF(H45="North",2,IF(H45="",0,0))</f>
        <v>0</v>
      </c>
      <c r="J45" s="76" t="str">
        <f>IF(F45=0,IF(G45&gt;0,"West","East"),"")</f>
        <v/>
      </c>
      <c r="K45" s="76">
        <f>IF(J45="West",1,IF(J45="",0,3))</f>
        <v>0</v>
      </c>
      <c r="L45" s="76" t="str">
        <f>H45&amp;J45</f>
        <v/>
      </c>
      <c r="M45" s="22">
        <f>SQRT(F45^2+G45^2)</f>
        <v>16.460437418208926</v>
      </c>
      <c r="N45" s="22">
        <f>IF(F45=0,,ATAN(G45/F45))</f>
        <v>7.2902718144324001E-3</v>
      </c>
      <c r="O45" s="22">
        <f>ABS(DEGREES(N45))</f>
        <v>0.41770180647015742</v>
      </c>
      <c r="P45" s="24" t="str">
        <f>TEXT(INT(O45),"00")</f>
        <v>00</v>
      </c>
      <c r="Q45" s="25" t="str">
        <f>TEXT((O45-P45)*60,"00")</f>
        <v>25</v>
      </c>
      <c r="R45" s="23" t="str">
        <f>IF(L45="",IF(F45&gt;0,"S","N"),"")</f>
        <v>S</v>
      </c>
      <c r="S45" s="25" t="str">
        <f>IF(L45="",IF(INT(Q45)=60,INT(P45+1),P45),"due")</f>
        <v>00</v>
      </c>
      <c r="T45" s="25" t="str">
        <f>IF(L45="",IF(INT(Q45)=60,"00",Q45),L45)</f>
        <v>25</v>
      </c>
      <c r="U45" s="24" t="str">
        <f>IF(L45="",IF(G45&gt;0,"W","E"),"")</f>
        <v>W</v>
      </c>
      <c r="V45" s="44"/>
      <c r="W45" s="22">
        <f>IF(S45="due",90*(I45+K45),S45+T45/60)</f>
        <v>0.41666666666666669</v>
      </c>
      <c r="X45" s="22">
        <f>IF(R45="",W45,IF(R45="N",IF(U45="E",180+W45,180-W45),IF(U45="E",360-W45,W45)))</f>
        <v>0.41666666666666669</v>
      </c>
      <c r="Y45" s="22">
        <f>RADIANS(X45)</f>
        <v>7.2722052166430398E-3</v>
      </c>
      <c r="Z45" s="64"/>
      <c r="AA45" s="58">
        <f>-M45*COS(Y45)</f>
        <v>-16.460002165268193</v>
      </c>
      <c r="AB45" s="58">
        <f>-M45*SIN(Y45)</f>
        <v>-0.11970262377616325</v>
      </c>
      <c r="AC45" s="64"/>
      <c r="AD45" s="82">
        <f>$AA$40/$M$40*M45</f>
        <v>5.7966812245572715E-5</v>
      </c>
      <c r="AE45" s="82">
        <f>$AB$40/$M$40*M45</f>
        <v>-1.242802462360005E-4</v>
      </c>
      <c r="AF45" s="22">
        <f>AA45-AD45</f>
        <v>-16.460060132080439</v>
      </c>
      <c r="AG45" s="22">
        <f>AB45-AE45</f>
        <v>-0.11957834352992726</v>
      </c>
      <c r="AH45" s="64"/>
      <c r="AI45" s="25">
        <f>A45</f>
        <v>4</v>
      </c>
      <c r="AJ45" s="82">
        <f t="shared" ref="AJ45" si="2">AJ44+AF44</f>
        <v>721381.10357900441</v>
      </c>
      <c r="AK45" s="82">
        <f t="shared" ref="AK45" si="3">AK44+AG44</f>
        <v>461602.69532842876</v>
      </c>
      <c r="AL45" s="66"/>
      <c r="AM45" s="9" t="str">
        <f>IF(A46=0,A45&amp;" - 1",A45&amp;" - "&amp;A46)</f>
        <v>4 - 1</v>
      </c>
      <c r="AN45" s="18">
        <f>AN44+F44+F45</f>
        <v>-16.459999999962747</v>
      </c>
      <c r="AO45" s="18">
        <f>AN45*G45</f>
        <v>-1.9751999999188818</v>
      </c>
      <c r="AP45" s="9" t="str">
        <f>D45&amp;","&amp;C45</f>
        <v>461602.7,721381.13</v>
      </c>
    </row>
    <row r="46" spans="1:44" s="46" customFormat="1">
      <c r="A46" s="28"/>
      <c r="B46" s="28"/>
      <c r="F46" s="47"/>
      <c r="G46" s="47"/>
      <c r="H46" s="47"/>
      <c r="I46" s="48"/>
      <c r="J46" s="48"/>
      <c r="K46" s="48"/>
      <c r="L46" s="28"/>
      <c r="M46" s="50"/>
      <c r="N46" s="48"/>
      <c r="O46" s="49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I46" s="47"/>
      <c r="AJ46" s="47"/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C19:D19"/>
    <mergeCell ref="A1:AJ1"/>
    <mergeCell ref="C10:D10"/>
    <mergeCell ref="C11:D11"/>
    <mergeCell ref="C12:D12"/>
    <mergeCell ref="A28:B28"/>
    <mergeCell ref="N39:Q39"/>
    <mergeCell ref="R39:U39"/>
    <mergeCell ref="C7:D7"/>
    <mergeCell ref="C8:D8"/>
    <mergeCell ref="C9:D9"/>
    <mergeCell ref="C13:D13"/>
    <mergeCell ref="C14:D14"/>
    <mergeCell ref="C15:D15"/>
    <mergeCell ref="C16:D16"/>
    <mergeCell ref="A29:B29"/>
    <mergeCell ref="A38:A39"/>
    <mergeCell ref="B35:C35"/>
    <mergeCell ref="B32:C32"/>
    <mergeCell ref="B33:C33"/>
    <mergeCell ref="B34:C34"/>
    <mergeCell ref="AP38:AP39"/>
    <mergeCell ref="A40:L40"/>
    <mergeCell ref="AJ38:AK38"/>
    <mergeCell ref="AA38:AA39"/>
    <mergeCell ref="AB38:AB39"/>
    <mergeCell ref="C38:D38"/>
    <mergeCell ref="AM38:AO38"/>
    <mergeCell ref="M38:U38"/>
    <mergeCell ref="V38:V39"/>
  </mergeCells>
  <phoneticPr fontId="0" type="noConversion"/>
  <printOptions verticalCentered="1"/>
  <pageMargins left="0.75" right="0.75" top="1" bottom="1" header="0.5" footer="0.5"/>
  <pageSetup orientation="landscape" horizontalDpi="4294967293" verticalDpi="2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10"/>
  <dimension ref="A1:AS47"/>
  <sheetViews>
    <sheetView tabSelected="1" workbookViewId="0">
      <selection activeCell="D18" sqref="D18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94" t="s">
        <v>48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  <c r="Z1" s="94"/>
      <c r="AA1" s="94"/>
      <c r="AB1" s="94"/>
      <c r="AC1" s="94"/>
      <c r="AD1" s="94"/>
      <c r="AE1" s="94"/>
      <c r="AF1" s="94"/>
      <c r="AG1" s="94"/>
      <c r="AH1" s="94"/>
      <c r="AI1" s="94"/>
      <c r="AJ1" s="94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24" t="s">
        <v>96</v>
      </c>
      <c r="D7" s="125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09" t="s">
        <v>97</v>
      </c>
      <c r="D8" s="86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09" t="s">
        <v>59</v>
      </c>
      <c r="D9" s="86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09" t="s">
        <v>60</v>
      </c>
      <c r="D10" s="86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09" t="s">
        <v>61</v>
      </c>
      <c r="D11" s="86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09" t="s">
        <v>62</v>
      </c>
      <c r="D12" s="86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09" t="s">
        <v>63</v>
      </c>
      <c r="D13" s="86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09" t="s">
        <v>64</v>
      </c>
      <c r="D14" s="86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09" t="s">
        <v>65</v>
      </c>
      <c r="D15" s="86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09" t="s">
        <v>66</v>
      </c>
      <c r="D16" s="86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09" t="s">
        <v>98</v>
      </c>
      <c r="D19" s="86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5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95" t="s">
        <v>16</v>
      </c>
      <c r="B28" s="95"/>
      <c r="C28" s="33">
        <f>ABS(SUM(AO42:AO65536))</f>
        <v>1318.0777000025846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32" t="s">
        <v>17</v>
      </c>
      <c r="B29" s="32"/>
      <c r="C29" s="32">
        <f>ABS(C28/2)</f>
        <v>659.0388500012923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32">
        <f>SQRT(AA40^2+AB40^2)</f>
        <v>5.7729888846014604E-3</v>
      </c>
      <c r="C32" s="32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08">
        <f>M40/B32</f>
        <v>17564.102529996435</v>
      </c>
      <c r="C33" s="108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32" t="str">
        <f>"1 : "&amp;TEXT(B35,"00")</f>
        <v>1 : 18000</v>
      </c>
      <c r="C34" s="32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t="12.75" hidden="1" customHeight="1">
      <c r="A35" s="70"/>
      <c r="B35" s="104">
        <f>ROUND(B33,2-LEN(INT(B33)))</f>
        <v>18000</v>
      </c>
      <c r="C35" s="104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00" t="s">
        <v>9</v>
      </c>
      <c r="B38" s="88"/>
      <c r="C38" s="16" t="s">
        <v>7</v>
      </c>
      <c r="D38" s="16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7" t="s">
        <v>8</v>
      </c>
      <c r="N38" s="17"/>
      <c r="O38" s="17"/>
      <c r="P38" s="17"/>
      <c r="Q38" s="17"/>
      <c r="R38" s="17"/>
      <c r="S38" s="17"/>
      <c r="T38" s="17"/>
      <c r="U38" s="17"/>
      <c r="V38" s="98"/>
      <c r="W38" s="59"/>
      <c r="X38" s="59" t="s">
        <v>33</v>
      </c>
      <c r="Y38" s="59" t="s">
        <v>34</v>
      </c>
      <c r="Z38" s="80"/>
      <c r="AA38" s="100" t="s">
        <v>30</v>
      </c>
      <c r="AB38" s="100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45" t="s">
        <v>55</v>
      </c>
      <c r="AK38" s="97"/>
      <c r="AL38" s="65"/>
      <c r="AM38" s="45" t="s">
        <v>18</v>
      </c>
      <c r="AN38" s="96"/>
      <c r="AO38" s="97"/>
      <c r="AP38" s="102" t="s">
        <v>56</v>
      </c>
    </row>
    <row r="39" spans="1:44">
      <c r="A39" s="101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45" t="s">
        <v>21</v>
      </c>
      <c r="O39" s="96"/>
      <c r="P39" s="96"/>
      <c r="Q39" s="97"/>
      <c r="R39" s="45" t="s">
        <v>24</v>
      </c>
      <c r="S39" s="96"/>
      <c r="T39" s="96"/>
      <c r="U39" s="97"/>
      <c r="V39" s="99"/>
      <c r="W39" s="59"/>
      <c r="X39" s="59"/>
      <c r="Y39" s="59"/>
      <c r="Z39" s="81"/>
      <c r="AA39" s="101"/>
      <c r="AB39" s="101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02"/>
    </row>
    <row r="40" spans="1:44" s="11" customFormat="1">
      <c r="A40" s="105" t="s">
        <v>25</v>
      </c>
      <c r="B40" s="106"/>
      <c r="C40" s="106"/>
      <c r="D40" s="106"/>
      <c r="E40" s="106"/>
      <c r="F40" s="106"/>
      <c r="G40" s="106"/>
      <c r="H40" s="106"/>
      <c r="I40" s="106"/>
      <c r="J40" s="106"/>
      <c r="K40" s="106"/>
      <c r="L40" s="107"/>
      <c r="M40" s="51">
        <f>SUM(M42:M65536)</f>
        <v>101.3973686736698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-5.7536334504032227E-3</v>
      </c>
      <c r="AB40" s="91">
        <f>SUM(AB42:AB65536)</f>
        <v>-4.7233757010545219E-4</v>
      </c>
      <c r="AC40" s="91"/>
      <c r="AD40" s="91">
        <f>SUM(AD42:AD65536)</f>
        <v>-5.7536334504032227E-3</v>
      </c>
      <c r="AE40" s="91">
        <f>SUM(AE42:AE65536)</f>
        <v>-4.7233757010545219E-4</v>
      </c>
      <c r="AF40" s="91">
        <f>SUM(AF42:AF65536)</f>
        <v>4.2466030691912238E-15</v>
      </c>
      <c r="AG40" s="91">
        <f>SUM(AG42:AG65536)</f>
        <v>0</v>
      </c>
      <c r="AH40" s="92"/>
      <c r="AI40" s="93">
        <v>1</v>
      </c>
      <c r="AJ40" s="92">
        <f>AJ44+AF44</f>
        <v>721290.55982874322</v>
      </c>
      <c r="AK40" s="92">
        <f>AK44+AG44</f>
        <v>461572.86248279549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-85.770000000018626</v>
      </c>
      <c r="G41" s="72">
        <f>IF(D42=0,D41-$D$41,D41-D42)</f>
        <v>850.76999999996042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855.08250233526348</v>
      </c>
      <c r="N41" s="36">
        <f>IF(F41=0,,ATAN(G41/F41))</f>
        <v>-1.4703212482036865</v>
      </c>
      <c r="O41" s="36">
        <f>ABS(DEGREES(N41))</f>
        <v>84.243202050478402</v>
      </c>
      <c r="P41" s="37" t="str">
        <f>TEXT(INT(O41),"00")</f>
        <v>84</v>
      </c>
      <c r="Q41" s="38" t="str">
        <f>TEXT((O41-P41)*60,"00")</f>
        <v>15</v>
      </c>
      <c r="R41" s="39" t="str">
        <f>IF(L41="",IF(F41&gt;0,"S","N"),"")</f>
        <v>N</v>
      </c>
      <c r="S41" s="25" t="str">
        <f>IF(L41="",IF(INT(Q41)=60,INT(P41+1),P41),"due")</f>
        <v>84</v>
      </c>
      <c r="T41" s="38" t="str">
        <f>IF(L41="",IF(INT(Q41)=60,"00",Q41),L41)</f>
        <v>15</v>
      </c>
      <c r="U41" s="40" t="str">
        <f>IF(L41="",IF(G41&gt;0,"W","E"),"")</f>
        <v>W</v>
      </c>
      <c r="V41" s="41"/>
      <c r="W41" s="22">
        <f>IF(S41="due",90*(I41+K41),S41+T41/60)</f>
        <v>84.25</v>
      </c>
      <c r="X41" s="22">
        <f>IF(R41="",W41,IF(R41="N",IF(U41="E",180+W41,180-W41),IF(U41="E",360-W41,W41)))</f>
        <v>95.75</v>
      </c>
      <c r="Y41" s="22">
        <f>RADIANS(X41)</f>
        <v>1.6711527587845705</v>
      </c>
      <c r="Z41" s="64"/>
      <c r="AA41" s="58">
        <f>-M41*COS(Y41)</f>
        <v>85.66905842737367</v>
      </c>
      <c r="AB41" s="58">
        <f>-M41*SIN(Y41)</f>
        <v>-850.78017033079891</v>
      </c>
      <c r="AC41" s="64"/>
      <c r="AD41" s="22">
        <v>0</v>
      </c>
      <c r="AE41" s="22">
        <v>0</v>
      </c>
      <c r="AF41" s="22">
        <f t="shared" ref="AF41:AG43" si="0">AA41-AD41</f>
        <v>85.66905842737367</v>
      </c>
      <c r="AG41" s="22">
        <f t="shared" si="0"/>
        <v>-850.78017033079891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721314.39</v>
      </c>
      <c r="D42" s="60">
        <v>461599.45</v>
      </c>
      <c r="E42" s="79"/>
      <c r="F42" s="72">
        <f>IF(C43=0,C42-$C$42,C42-C43)</f>
        <v>24.930000000051223</v>
      </c>
      <c r="G42" s="72">
        <f>IF(D43=0,D42-$D$42,D42-D43)</f>
        <v>0.79999999998835847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24.942832637904928</v>
      </c>
      <c r="N42" s="36">
        <f>IF(F42=0,,ATAN(G42/F42))</f>
        <v>3.2078843451258679E-2</v>
      </c>
      <c r="O42" s="36">
        <f>ABS(DEGREES(N42))</f>
        <v>1.8379823414180021</v>
      </c>
      <c r="P42" s="37" t="str">
        <f>TEXT(INT(O42),"00")</f>
        <v>01</v>
      </c>
      <c r="Q42" s="38" t="str">
        <f>TEXT((O42-P42)*60,"00")</f>
        <v>50</v>
      </c>
      <c r="R42" s="39" t="str">
        <f>IF(L42="",IF(F42&gt;0,"S","N"),"")</f>
        <v>S</v>
      </c>
      <c r="S42" s="25" t="str">
        <f>IF(L42="",IF(INT(Q42)=60,INT(P42+1),P42),"due")</f>
        <v>01</v>
      </c>
      <c r="T42" s="38" t="str">
        <f>IF(L42="",IF(INT(Q42)=60,"00",Q42),L42)</f>
        <v>50</v>
      </c>
      <c r="U42" s="40" t="str">
        <f>IF(L42="",IF(G42&gt;0,"W","E"),"")</f>
        <v>W</v>
      </c>
      <c r="V42" s="44"/>
      <c r="W42" s="22">
        <f>IF(S42="due",90*(I42+K42),S42+T42/60)</f>
        <v>1.8333333333333335</v>
      </c>
      <c r="X42" s="22">
        <f>IF(R42="",W42,IF(R42="N",IF(U42="E",180+W42,180-W42),IF(U42="E",360-W42,W42)))</f>
        <v>1.8333333333333335</v>
      </c>
      <c r="Y42" s="22">
        <f>RADIANS(X42)</f>
        <v>3.199770295322938E-2</v>
      </c>
      <c r="Z42" s="64"/>
      <c r="AA42" s="58">
        <f>-M42*COS(Y42)</f>
        <v>-24.930064830382751</v>
      </c>
      <c r="AB42" s="58">
        <f>-M42*SIN(Y42)</f>
        <v>-0.79797716474119129</v>
      </c>
      <c r="AC42" s="64"/>
      <c r="AD42" s="82">
        <f>$AA$40/$M$40*M42</f>
        <v>-1.4153416216857438E-3</v>
      </c>
      <c r="AE42" s="82">
        <f>$AB$40/$M$40*M42</f>
        <v>-1.1619075636618867E-4</v>
      </c>
      <c r="AF42" s="22">
        <f t="shared" si="0"/>
        <v>-24.928649488761064</v>
      </c>
      <c r="AG42" s="22">
        <f t="shared" si="0"/>
        <v>-0.79786097398482514</v>
      </c>
      <c r="AH42" s="63"/>
      <c r="AI42" s="38">
        <f>A42</f>
        <v>1</v>
      </c>
      <c r="AJ42" s="82">
        <f t="shared" ref="AJ42:AK44" si="1">AJ41+AF41</f>
        <v>721314.28905842733</v>
      </c>
      <c r="AK42" s="82">
        <f t="shared" si="1"/>
        <v>461599.43982966919</v>
      </c>
      <c r="AL42" s="66"/>
      <c r="AM42" s="9" t="str">
        <f>IF(A43=0,A42&amp;" - 1",A42&amp;" - "&amp;A43)</f>
        <v>1 - 2</v>
      </c>
      <c r="AN42" s="18">
        <f>F42</f>
        <v>24.930000000051223</v>
      </c>
      <c r="AO42" s="18">
        <f>AN42*G42</f>
        <v>19.943999999750755</v>
      </c>
      <c r="AP42" s="9" t="str">
        <f>D42&amp;","&amp;C42</f>
        <v>461599.45,721314.39</v>
      </c>
    </row>
    <row r="43" spans="1:44">
      <c r="A43" s="20">
        <f>A42+1</f>
        <v>2</v>
      </c>
      <c r="B43" s="44"/>
      <c r="C43" s="60">
        <v>721289.46</v>
      </c>
      <c r="D43" s="60">
        <v>461598.65</v>
      </c>
      <c r="E43" s="79"/>
      <c r="F43" s="72">
        <f>IF(C44=0,C43-$C$42,C43-C44)</f>
        <v>1</v>
      </c>
      <c r="G43" s="72">
        <f>IF(D44=0,D43-$D$42,D43-D44)</f>
        <v>22.960000000020955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22.981766685809042</v>
      </c>
      <c r="N43" s="36">
        <f>IF(F43=0,,ATAN(G43/F43))</f>
        <v>1.5272698284701556</v>
      </c>
      <c r="O43" s="36">
        <f>ABS(DEGREES(N43))</f>
        <v>87.506115349009093</v>
      </c>
      <c r="P43" s="37" t="str">
        <f>TEXT(INT(O43),"00")</f>
        <v>87</v>
      </c>
      <c r="Q43" s="38" t="str">
        <f>TEXT((O43-P43)*60,"00")</f>
        <v>30</v>
      </c>
      <c r="R43" s="39" t="str">
        <f>IF(L43="",IF(F43&gt;0,"S","N"),"")</f>
        <v>S</v>
      </c>
      <c r="S43" s="25" t="str">
        <f>IF(L43="",IF(INT(Q43)=60,INT(P43+1),P43),"due")</f>
        <v>87</v>
      </c>
      <c r="T43" s="38" t="str">
        <f>IF(L43="",IF(INT(Q43)=60,"00",Q43),L43)</f>
        <v>30</v>
      </c>
      <c r="U43" s="40" t="str">
        <f>IF(L43="",IF(G43&gt;0,"W","E"),"")</f>
        <v>W</v>
      </c>
      <c r="V43" s="44"/>
      <c r="W43" s="22">
        <f>IF(S43="due",90*(I43+K43),S43+T43/60)</f>
        <v>87.5</v>
      </c>
      <c r="X43" s="22">
        <f>IF(R43="",W43,IF(R43="N",IF(U43="E",180+W43,180-W43),IF(U43="E",360-W43,W43)))</f>
        <v>87.5</v>
      </c>
      <c r="Y43" s="22">
        <f>RADIANS(X43)</f>
        <v>1.5271630954950384</v>
      </c>
      <c r="Z43" s="64"/>
      <c r="AA43" s="58">
        <f>-M43*COS(Y43)</f>
        <v>-1.0024505834080788</v>
      </c>
      <c r="AB43" s="58">
        <f>-M43*SIN(Y43)</f>
        <v>-22.959893136266711</v>
      </c>
      <c r="AC43" s="64"/>
      <c r="AD43" s="82">
        <f>$AA$40/$M$40*M43</f>
        <v>-1.3040640332431977E-3</v>
      </c>
      <c r="AE43" s="82">
        <f>$AB$40/$M$40*M43</f>
        <v>-1.0705555750702896E-4</v>
      </c>
      <c r="AF43" s="22">
        <f t="shared" si="0"/>
        <v>-1.0011465193748357</v>
      </c>
      <c r="AG43" s="22">
        <f t="shared" si="0"/>
        <v>-22.959786080709204</v>
      </c>
      <c r="AH43" s="64"/>
      <c r="AI43" s="25">
        <f>A43</f>
        <v>2</v>
      </c>
      <c r="AJ43" s="82">
        <f t="shared" si="1"/>
        <v>721289.36040893861</v>
      </c>
      <c r="AK43" s="82">
        <f t="shared" si="1"/>
        <v>461598.64196869521</v>
      </c>
      <c r="AL43" s="66"/>
      <c r="AM43" s="9" t="str">
        <f>IF(A44=0,A43&amp;" - 1",A43&amp;" - "&amp;A44)</f>
        <v>2 - 3</v>
      </c>
      <c r="AN43" s="18">
        <f>AN42+F42+F43</f>
        <v>50.860000000102445</v>
      </c>
      <c r="AO43" s="18">
        <f>AN43*G43</f>
        <v>1167.7456000034178</v>
      </c>
      <c r="AP43" s="9" t="str">
        <f>D43&amp;","&amp;C43</f>
        <v>461598.65,721289.46</v>
      </c>
    </row>
    <row r="44" spans="1:44" s="46" customFormat="1">
      <c r="A44" s="20">
        <f>A43+1</f>
        <v>3</v>
      </c>
      <c r="B44" s="44"/>
      <c r="C44" s="60">
        <v>721288.46</v>
      </c>
      <c r="D44" s="60">
        <v>461575.69</v>
      </c>
      <c r="E44" s="79"/>
      <c r="F44" s="72">
        <f>IF(C45=0,C44-$C$42,C44-C45)</f>
        <v>-2.2000000000698492</v>
      </c>
      <c r="G44" s="72">
        <f>IF(D45=0,D44-$D$42,D44-D45)</f>
        <v>2.8200000000069849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3.5766464740517381</v>
      </c>
      <c r="N44" s="22">
        <f>IF(F44=0,,ATAN(G44/F44))</f>
        <v>-0.90828184952626079</v>
      </c>
      <c r="O44" s="22">
        <f>ABS(DEGREES(N44))</f>
        <v>52.040716586191252</v>
      </c>
      <c r="P44" s="24" t="str">
        <f>TEXT(INT(O44),"00")</f>
        <v>52</v>
      </c>
      <c r="Q44" s="25" t="str">
        <f>TEXT((O44-P44)*60,"00")</f>
        <v>02</v>
      </c>
      <c r="R44" s="23" t="str">
        <f>IF(L44="",IF(F44&gt;0,"S","N"),"")</f>
        <v>N</v>
      </c>
      <c r="S44" s="25" t="str">
        <f>IF(L44="",IF(INT(Q44)=60,INT(P44+1),P44),"due")</f>
        <v>52</v>
      </c>
      <c r="T44" s="25" t="str">
        <f>IF(L44="",IF(INT(Q44)=60,"00",Q44),L44)</f>
        <v>02</v>
      </c>
      <c r="U44" s="24" t="str">
        <f>IF(L44="",IF(G44&gt;0,"W","E"),"")</f>
        <v>W</v>
      </c>
      <c r="V44" s="44"/>
      <c r="W44" s="22">
        <f>IF(S44="due",90*(I44+K44),S44+T44/60)</f>
        <v>52.033333333333331</v>
      </c>
      <c r="X44" s="22">
        <f>IF(R44="",W44,IF(R44="N",IF(U44="E",180+W44,180-W44),IF(U44="E",360-W44,W44)))</f>
        <v>127.96666666666667</v>
      </c>
      <c r="Y44" s="22">
        <f>RADIANS(X44)</f>
        <v>2.2334396661354106</v>
      </c>
      <c r="Z44" s="64"/>
      <c r="AA44" s="58">
        <f>-M44*COS(Y44)</f>
        <v>2.2003633728455632</v>
      </c>
      <c r="AB44" s="58">
        <f>-M44*SIN(Y44)</f>
        <v>-2.8197164800359675</v>
      </c>
      <c r="AC44" s="64"/>
      <c r="AD44" s="82">
        <f>$AA$40/$M$40*M44</f>
        <v>-2.0295115211125359E-4</v>
      </c>
      <c r="AE44" s="82">
        <f>$AB$40/$M$40*M44</f>
        <v>-1.6661029046195745E-5</v>
      </c>
      <c r="AF44" s="22">
        <f>AA44-AD44</f>
        <v>2.2005663239976743</v>
      </c>
      <c r="AG44" s="22">
        <f>AB44-AE44</f>
        <v>-2.8196998190069213</v>
      </c>
      <c r="AH44" s="64"/>
      <c r="AI44" s="25">
        <f>A44</f>
        <v>3</v>
      </c>
      <c r="AJ44" s="82">
        <f t="shared" si="1"/>
        <v>721288.35926241928</v>
      </c>
      <c r="AK44" s="82">
        <f t="shared" si="1"/>
        <v>461575.68218261452</v>
      </c>
      <c r="AL44" s="66"/>
      <c r="AM44" s="9" t="str">
        <f>IF(A45=0,A44&amp;" - 1",A44&amp;" - "&amp;A45)</f>
        <v>3 - 4</v>
      </c>
      <c r="AN44" s="18">
        <f>AN43+F43+F44</f>
        <v>49.660000000032596</v>
      </c>
      <c r="AO44" s="18">
        <f>AN44*G44</f>
        <v>140.04120000043881</v>
      </c>
      <c r="AP44" s="9" t="str">
        <f>D44&amp;","&amp;C44</f>
        <v>461575.69,721288.46</v>
      </c>
    </row>
    <row r="45" spans="1:44" s="46" customFormat="1">
      <c r="A45" s="20">
        <f t="shared" ref="A45:A46" si="2">A44+1</f>
        <v>4</v>
      </c>
      <c r="B45" s="44"/>
      <c r="C45" s="60">
        <v>721290.66</v>
      </c>
      <c r="D45" s="60">
        <v>461572.87</v>
      </c>
      <c r="E45" s="79"/>
      <c r="F45" s="72">
        <f t="shared" ref="F45:F46" si="3">IF(C46=0,C45-$C$42,C45-C46)</f>
        <v>-23.839999999967404</v>
      </c>
      <c r="G45" s="72">
        <f t="shared" ref="G45:G46" si="4">IF(D46=0,D45-$D$42,D45-D46)</f>
        <v>-0.53000000002793968</v>
      </c>
      <c r="H45" s="76" t="str">
        <f t="shared" ref="H45:H46" si="5">IF(G45=0,IF(F45&gt;0,"South","North"),"")</f>
        <v/>
      </c>
      <c r="I45" s="76">
        <f t="shared" ref="I45:I46" si="6">IF(H45="North",2,IF(H45="",0,0))</f>
        <v>0</v>
      </c>
      <c r="J45" s="76" t="str">
        <f t="shared" ref="J45:J46" si="7">IF(F45=0,IF(G45&gt;0,"West","East"),"")</f>
        <v/>
      </c>
      <c r="K45" s="76">
        <f t="shared" ref="K45:K46" si="8">IF(J45="West",1,IF(J45="",0,3))</f>
        <v>0</v>
      </c>
      <c r="L45" s="76" t="str">
        <f t="shared" ref="L45:L46" si="9">H45&amp;J45</f>
        <v/>
      </c>
      <c r="M45" s="22">
        <f t="shared" ref="M45:M46" si="10">SQRT(F45^2+G45^2)</f>
        <v>23.845890631269686</v>
      </c>
      <c r="N45" s="22">
        <f t="shared" ref="N45:N46" si="11">IF(F45=0,,ATAN(G45/F45))</f>
        <v>2.2227882127041052E-2</v>
      </c>
      <c r="O45" s="22">
        <f t="shared" ref="O45:O46" si="12">ABS(DEGREES(N45))</f>
        <v>1.2735638333937274</v>
      </c>
      <c r="P45" s="24" t="str">
        <f t="shared" ref="P45:P46" si="13">TEXT(INT(O45),"00")</f>
        <v>01</v>
      </c>
      <c r="Q45" s="25" t="str">
        <f t="shared" ref="Q45:Q46" si="14">TEXT((O45-P45)*60,"00")</f>
        <v>16</v>
      </c>
      <c r="R45" s="23" t="str">
        <f t="shared" ref="R45:R46" si="15">IF(L45="",IF(F45&gt;0,"S","N"),"")</f>
        <v>N</v>
      </c>
      <c r="S45" s="25" t="str">
        <f t="shared" ref="S45:S46" si="16">IF(L45="",IF(INT(Q45)=60,INT(P45+1),P45),"due")</f>
        <v>01</v>
      </c>
      <c r="T45" s="25" t="str">
        <f t="shared" ref="T45:T46" si="17">IF(L45="",IF(INT(Q45)=60,"00",Q45),L45)</f>
        <v>16</v>
      </c>
      <c r="U45" s="24" t="str">
        <f t="shared" ref="U45:U46" si="18">IF(L45="",IF(G45&gt;0,"W","E"),"")</f>
        <v>E</v>
      </c>
      <c r="V45" s="44"/>
      <c r="W45" s="22">
        <f t="shared" ref="W45:W46" si="19">IF(S45="due",90*(I45+K45),S45+T45/60)</f>
        <v>1.2666666666666666</v>
      </c>
      <c r="X45" s="22">
        <f t="shared" ref="X45:X46" si="20">IF(R45="",W45,IF(R45="N",IF(U45="E",180+W45,180-W45),IF(U45="E",360-W45,W45)))</f>
        <v>181.26666666666668</v>
      </c>
      <c r="Y45" s="22">
        <f t="shared" ref="Y45:Y46" si="21">RADIANS(X45)</f>
        <v>3.1637001574483881</v>
      </c>
      <c r="Z45" s="64"/>
      <c r="AA45" s="58">
        <f t="shared" ref="AA45:AA46" si="22">-M45*COS(Y45)</f>
        <v>23.840063627717672</v>
      </c>
      <c r="AB45" s="58">
        <f t="shared" ref="AB45:AB46" si="23">-M45*SIN(Y45)</f>
        <v>0.52713017827502073</v>
      </c>
      <c r="AC45" s="64"/>
      <c r="AD45" s="82">
        <f t="shared" ref="AD45:AD46" si="24">$AA$40/$M$40*M45</f>
        <v>-1.3530973809812226E-3</v>
      </c>
      <c r="AE45" s="82">
        <f t="shared" ref="AE45:AE46" si="25">$AB$40/$M$40*M45</f>
        <v>-1.1108089080717015E-4</v>
      </c>
      <c r="AF45" s="22">
        <f t="shared" ref="AF45:AF46" si="26">AA45-AD45</f>
        <v>23.841416725098654</v>
      </c>
      <c r="AG45" s="22">
        <f t="shared" ref="AG45:AG46" si="27">AB45-AE45</f>
        <v>0.52724125916582787</v>
      </c>
      <c r="AH45" s="64"/>
      <c r="AI45" s="25">
        <f t="shared" ref="AI45:AI46" si="28">A45</f>
        <v>4</v>
      </c>
      <c r="AJ45" s="82">
        <f t="shared" ref="AJ45:AJ46" si="29">AJ44+AF44</f>
        <v>721290.55982874322</v>
      </c>
      <c r="AK45" s="82">
        <f t="shared" ref="AK45:AK46" si="30">AK44+AG44</f>
        <v>461572.86248279549</v>
      </c>
      <c r="AL45" s="66"/>
      <c r="AM45" s="9" t="str">
        <f t="shared" ref="AM45:AM46" si="31">IF(A46=0,A45&amp;" - 1",A45&amp;" - "&amp;A46)</f>
        <v>4 - 5</v>
      </c>
      <c r="AN45" s="18">
        <f t="shared" ref="AN45:AN46" si="32">AN44+F44+F45</f>
        <v>23.619999999995343</v>
      </c>
      <c r="AO45" s="18">
        <f t="shared" ref="AO45:AO46" si="33">AN45*G45</f>
        <v>-12.518600000657468</v>
      </c>
      <c r="AP45" s="9" t="str">
        <f t="shared" ref="AP45:AP46" si="34">D45&amp;","&amp;C45</f>
        <v>461572.87,721290.66</v>
      </c>
    </row>
    <row r="46" spans="1:44" s="46" customFormat="1">
      <c r="A46" s="20">
        <f t="shared" si="2"/>
        <v>5</v>
      </c>
      <c r="B46" s="44"/>
      <c r="C46" s="60">
        <v>721314.5</v>
      </c>
      <c r="D46" s="60">
        <v>461573.4</v>
      </c>
      <c r="E46" s="79"/>
      <c r="F46" s="72">
        <f t="shared" si="3"/>
        <v>0.10999999998603016</v>
      </c>
      <c r="G46" s="72">
        <f t="shared" si="4"/>
        <v>-26.049999999988358</v>
      </c>
      <c r="H46" s="76" t="str">
        <f t="shared" si="5"/>
        <v/>
      </c>
      <c r="I46" s="76">
        <f t="shared" si="6"/>
        <v>0</v>
      </c>
      <c r="J46" s="76" t="str">
        <f t="shared" si="7"/>
        <v/>
      </c>
      <c r="K46" s="76">
        <f t="shared" si="8"/>
        <v>0</v>
      </c>
      <c r="L46" s="76" t="str">
        <f t="shared" si="9"/>
        <v/>
      </c>
      <c r="M46" s="22">
        <f t="shared" si="10"/>
        <v>26.050232244634412</v>
      </c>
      <c r="N46" s="22">
        <f t="shared" si="11"/>
        <v>-1.5665737031404456</v>
      </c>
      <c r="O46" s="22">
        <f t="shared" si="12"/>
        <v>89.758061486127858</v>
      </c>
      <c r="P46" s="24" t="str">
        <f t="shared" si="13"/>
        <v>89</v>
      </c>
      <c r="Q46" s="25" t="str">
        <f t="shared" si="14"/>
        <v>45</v>
      </c>
      <c r="R46" s="23" t="str">
        <f t="shared" si="15"/>
        <v>S</v>
      </c>
      <c r="S46" s="25" t="str">
        <f t="shared" si="16"/>
        <v>89</v>
      </c>
      <c r="T46" s="25" t="str">
        <f t="shared" si="17"/>
        <v>45</v>
      </c>
      <c r="U46" s="24" t="str">
        <f t="shared" si="18"/>
        <v>E</v>
      </c>
      <c r="V46" s="44"/>
      <c r="W46" s="22">
        <f t="shared" si="19"/>
        <v>89.75</v>
      </c>
      <c r="X46" s="22">
        <f t="shared" si="20"/>
        <v>270.25</v>
      </c>
      <c r="Y46" s="22">
        <f t="shared" si="21"/>
        <v>4.7167523035146752</v>
      </c>
      <c r="Z46" s="64"/>
      <c r="AA46" s="58">
        <f t="shared" si="22"/>
        <v>-0.11366522022280598</v>
      </c>
      <c r="AB46" s="58">
        <f t="shared" si="23"/>
        <v>26.049984265198745</v>
      </c>
      <c r="AC46" s="64"/>
      <c r="AD46" s="82">
        <f t="shared" si="24"/>
        <v>-1.4781792623818051E-3</v>
      </c>
      <c r="AE46" s="82">
        <f t="shared" si="25"/>
        <v>-1.2134933637886867E-4</v>
      </c>
      <c r="AF46" s="22">
        <f t="shared" si="26"/>
        <v>-0.11218704096042417</v>
      </c>
      <c r="AG46" s="22">
        <f t="shared" si="27"/>
        <v>26.050105614535124</v>
      </c>
      <c r="AH46" s="64"/>
      <c r="AI46" s="25">
        <f t="shared" si="28"/>
        <v>5</v>
      </c>
      <c r="AJ46" s="82">
        <f t="shared" si="29"/>
        <v>721314.4012454683</v>
      </c>
      <c r="AK46" s="82">
        <f t="shared" si="30"/>
        <v>461573.38972405466</v>
      </c>
      <c r="AL46" s="66"/>
      <c r="AM46" s="9" t="str">
        <f t="shared" si="31"/>
        <v>5 - 1</v>
      </c>
      <c r="AN46" s="18">
        <f t="shared" si="32"/>
        <v>-0.10999999998603016</v>
      </c>
      <c r="AO46" s="18">
        <f t="shared" si="33"/>
        <v>2.865499999634805</v>
      </c>
      <c r="AP46" s="9" t="str">
        <f t="shared" si="34"/>
        <v>461573.4,721314.5</v>
      </c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1">
    <mergeCell ref="C7:D7"/>
  </mergeCells>
  <phoneticPr fontId="6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AS47"/>
  <sheetViews>
    <sheetView workbookViewId="0">
      <selection activeCell="D18" sqref="D18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29" t="s">
        <v>48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  <c r="T1" s="129"/>
      <c r="U1" s="129"/>
      <c r="V1" s="129"/>
      <c r="W1" s="129"/>
      <c r="X1" s="129"/>
      <c r="Y1" s="129"/>
      <c r="Z1" s="129"/>
      <c r="AA1" s="129"/>
      <c r="AB1" s="129"/>
      <c r="AC1" s="129"/>
      <c r="AD1" s="129"/>
      <c r="AE1" s="129"/>
      <c r="AF1" s="129"/>
      <c r="AG1" s="129"/>
      <c r="AH1" s="129"/>
      <c r="AI1" s="129"/>
      <c r="AJ1" s="129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24" t="s">
        <v>69</v>
      </c>
      <c r="D7" s="125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24" t="s">
        <v>70</v>
      </c>
      <c r="D8" s="125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24" t="s">
        <v>59</v>
      </c>
      <c r="D9" s="125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24" t="s">
        <v>71</v>
      </c>
      <c r="D10" s="125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24" t="s">
        <v>61</v>
      </c>
      <c r="D11" s="125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24" t="s">
        <v>62</v>
      </c>
      <c r="D12" s="125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24" t="s">
        <v>63</v>
      </c>
      <c r="D13" s="125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24" t="s">
        <v>64</v>
      </c>
      <c r="D14" s="125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24" t="s">
        <v>65</v>
      </c>
      <c r="D15" s="125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24" t="s">
        <v>66</v>
      </c>
      <c r="D16" s="125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24" t="s">
        <v>72</v>
      </c>
      <c r="D19" s="125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5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23" t="s">
        <v>16</v>
      </c>
      <c r="B28" s="123"/>
      <c r="C28" s="33">
        <f>ABS(SUM(AO42:AO65536))</f>
        <v>876.09009999713635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26" t="s">
        <v>17</v>
      </c>
      <c r="B29" s="126"/>
      <c r="C29" s="32">
        <f>ABS(C28/2)</f>
        <v>438.04504999856817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26">
        <f>SQRT(AA40^2+AB40^2)</f>
        <v>6.1701702044683539E-4</v>
      </c>
      <c r="C32" s="126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8">
        <f>M40/B32</f>
        <v>137172.10088182421</v>
      </c>
      <c r="C33" s="128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26" t="str">
        <f>"1 : "&amp;TEXT(B35,"00")</f>
        <v>1 : 140000</v>
      </c>
      <c r="C34" s="126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7">
        <f>ROUND(B33,2-LEN(INT(B33)))</f>
        <v>140000</v>
      </c>
      <c r="C35" s="127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6" t="s">
        <v>9</v>
      </c>
      <c r="B38" s="88"/>
      <c r="C38" s="118" t="s">
        <v>7</v>
      </c>
      <c r="D38" s="118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0" t="s">
        <v>8</v>
      </c>
      <c r="N38" s="120"/>
      <c r="O38" s="120"/>
      <c r="P38" s="120"/>
      <c r="Q38" s="120"/>
      <c r="R38" s="120"/>
      <c r="S38" s="120"/>
      <c r="T38" s="120"/>
      <c r="U38" s="120"/>
      <c r="V38" s="121"/>
      <c r="W38" s="59"/>
      <c r="X38" s="59" t="s">
        <v>33</v>
      </c>
      <c r="Y38" s="59" t="s">
        <v>34</v>
      </c>
      <c r="Z38" s="80"/>
      <c r="AA38" s="116" t="s">
        <v>30</v>
      </c>
      <c r="AB38" s="116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5"/>
      <c r="AL38" s="65"/>
      <c r="AM38" s="114" t="s">
        <v>18</v>
      </c>
      <c r="AN38" s="119"/>
      <c r="AO38" s="115"/>
      <c r="AP38" s="110" t="s">
        <v>56</v>
      </c>
    </row>
    <row r="39" spans="1:44">
      <c r="A39" s="117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9"/>
      <c r="P39" s="119"/>
      <c r="Q39" s="115"/>
      <c r="R39" s="114" t="s">
        <v>24</v>
      </c>
      <c r="S39" s="119"/>
      <c r="T39" s="119"/>
      <c r="U39" s="115"/>
      <c r="V39" s="122"/>
      <c r="W39" s="59"/>
      <c r="X39" s="59"/>
      <c r="Y39" s="59"/>
      <c r="Z39" s="81"/>
      <c r="AA39" s="117"/>
      <c r="AB39" s="117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10"/>
    </row>
    <row r="40" spans="1:44" s="11" customFormat="1">
      <c r="A40" s="111" t="s">
        <v>25</v>
      </c>
      <c r="B40" s="112"/>
      <c r="C40" s="112"/>
      <c r="D40" s="112"/>
      <c r="E40" s="112"/>
      <c r="F40" s="112"/>
      <c r="G40" s="112"/>
      <c r="H40" s="112"/>
      <c r="I40" s="112"/>
      <c r="J40" s="112"/>
      <c r="K40" s="112"/>
      <c r="L40" s="113"/>
      <c r="M40" s="51">
        <f>SUM(M42:M65536)</f>
        <v>84.637520974535903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-4.1708764781767105E-4</v>
      </c>
      <c r="AB40" s="91">
        <f>SUM(AB42:AB65536)</f>
        <v>-4.5469538985898339E-4</v>
      </c>
      <c r="AC40" s="91"/>
      <c r="AD40" s="91">
        <f>SUM(AD42:AD65536)</f>
        <v>-4.1708764781767105E-4</v>
      </c>
      <c r="AE40" s="91">
        <f>SUM(AE42:AE65536)</f>
        <v>-4.5469538985898339E-4</v>
      </c>
      <c r="AF40" s="91">
        <f>SUM(AF42:AF65536)</f>
        <v>-8.8817841970012523E-16</v>
      </c>
      <c r="AG40" s="91">
        <f>SUM(AG42:AG65536)</f>
        <v>0</v>
      </c>
      <c r="AH40" s="92"/>
      <c r="AI40" s="93">
        <v>1</v>
      </c>
      <c r="AJ40" s="92">
        <f>AJ44+AF44</f>
        <v>721350.92699225887</v>
      </c>
      <c r="AK40" s="92">
        <f>AK44+AG44</f>
        <v>461576.08619120531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-136.05000000004657</v>
      </c>
      <c r="G41" s="72">
        <f>IF(D42=0,D41-$D$41,D41-D42)</f>
        <v>847.63999999995576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858.48888874576448</v>
      </c>
      <c r="N41" s="36">
        <f>IF(F41=0,,ATAN(G41/F41))</f>
        <v>-1.4116492357254213</v>
      </c>
      <c r="O41" s="36">
        <f>ABS(DEGREES(N41))</f>
        <v>80.881543359934909</v>
      </c>
      <c r="P41" s="37" t="str">
        <f>TEXT(INT(O41),"00")</f>
        <v>80</v>
      </c>
      <c r="Q41" s="38" t="str">
        <f>TEXT((O41-P41)*60,"00")</f>
        <v>53</v>
      </c>
      <c r="R41" s="39" t="str">
        <f>IF(L41="",IF(F41&gt;0,"S","N"),"")</f>
        <v>N</v>
      </c>
      <c r="S41" s="25" t="str">
        <f>IF(L41="",IF(INT(Q41)=60,INT(P41+1),P41),"due")</f>
        <v>80</v>
      </c>
      <c r="T41" s="38" t="str">
        <f>IF(L41="",IF(INT(Q41)=60,"00",Q41),L41)</f>
        <v>53</v>
      </c>
      <c r="U41" s="40" t="str">
        <f>IF(L41="",IF(G41&gt;0,"W","E"),"")</f>
        <v>W</v>
      </c>
      <c r="V41" s="41"/>
      <c r="W41" s="22">
        <f>IF(S41="due",90*(I41+K41),S41+T41/60)</f>
        <v>80.88333333333334</v>
      </c>
      <c r="X41" s="22">
        <f>IF(R41="",W41,IF(R41="N",IF(U41="E",180+W41,180-W41),IF(U41="E",360-W41,W41)))</f>
        <v>99.11666666666666</v>
      </c>
      <c r="Y41" s="22">
        <f>RADIANS(X41)</f>
        <v>1.7299121769350463</v>
      </c>
      <c r="Z41" s="64"/>
      <c r="AA41" s="58">
        <f>-M41*COS(Y41)</f>
        <v>136.02351887232521</v>
      </c>
      <c r="AB41" s="58">
        <f>-M41*SIN(Y41)</f>
        <v>-847.64424991474323</v>
      </c>
      <c r="AC41" s="64"/>
      <c r="AD41" s="22">
        <v>0</v>
      </c>
      <c r="AE41" s="22">
        <v>0</v>
      </c>
      <c r="AF41" s="22">
        <f t="shared" ref="AF41:AG43" si="0">AA41-AD41</f>
        <v>136.02351887232521</v>
      </c>
      <c r="AG41" s="22">
        <f t="shared" si="0"/>
        <v>-847.64424991474323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721364.67</v>
      </c>
      <c r="D42" s="60">
        <v>461602.58</v>
      </c>
      <c r="E42" s="79"/>
      <c r="F42" s="72">
        <f>IF(C43=0,C42-$C$42,C42-C43)</f>
        <v>16.85999999998603</v>
      </c>
      <c r="G42" s="72">
        <f>IF(D43=0,D42-$D$42,D42-D43)</f>
        <v>0.26000000000931323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16.862004625771331</v>
      </c>
      <c r="N42" s="36">
        <f>IF(F42=0,,ATAN(G42/F42))</f>
        <v>1.5419892804352273E-2</v>
      </c>
      <c r="O42" s="36">
        <f>ABS(DEGREES(N42))</f>
        <v>0.88349477823353251</v>
      </c>
      <c r="P42" s="37" t="str">
        <f>TEXT(INT(O42),"00")</f>
        <v>00</v>
      </c>
      <c r="Q42" s="38" t="str">
        <f>TEXT((O42-P42)*60,"00")</f>
        <v>53</v>
      </c>
      <c r="R42" s="39" t="str">
        <f>IF(L42="",IF(F42&gt;0,"S","N"),"")</f>
        <v>S</v>
      </c>
      <c r="S42" s="25" t="str">
        <f>IF(L42="",IF(INT(Q42)=60,INT(P42+1),P42),"due")</f>
        <v>00</v>
      </c>
      <c r="T42" s="38" t="str">
        <f>IF(L42="",IF(INT(Q42)=60,"00",Q42),L42)</f>
        <v>53</v>
      </c>
      <c r="U42" s="40" t="str">
        <f>IF(L42="",IF(G42&gt;0,"W","E"),"")</f>
        <v>W</v>
      </c>
      <c r="V42" s="44"/>
      <c r="W42" s="22">
        <f>IF(S42="due",90*(I42+K42),S42+T42/60)</f>
        <v>0.8833333333333333</v>
      </c>
      <c r="X42" s="22">
        <f>IF(R42="",W42,IF(R42="N",IF(U42="E",180+W42,180-W42),IF(U42="E",360-W42,W42)))</f>
        <v>0.8833333333333333</v>
      </c>
      <c r="Y42" s="22">
        <f>RADIANS(X42)</f>
        <v>1.5417075059283244E-2</v>
      </c>
      <c r="Z42" s="64"/>
      <c r="AA42" s="58">
        <f>-M42*COS(Y42)</f>
        <v>-16.860000732532818</v>
      </c>
      <c r="AB42" s="58">
        <f>-M42*SIN(Y42)</f>
        <v>-0.2599524928264173</v>
      </c>
      <c r="AC42" s="64"/>
      <c r="AD42" s="82">
        <f>$AA$40/$M$40*M42</f>
        <v>-8.309475237311814E-5</v>
      </c>
      <c r="AE42" s="82">
        <f>$AB$40/$M$40*M42</f>
        <v>-9.0587196775597883E-5</v>
      </c>
      <c r="AF42" s="22">
        <f t="shared" si="0"/>
        <v>-16.859917637780445</v>
      </c>
      <c r="AG42" s="22">
        <f t="shared" si="0"/>
        <v>-0.25986190562964173</v>
      </c>
      <c r="AH42" s="63"/>
      <c r="AI42" s="38">
        <f>A42</f>
        <v>1</v>
      </c>
      <c r="AJ42" s="82">
        <f t="shared" ref="AJ42:AK44" si="1">AJ41+AF41</f>
        <v>721364.64351887233</v>
      </c>
      <c r="AK42" s="82">
        <f t="shared" si="1"/>
        <v>461602.57575008523</v>
      </c>
      <c r="AL42" s="66"/>
      <c r="AM42" s="9" t="str">
        <f>IF(A43=0,A42&amp;" - 1",A42&amp;" - "&amp;A43)</f>
        <v>1 - 2</v>
      </c>
      <c r="AN42" s="18">
        <f>F42</f>
        <v>16.85999999998603</v>
      </c>
      <c r="AO42" s="18">
        <f>AN42*G42</f>
        <v>4.3836000001533888</v>
      </c>
      <c r="AP42" s="9" t="str">
        <f>D42&amp;","&amp;C42</f>
        <v>461602.58,721364.67</v>
      </c>
    </row>
    <row r="43" spans="1:44">
      <c r="A43" s="20">
        <f>A42+1</f>
        <v>2</v>
      </c>
      <c r="B43" s="44"/>
      <c r="C43" s="60">
        <v>721347.81</v>
      </c>
      <c r="D43" s="60">
        <v>461602.32</v>
      </c>
      <c r="E43" s="79"/>
      <c r="F43" s="72">
        <f>IF(C44=0,C43-$C$42,C43-C44)</f>
        <v>1.0000000009313226E-2</v>
      </c>
      <c r="G43" s="72">
        <f>IF(D44=0,D43-$D$42,D43-D44)</f>
        <v>23.630000000004657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23.630002115958863</v>
      </c>
      <c r="N43" s="36">
        <f>IF(F43=0,,ATAN(G43/F43))</f>
        <v>1.5703731359606883</v>
      </c>
      <c r="O43" s="36">
        <f>ABS(DEGREES(N43))</f>
        <v>89.975752951271247</v>
      </c>
      <c r="P43" s="37" t="str">
        <f>TEXT(INT(O43),"00")</f>
        <v>89</v>
      </c>
      <c r="Q43" s="38" t="str">
        <f>TEXT((O43-P43)*60,"00")</f>
        <v>59</v>
      </c>
      <c r="R43" s="39" t="str">
        <f>IF(L43="",IF(F43&gt;0,"S","N"),"")</f>
        <v>S</v>
      </c>
      <c r="S43" s="25" t="str">
        <f>IF(L43="",IF(INT(Q43)=60,INT(P43+1),P43),"due")</f>
        <v>89</v>
      </c>
      <c r="T43" s="38" t="str">
        <f>IF(L43="",IF(INT(Q43)=60,"00",Q43),L43)</f>
        <v>59</v>
      </c>
      <c r="U43" s="40" t="str">
        <f>IF(L43="",IF(G43&gt;0,"W","E"),"")</f>
        <v>W</v>
      </c>
      <c r="V43" s="44"/>
      <c r="W43" s="22">
        <f>IF(S43="due",90*(I43+K43),S43+T43/60)</f>
        <v>89.983333333333334</v>
      </c>
      <c r="X43" s="22">
        <f>IF(R43="",W43,IF(R43="N",IF(U43="E",180+W43,180-W43),IF(U43="E",360-W43,W43)))</f>
        <v>89.983333333333334</v>
      </c>
      <c r="Y43" s="22">
        <f>RADIANS(X43)</f>
        <v>1.5705054385862309</v>
      </c>
      <c r="Z43" s="64"/>
      <c r="AA43" s="58">
        <f>-M43*COS(Y43)</f>
        <v>-6.8736888893404686E-3</v>
      </c>
      <c r="AB43" s="58">
        <f>-M43*SIN(Y43)</f>
        <v>-23.630001116221333</v>
      </c>
      <c r="AC43" s="64"/>
      <c r="AD43" s="82">
        <f>$AA$40/$M$40*M43</f>
        <v>-1.16446959776115E-4</v>
      </c>
      <c r="AE43" s="82">
        <f>$AB$40/$M$40*M43</f>
        <v>-1.2694668866444116E-4</v>
      </c>
      <c r="AF43" s="22">
        <f t="shared" si="0"/>
        <v>-6.7572419295643532E-3</v>
      </c>
      <c r="AG43" s="22">
        <f t="shared" si="0"/>
        <v>-23.62987416953267</v>
      </c>
      <c r="AH43" s="64"/>
      <c r="AI43" s="25">
        <f>A43</f>
        <v>2</v>
      </c>
      <c r="AJ43" s="82">
        <f t="shared" si="1"/>
        <v>721347.78360123455</v>
      </c>
      <c r="AK43" s="82">
        <f t="shared" si="1"/>
        <v>461602.31588817958</v>
      </c>
      <c r="AL43" s="66"/>
      <c r="AM43" s="9" t="str">
        <f>IF(A44=0,A43&amp;" - 1",A43&amp;" - "&amp;A44)</f>
        <v>2 - 3</v>
      </c>
      <c r="AN43" s="18">
        <f>AN42+F42+F43</f>
        <v>33.729999999981374</v>
      </c>
      <c r="AO43" s="18">
        <f>AN43*G43</f>
        <v>797.03989999971691</v>
      </c>
      <c r="AP43" s="9" t="str">
        <f>D43&amp;","&amp;C43</f>
        <v>461602.32,721347.81</v>
      </c>
    </row>
    <row r="44" spans="1:44" s="46" customFormat="1">
      <c r="A44" s="20">
        <f>A43+1</f>
        <v>3</v>
      </c>
      <c r="B44" s="44"/>
      <c r="C44" s="60">
        <v>721347.8</v>
      </c>
      <c r="D44" s="60">
        <v>461578.69</v>
      </c>
      <c r="E44" s="79"/>
      <c r="F44" s="72">
        <f>IF(C45=0,C44-$C$42,C44-C45)</f>
        <v>-3.1499999999068677</v>
      </c>
      <c r="G44" s="72">
        <f>IF(D45=0,D44-$D$42,D44-D45)</f>
        <v>2.5999999999767169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4.084421623595218</v>
      </c>
      <c r="N44" s="22">
        <f>IF(F44=0,,ATAN(G44/F44))</f>
        <v>-0.69003611650515784</v>
      </c>
      <c r="O44" s="22">
        <f>ABS(DEGREES(N44))</f>
        <v>39.536157187343107</v>
      </c>
      <c r="P44" s="24" t="str">
        <f>TEXT(INT(O44),"00")</f>
        <v>39</v>
      </c>
      <c r="Q44" s="25" t="str">
        <f>TEXT((O44-P44)*60,"00")</f>
        <v>32</v>
      </c>
      <c r="R44" s="23" t="str">
        <f>IF(L44="",IF(F44&gt;0,"S","N"),"")</f>
        <v>N</v>
      </c>
      <c r="S44" s="25" t="str">
        <f>IF(L44="",IF(INT(Q44)=60,INT(P44+1),P44),"due")</f>
        <v>39</v>
      </c>
      <c r="T44" s="25" t="str">
        <f>IF(L44="",IF(INT(Q44)=60,"00",Q44),L44)</f>
        <v>32</v>
      </c>
      <c r="U44" s="24" t="str">
        <f>IF(L44="",IF(G44&gt;0,"W","E"),"")</f>
        <v>W</v>
      </c>
      <c r="V44" s="44"/>
      <c r="W44" s="22">
        <f>IF(S44="due",90*(I44+K44),S44+T44/60)</f>
        <v>39.533333333333331</v>
      </c>
      <c r="X44" s="22">
        <f>IF(R44="",W44,IF(R44="N",IF(U44="E",180+W44,180-W44),IF(U44="E",360-W44,W44)))</f>
        <v>140.46666666666667</v>
      </c>
      <c r="Y44" s="22">
        <f>RADIANS(X44)</f>
        <v>2.4516058226347015</v>
      </c>
      <c r="Z44" s="64"/>
      <c r="AA44" s="58">
        <f>-M44*COS(Y44)</f>
        <v>3.1501281385112088</v>
      </c>
      <c r="AB44" s="58">
        <f>-M44*SIN(Y44)</f>
        <v>-2.5998447473362911</v>
      </c>
      <c r="AC44" s="64"/>
      <c r="AD44" s="82">
        <f>$AA$40/$M$40*M44</f>
        <v>-2.0127737533729245E-5</v>
      </c>
      <c r="AE44" s="82">
        <f>$AB$40/$M$40*M44</f>
        <v>-2.194260490034719E-5</v>
      </c>
      <c r="AF44" s="22">
        <f>AA44-AD44</f>
        <v>3.1501482662487423</v>
      </c>
      <c r="AG44" s="22">
        <f>AB44-AE44</f>
        <v>-2.5998228047313909</v>
      </c>
      <c r="AH44" s="64"/>
      <c r="AI44" s="25">
        <f>A44</f>
        <v>3</v>
      </c>
      <c r="AJ44" s="82">
        <f t="shared" si="1"/>
        <v>721347.77684399264</v>
      </c>
      <c r="AK44" s="82">
        <f t="shared" si="1"/>
        <v>461578.68601401005</v>
      </c>
      <c r="AL44" s="66"/>
      <c r="AM44" s="9" t="str">
        <f>IF(A45=0,A44&amp;" - 1",A44&amp;" - "&amp;A45)</f>
        <v>3 - 4</v>
      </c>
      <c r="AN44" s="18">
        <f>AN43+F43+F44</f>
        <v>30.590000000083819</v>
      </c>
      <c r="AO44" s="18">
        <f>AN44*G44</f>
        <v>79.533999999505696</v>
      </c>
      <c r="AP44" s="9" t="str">
        <f>D44&amp;","&amp;C44</f>
        <v>461578.69,721347.8</v>
      </c>
    </row>
    <row r="45" spans="1:44" s="46" customFormat="1">
      <c r="A45" s="20">
        <f t="shared" ref="A45:A46" si="2">A44+1</f>
        <v>4</v>
      </c>
      <c r="B45" s="44"/>
      <c r="C45" s="60">
        <v>721350.95</v>
      </c>
      <c r="D45" s="60">
        <v>461576.09</v>
      </c>
      <c r="E45" s="79"/>
      <c r="F45" s="72">
        <f t="shared" ref="F45:F46" si="3">IF(C46=0,C45-$C$42,C45-C46)</f>
        <v>-13.5</v>
      </c>
      <c r="G45" s="72">
        <f t="shared" ref="G45:G46" si="4">IF(D46=0,D45-$D$42,D45-D46)</f>
        <v>7.0000000006984919E-2</v>
      </c>
      <c r="H45" s="76" t="str">
        <f t="shared" ref="H45:H46" si="5">IF(G45=0,IF(F45&gt;0,"South","North"),"")</f>
        <v/>
      </c>
      <c r="I45" s="76">
        <f t="shared" ref="I45:I46" si="6">IF(H45="North",2,IF(H45="",0,0))</f>
        <v>0</v>
      </c>
      <c r="J45" s="76" t="str">
        <f t="shared" ref="J45:J46" si="7">IF(F45=0,IF(G45&gt;0,"West","East"),"")</f>
        <v/>
      </c>
      <c r="K45" s="76">
        <f t="shared" ref="K45:K46" si="8">IF(J45="West",1,IF(J45="",0,3))</f>
        <v>0</v>
      </c>
      <c r="L45" s="76" t="str">
        <f t="shared" ref="L45:L46" si="9">H45&amp;J45</f>
        <v/>
      </c>
      <c r="M45" s="22">
        <f t="shared" ref="M45:M46" si="10">SQRT(F45^2+G45^2)</f>
        <v>13.5001814802617</v>
      </c>
      <c r="N45" s="22">
        <f t="shared" ref="N45:N46" si="11">IF(F45=0,,ATAN(G45/F45))</f>
        <v>-5.1851387165712491E-3</v>
      </c>
      <c r="O45" s="22">
        <f t="shared" ref="O45:O46" si="12">ABS(DEGREES(N45))</f>
        <v>0.29708656464941297</v>
      </c>
      <c r="P45" s="24" t="str">
        <f t="shared" ref="P45:P46" si="13">TEXT(INT(O45),"00")</f>
        <v>00</v>
      </c>
      <c r="Q45" s="25" t="str">
        <f t="shared" ref="Q45:Q46" si="14">TEXT((O45-P45)*60,"00")</f>
        <v>18</v>
      </c>
      <c r="R45" s="23" t="str">
        <f t="shared" ref="R45:R46" si="15">IF(L45="",IF(F45&gt;0,"S","N"),"")</f>
        <v>N</v>
      </c>
      <c r="S45" s="25" t="str">
        <f t="shared" ref="S45:S46" si="16">IF(L45="",IF(INT(Q45)=60,INT(P45+1),P45),"due")</f>
        <v>00</v>
      </c>
      <c r="T45" s="25" t="str">
        <f t="shared" ref="T45:T46" si="17">IF(L45="",IF(INT(Q45)=60,"00",Q45),L45)</f>
        <v>18</v>
      </c>
      <c r="U45" s="24" t="str">
        <f t="shared" ref="U45:U46" si="18">IF(L45="",IF(G45&gt;0,"W","E"),"")</f>
        <v>W</v>
      </c>
      <c r="V45" s="44"/>
      <c r="W45" s="22">
        <f t="shared" ref="W45:W46" si="19">IF(S45="due",90*(I45+K45),S45+T45/60)</f>
        <v>0.3</v>
      </c>
      <c r="X45" s="22">
        <f t="shared" ref="X45:X46" si="20">IF(R45="",W45,IF(R45="N",IF(U45="E",180+W45,180-W45),IF(U45="E",360-W45,W45)))</f>
        <v>179.7</v>
      </c>
      <c r="Y45" s="22">
        <f t="shared" ref="Y45:Y46" si="21">RADIANS(X45)</f>
        <v>3.13635666583381</v>
      </c>
      <c r="Z45" s="64"/>
      <c r="AA45" s="58">
        <f t="shared" ref="AA45:AA46" si="22">-M45*COS(Y45)</f>
        <v>13.499996423114276</v>
      </c>
      <c r="AB45" s="58">
        <f t="shared" ref="AB45:AB46" si="23">-M45*SIN(Y45)</f>
        <v>-7.0686461948253954E-2</v>
      </c>
      <c r="AC45" s="64"/>
      <c r="AD45" s="82">
        <f t="shared" ref="AD45:AD46" si="24">$AA$40/$M$40*M45</f>
        <v>-6.652792843977685E-5</v>
      </c>
      <c r="AE45" s="82">
        <f t="shared" ref="AE45:AE46" si="25">$AB$40/$M$40*M45</f>
        <v>-7.2526584080616517E-5</v>
      </c>
      <c r="AF45" s="22">
        <f t="shared" ref="AF45:AF46" si="26">AA45-AD45</f>
        <v>13.500062951042715</v>
      </c>
      <c r="AG45" s="22">
        <f t="shared" ref="AG45:AG46" si="27">AB45-AE45</f>
        <v>-7.0613935364173333E-2</v>
      </c>
      <c r="AH45" s="64"/>
      <c r="AI45" s="25">
        <f t="shared" ref="AI45:AI46" si="28">A45</f>
        <v>4</v>
      </c>
      <c r="AJ45" s="82">
        <f t="shared" ref="AJ45:AJ46" si="29">AJ44+AF44</f>
        <v>721350.92699225887</v>
      </c>
      <c r="AK45" s="82">
        <f t="shared" ref="AK45:AK46" si="30">AK44+AG44</f>
        <v>461576.08619120531</v>
      </c>
      <c r="AL45" s="66"/>
      <c r="AM45" s="9" t="str">
        <f t="shared" ref="AM45:AM46" si="31">IF(A46=0,A45&amp;" - 1",A45&amp;" - "&amp;A46)</f>
        <v>4 - 5</v>
      </c>
      <c r="AN45" s="18">
        <f t="shared" ref="AN45:AN46" si="32">AN44+F44+F45</f>
        <v>13.940000000176951</v>
      </c>
      <c r="AO45" s="18">
        <f t="shared" ref="AO45:AO46" si="33">AN45*G45</f>
        <v>0.97580000010975632</v>
      </c>
      <c r="AP45" s="9" t="str">
        <f t="shared" ref="AP45:AP46" si="34">D45&amp;","&amp;C45</f>
        <v>461576.09,721350.95</v>
      </c>
    </row>
    <row r="46" spans="1:44" s="46" customFormat="1">
      <c r="A46" s="20">
        <f t="shared" si="2"/>
        <v>5</v>
      </c>
      <c r="B46" s="44"/>
      <c r="C46" s="60">
        <v>721364.45</v>
      </c>
      <c r="D46" s="60">
        <v>461576.02</v>
      </c>
      <c r="E46" s="79"/>
      <c r="F46" s="72">
        <f t="shared" si="3"/>
        <v>-0.22000000008847564</v>
      </c>
      <c r="G46" s="72">
        <f t="shared" si="4"/>
        <v>-26.559999999997672</v>
      </c>
      <c r="H46" s="76" t="str">
        <f t="shared" si="5"/>
        <v/>
      </c>
      <c r="I46" s="76">
        <f t="shared" si="6"/>
        <v>0</v>
      </c>
      <c r="J46" s="76" t="str">
        <f t="shared" si="7"/>
        <v/>
      </c>
      <c r="K46" s="76">
        <f t="shared" si="8"/>
        <v>0</v>
      </c>
      <c r="L46" s="76" t="str">
        <f t="shared" si="9"/>
        <v/>
      </c>
      <c r="M46" s="22">
        <f t="shared" si="10"/>
        <v>26.560911128948781</v>
      </c>
      <c r="N46" s="22">
        <f t="shared" si="11"/>
        <v>1.562513383689673</v>
      </c>
      <c r="O46" s="22">
        <f t="shared" si="12"/>
        <v>89.525422318123702</v>
      </c>
      <c r="P46" s="24" t="str">
        <f t="shared" si="13"/>
        <v>89</v>
      </c>
      <c r="Q46" s="25" t="str">
        <f t="shared" si="14"/>
        <v>32</v>
      </c>
      <c r="R46" s="23" t="str">
        <f t="shared" si="15"/>
        <v>N</v>
      </c>
      <c r="S46" s="25" t="str">
        <f t="shared" si="16"/>
        <v>89</v>
      </c>
      <c r="T46" s="25" t="str">
        <f t="shared" si="17"/>
        <v>32</v>
      </c>
      <c r="U46" s="24" t="str">
        <f t="shared" si="18"/>
        <v>E</v>
      </c>
      <c r="V46" s="44"/>
      <c r="W46" s="22">
        <f t="shared" si="19"/>
        <v>89.533333333333331</v>
      </c>
      <c r="X46" s="22">
        <f t="shared" si="20"/>
        <v>269.5333333333333</v>
      </c>
      <c r="Y46" s="22">
        <f t="shared" si="21"/>
        <v>4.7042441105420494</v>
      </c>
      <c r="Z46" s="64"/>
      <c r="AA46" s="58">
        <f t="shared" si="22"/>
        <v>0.21633277214885538</v>
      </c>
      <c r="AB46" s="58">
        <f t="shared" si="23"/>
        <v>26.560030122942436</v>
      </c>
      <c r="AC46" s="64"/>
      <c r="AD46" s="82">
        <f t="shared" si="24"/>
        <v>-1.3089026969493177E-4</v>
      </c>
      <c r="AE46" s="82">
        <f t="shared" si="25"/>
        <v>-1.4269231543798062E-4</v>
      </c>
      <c r="AF46" s="22">
        <f t="shared" si="26"/>
        <v>0.21646366241855031</v>
      </c>
      <c r="AG46" s="22">
        <f t="shared" si="27"/>
        <v>26.560172815257875</v>
      </c>
      <c r="AH46" s="64"/>
      <c r="AI46" s="25">
        <f t="shared" si="28"/>
        <v>5</v>
      </c>
      <c r="AJ46" s="82">
        <f t="shared" si="29"/>
        <v>721364.42705520988</v>
      </c>
      <c r="AK46" s="82">
        <f t="shared" si="30"/>
        <v>461576.01557726995</v>
      </c>
      <c r="AL46" s="66"/>
      <c r="AM46" s="9" t="str">
        <f t="shared" si="31"/>
        <v>5 - 1</v>
      </c>
      <c r="AN46" s="18">
        <f t="shared" si="32"/>
        <v>0.22000000008847564</v>
      </c>
      <c r="AO46" s="18">
        <f t="shared" si="33"/>
        <v>-5.8432000023494011</v>
      </c>
      <c r="AP46" s="9" t="str">
        <f t="shared" si="34"/>
        <v>461576.02,721364.45</v>
      </c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40:L40"/>
    <mergeCell ref="A28:B28"/>
    <mergeCell ref="A29:B29"/>
    <mergeCell ref="B32:C32"/>
    <mergeCell ref="B33:C33"/>
    <mergeCell ref="AP38:AP39"/>
    <mergeCell ref="N39:Q39"/>
    <mergeCell ref="M38:U38"/>
    <mergeCell ref="B34:C34"/>
    <mergeCell ref="B35:C35"/>
    <mergeCell ref="AM38:AO38"/>
    <mergeCell ref="R39:U39"/>
    <mergeCell ref="V38:V39"/>
    <mergeCell ref="AA38:AA39"/>
    <mergeCell ref="AB38:AB39"/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</mergeCells>
  <phoneticPr fontId="6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AS47"/>
  <sheetViews>
    <sheetView workbookViewId="0">
      <selection activeCell="D18" sqref="D18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29" t="s">
        <v>48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  <c r="T1" s="129"/>
      <c r="U1" s="129"/>
      <c r="V1" s="129"/>
      <c r="W1" s="129"/>
      <c r="X1" s="129"/>
      <c r="Y1" s="129"/>
      <c r="Z1" s="129"/>
      <c r="AA1" s="129"/>
      <c r="AB1" s="129"/>
      <c r="AC1" s="129"/>
      <c r="AD1" s="129"/>
      <c r="AE1" s="129"/>
      <c r="AF1" s="129"/>
      <c r="AG1" s="129"/>
      <c r="AH1" s="129"/>
      <c r="AI1" s="129"/>
      <c r="AJ1" s="129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24" t="s">
        <v>73</v>
      </c>
      <c r="D7" s="125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24" t="s">
        <v>74</v>
      </c>
      <c r="D8" s="125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24" t="s">
        <v>59</v>
      </c>
      <c r="D9" s="125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24" t="s">
        <v>60</v>
      </c>
      <c r="D10" s="125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24" t="s">
        <v>61</v>
      </c>
      <c r="D11" s="125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24" t="s">
        <v>62</v>
      </c>
      <c r="D12" s="125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24" t="s">
        <v>63</v>
      </c>
      <c r="D13" s="125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24" t="s">
        <v>64</v>
      </c>
      <c r="D14" s="125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24" t="s">
        <v>65</v>
      </c>
      <c r="D15" s="125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24" t="s">
        <v>66</v>
      </c>
      <c r="D16" s="125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24" t="s">
        <v>75</v>
      </c>
      <c r="D19" s="125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5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23" t="s">
        <v>16</v>
      </c>
      <c r="B28" s="123"/>
      <c r="C28" s="33">
        <f>ABS(SUM(AO42:AO65536))</f>
        <v>916.15259999971147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26" t="s">
        <v>17</v>
      </c>
      <c r="B29" s="126"/>
      <c r="C29" s="32">
        <f>ABS(C28/2)</f>
        <v>458.07629999985573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26">
        <f>SQRT(AA40^2+AB40^2)</f>
        <v>4.691644139501145E-3</v>
      </c>
      <c r="C32" s="126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8">
        <f>M40/B32</f>
        <v>18327.849602800779</v>
      </c>
      <c r="C33" s="128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26" t="str">
        <f>"1 : "&amp;TEXT(B35,"00")</f>
        <v>1 : 18000</v>
      </c>
      <c r="C34" s="126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7">
        <f>ROUND(B33,2-LEN(INT(B33)))</f>
        <v>18000</v>
      </c>
      <c r="C35" s="127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6" t="s">
        <v>9</v>
      </c>
      <c r="B38" s="88"/>
      <c r="C38" s="118" t="s">
        <v>7</v>
      </c>
      <c r="D38" s="118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0" t="s">
        <v>8</v>
      </c>
      <c r="N38" s="120"/>
      <c r="O38" s="120"/>
      <c r="P38" s="120"/>
      <c r="Q38" s="120"/>
      <c r="R38" s="120"/>
      <c r="S38" s="120"/>
      <c r="T38" s="120"/>
      <c r="U38" s="120"/>
      <c r="V38" s="121"/>
      <c r="W38" s="59"/>
      <c r="X38" s="59" t="s">
        <v>33</v>
      </c>
      <c r="Y38" s="59" t="s">
        <v>34</v>
      </c>
      <c r="Z38" s="80"/>
      <c r="AA38" s="116" t="s">
        <v>30</v>
      </c>
      <c r="AB38" s="116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5"/>
      <c r="AL38" s="65"/>
      <c r="AM38" s="114" t="s">
        <v>18</v>
      </c>
      <c r="AN38" s="119"/>
      <c r="AO38" s="115"/>
      <c r="AP38" s="110" t="s">
        <v>56</v>
      </c>
    </row>
    <row r="39" spans="1:44">
      <c r="A39" s="117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9"/>
      <c r="P39" s="119"/>
      <c r="Q39" s="115"/>
      <c r="R39" s="114" t="s">
        <v>24</v>
      </c>
      <c r="S39" s="119"/>
      <c r="T39" s="119"/>
      <c r="U39" s="115"/>
      <c r="V39" s="122"/>
      <c r="W39" s="59"/>
      <c r="X39" s="59"/>
      <c r="Y39" s="59"/>
      <c r="Z39" s="81"/>
      <c r="AA39" s="117"/>
      <c r="AB39" s="117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10"/>
    </row>
    <row r="40" spans="1:44" s="11" customFormat="1">
      <c r="A40" s="111" t="s">
        <v>25</v>
      </c>
      <c r="B40" s="112"/>
      <c r="C40" s="112"/>
      <c r="D40" s="112"/>
      <c r="E40" s="112"/>
      <c r="F40" s="112"/>
      <c r="G40" s="112"/>
      <c r="H40" s="112"/>
      <c r="I40" s="112"/>
      <c r="J40" s="112"/>
      <c r="K40" s="112"/>
      <c r="L40" s="113"/>
      <c r="M40" s="51">
        <f>SUM(M42:M65536)</f>
        <v>85.987748178638668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4.6513097492208999E-3</v>
      </c>
      <c r="AB40" s="91">
        <f>SUM(AB42:AB65536)</f>
        <v>6.1387486389169466E-4</v>
      </c>
      <c r="AC40" s="91"/>
      <c r="AD40" s="91">
        <f>SUM(AD42:AD65536)</f>
        <v>4.6513097492208999E-3</v>
      </c>
      <c r="AE40" s="91">
        <f>SUM(AE42:AE65536)</f>
        <v>6.1387486389169466E-4</v>
      </c>
      <c r="AF40" s="91">
        <f>SUM(AF42:AF65536)</f>
        <v>0</v>
      </c>
      <c r="AG40" s="91">
        <f>SUM(AG42:AG65536)</f>
        <v>-9.4368957093138306E-16</v>
      </c>
      <c r="AH40" s="92"/>
      <c r="AI40" s="93">
        <v>1</v>
      </c>
      <c r="AJ40" s="92">
        <f>AJ44+AF44</f>
        <v>721347.06395041873</v>
      </c>
      <c r="AK40" s="92">
        <f>AK44+AG44</f>
        <v>461625.71603131131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-136.05000000004657</v>
      </c>
      <c r="G41" s="72">
        <f>IF(D42=0,D41-$D$41,D41-D42)</f>
        <v>847.63999999995576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858.48888874576448</v>
      </c>
      <c r="N41" s="36">
        <f>IF(F41=0,,ATAN(G41/F41))</f>
        <v>-1.4116492357254213</v>
      </c>
      <c r="O41" s="36">
        <f>ABS(DEGREES(N41))</f>
        <v>80.881543359934909</v>
      </c>
      <c r="P41" s="37" t="str">
        <f>TEXT(INT(O41),"00")</f>
        <v>80</v>
      </c>
      <c r="Q41" s="38" t="str">
        <f>TEXT((O41-P41)*60,"00")</f>
        <v>53</v>
      </c>
      <c r="R41" s="39" t="str">
        <f>IF(L41="",IF(F41&gt;0,"S","N"),"")</f>
        <v>N</v>
      </c>
      <c r="S41" s="25" t="str">
        <f>IF(L41="",IF(INT(Q41)=60,INT(P41+1),P41),"due")</f>
        <v>80</v>
      </c>
      <c r="T41" s="38" t="str">
        <f>IF(L41="",IF(INT(Q41)=60,"00",Q41),L41)</f>
        <v>53</v>
      </c>
      <c r="U41" s="40" t="str">
        <f>IF(L41="",IF(G41&gt;0,"W","E"),"")</f>
        <v>W</v>
      </c>
      <c r="V41" s="41"/>
      <c r="W41" s="22">
        <f>IF(S41="due",90*(I41+K41),S41+T41/60)</f>
        <v>80.88333333333334</v>
      </c>
      <c r="X41" s="22">
        <f>IF(R41="",W41,IF(R41="N",IF(U41="E",180+W41,180-W41),IF(U41="E",360-W41,W41)))</f>
        <v>99.11666666666666</v>
      </c>
      <c r="Y41" s="22">
        <f>RADIANS(X41)</f>
        <v>1.7299121769350463</v>
      </c>
      <c r="Z41" s="64"/>
      <c r="AA41" s="58">
        <f>-M41*COS(Y41)</f>
        <v>136.02351887232521</v>
      </c>
      <c r="AB41" s="58">
        <f>-M41*SIN(Y41)</f>
        <v>-847.64424991474323</v>
      </c>
      <c r="AC41" s="64"/>
      <c r="AD41" s="22">
        <v>0</v>
      </c>
      <c r="AE41" s="22">
        <v>0</v>
      </c>
      <c r="AF41" s="22">
        <f t="shared" ref="AF41:AG43" si="0">AA41-AD41</f>
        <v>136.02351887232521</v>
      </c>
      <c r="AG41" s="22">
        <f t="shared" si="0"/>
        <v>-847.64424991474323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721364.67</v>
      </c>
      <c r="D42" s="60">
        <v>461602.58</v>
      </c>
      <c r="E42" s="79"/>
      <c r="F42" s="72">
        <f>IF(C43=0,C42-$C$42,C42-C43)</f>
        <v>-0.54999999993015081</v>
      </c>
      <c r="G42" s="72">
        <f>IF(D43=0,D42-$D$42,D42-D43)</f>
        <v>-26.380000000004657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26.385732887304247</v>
      </c>
      <c r="N42" s="36">
        <f>IF(F42=0,,ATAN(G42/F42))</f>
        <v>1.5499502188248935</v>
      </c>
      <c r="O42" s="36">
        <f>ABS(DEGREES(N42))</f>
        <v>88.805605994044797</v>
      </c>
      <c r="P42" s="37" t="str">
        <f>TEXT(INT(O42),"00")</f>
        <v>88</v>
      </c>
      <c r="Q42" s="38" t="str">
        <f>TEXT((O42-P42)*60,"00")</f>
        <v>48</v>
      </c>
      <c r="R42" s="39" t="str">
        <f>IF(L42="",IF(F42&gt;0,"S","N"),"")</f>
        <v>N</v>
      </c>
      <c r="S42" s="25" t="str">
        <f>IF(L42="",IF(INT(Q42)=60,INT(P42+1),P42),"due")</f>
        <v>88</v>
      </c>
      <c r="T42" s="38" t="str">
        <f>IF(L42="",IF(INT(Q42)=60,"00",Q42),L42)</f>
        <v>48</v>
      </c>
      <c r="U42" s="40" t="str">
        <f>IF(L42="",IF(G42&gt;0,"W","E"),"")</f>
        <v>E</v>
      </c>
      <c r="V42" s="44"/>
      <c r="W42" s="22">
        <f>IF(S42="due",90*(I42+K42),S42+T42/60)</f>
        <v>88.8</v>
      </c>
      <c r="X42" s="22">
        <f>IF(R42="",W42,IF(R42="N",IF(U42="E",180+W42,180-W42),IF(U42="E",360-W42,W42)))</f>
        <v>268.8</v>
      </c>
      <c r="Y42" s="22">
        <f>RADIANS(X42)</f>
        <v>4.6914450293607581</v>
      </c>
      <c r="Z42" s="64"/>
      <c r="AA42" s="58">
        <f>-M42*COS(Y42)</f>
        <v>0.55258109705601999</v>
      </c>
      <c r="AB42" s="58">
        <f>-M42*SIN(Y42)</f>
        <v>26.379946060053747</v>
      </c>
      <c r="AC42" s="64"/>
      <c r="AD42" s="82">
        <f>$AA$40/$M$40*M42</f>
        <v>1.4272756202905808E-3</v>
      </c>
      <c r="AE42" s="82">
        <f>$AB$40/$M$40*M42</f>
        <v>1.883703030718549E-4</v>
      </c>
      <c r="AF42" s="22">
        <f t="shared" si="0"/>
        <v>0.55115382143572944</v>
      </c>
      <c r="AG42" s="22">
        <f t="shared" si="0"/>
        <v>26.379757689750676</v>
      </c>
      <c r="AH42" s="63"/>
      <c r="AI42" s="38">
        <f>A42</f>
        <v>1</v>
      </c>
      <c r="AJ42" s="82">
        <f t="shared" ref="AJ42:AK44" si="1">AJ41+AF41</f>
        <v>721364.64351887233</v>
      </c>
      <c r="AK42" s="82">
        <f t="shared" si="1"/>
        <v>461602.57575008523</v>
      </c>
      <c r="AL42" s="66"/>
      <c r="AM42" s="9" t="str">
        <f>IF(A43=0,A42&amp;" - 1",A42&amp;" - "&amp;A43)</f>
        <v>1 - 2</v>
      </c>
      <c r="AN42" s="18">
        <f>F42</f>
        <v>-0.54999999993015081</v>
      </c>
      <c r="AO42" s="18">
        <f>AN42*G42</f>
        <v>14.50899999815994</v>
      </c>
      <c r="AP42" s="9" t="str">
        <f>D42&amp;","&amp;C42</f>
        <v>461602.58,721364.67</v>
      </c>
    </row>
    <row r="43" spans="1:44">
      <c r="A43" s="20">
        <f>A42+1</f>
        <v>2</v>
      </c>
      <c r="B43" s="44"/>
      <c r="C43" s="60">
        <v>721365.22</v>
      </c>
      <c r="D43" s="60">
        <v>461628.96</v>
      </c>
      <c r="E43" s="79"/>
      <c r="F43" s="72">
        <f>IF(C44=0,C43-$C$42,C43-C44)</f>
        <v>14.770000000018626</v>
      </c>
      <c r="G43" s="72">
        <f>IF(D44=0,D43-$D$42,D43-D44)</f>
        <v>0.16000000003259629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14.77086659612633</v>
      </c>
      <c r="N43" s="36">
        <f>IF(F43=0,,ATAN(G43/F43))</f>
        <v>1.0832345420833726E-2</v>
      </c>
      <c r="O43" s="36">
        <f>ABS(DEGREES(N43))</f>
        <v>0.62064767484163608</v>
      </c>
      <c r="P43" s="37" t="str">
        <f>TEXT(INT(O43),"00")</f>
        <v>00</v>
      </c>
      <c r="Q43" s="38" t="str">
        <f>TEXT((O43-P43)*60,"00")</f>
        <v>37</v>
      </c>
      <c r="R43" s="39" t="str">
        <f>IF(L43="",IF(F43&gt;0,"S","N"),"")</f>
        <v>S</v>
      </c>
      <c r="S43" s="25" t="str">
        <f>IF(L43="",IF(INT(Q43)=60,INT(P43+1),P43),"due")</f>
        <v>00</v>
      </c>
      <c r="T43" s="38" t="str">
        <f>IF(L43="",IF(INT(Q43)=60,"00",Q43),L43)</f>
        <v>37</v>
      </c>
      <c r="U43" s="40" t="str">
        <f>IF(L43="",IF(G43&gt;0,"W","E"),"")</f>
        <v>W</v>
      </c>
      <c r="V43" s="44"/>
      <c r="W43" s="22">
        <f>IF(S43="due",90*(I43+K43),S43+T43/60)</f>
        <v>0.6166666666666667</v>
      </c>
      <c r="X43" s="22">
        <f>IF(R43="",W43,IF(R43="N",IF(U43="E",180+W43,180-W43),IF(U43="E",360-W43,W43)))</f>
        <v>0.6166666666666667</v>
      </c>
      <c r="Y43" s="22">
        <f>RADIANS(X43)</f>
        <v>1.0762863720631699E-2</v>
      </c>
      <c r="Z43" s="64"/>
      <c r="AA43" s="58">
        <f>-M43*COS(Y43)</f>
        <v>-14.770011081438037</v>
      </c>
      <c r="AB43" s="58">
        <f>-M43*SIN(Y43)</f>
        <v>-0.15897375493522026</v>
      </c>
      <c r="AC43" s="64"/>
      <c r="AD43" s="82">
        <f>$AA$40/$M$40*M43</f>
        <v>7.9899610419233364E-4</v>
      </c>
      <c r="AE43" s="82">
        <f>$AB$40/$M$40*M43</f>
        <v>1.0545064748552162E-4</v>
      </c>
      <c r="AF43" s="22">
        <f t="shared" si="0"/>
        <v>-14.77081007754223</v>
      </c>
      <c r="AG43" s="22">
        <f t="shared" si="0"/>
        <v>-0.15907920558270577</v>
      </c>
      <c r="AH43" s="64"/>
      <c r="AI43" s="25">
        <f>A43</f>
        <v>2</v>
      </c>
      <c r="AJ43" s="82">
        <f t="shared" si="1"/>
        <v>721365.19467269373</v>
      </c>
      <c r="AK43" s="82">
        <f t="shared" si="1"/>
        <v>461628.95550777501</v>
      </c>
      <c r="AL43" s="66"/>
      <c r="AM43" s="9" t="str">
        <f>IF(A44=0,A43&amp;" - 1",A43&amp;" - "&amp;A44)</f>
        <v>2 - 3</v>
      </c>
      <c r="AN43" s="18">
        <f>AN42+F42+F43</f>
        <v>13.670000000158325</v>
      </c>
      <c r="AO43" s="18">
        <f>AN43*G43</f>
        <v>2.1872000004709231</v>
      </c>
      <c r="AP43" s="9" t="str">
        <f>D43&amp;","&amp;C43</f>
        <v>461628.96,721365.22</v>
      </c>
    </row>
    <row r="44" spans="1:44" s="46" customFormat="1">
      <c r="A44" s="20">
        <f>A43+1</f>
        <v>3</v>
      </c>
      <c r="B44" s="44"/>
      <c r="C44" s="60">
        <v>721350.45</v>
      </c>
      <c r="D44" s="60">
        <v>461628.8</v>
      </c>
      <c r="E44" s="79"/>
      <c r="F44" s="72">
        <f>IF(C45=0,C44-$C$42,C44-C45)</f>
        <v>3.3599999999860302</v>
      </c>
      <c r="G44" s="72">
        <f>IF(D45=0,D44-$D$42,D44-D45)</f>
        <v>3.0800000000162981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4.5580697669086332</v>
      </c>
      <c r="N44" s="22">
        <f>IF(F44=0,,ATAN(G44/F44))</f>
        <v>0.74194726801062427</v>
      </c>
      <c r="O44" s="22">
        <f>ABS(DEGREES(N44))</f>
        <v>42.510447078270523</v>
      </c>
      <c r="P44" s="24" t="str">
        <f>TEXT(INT(O44),"00")</f>
        <v>42</v>
      </c>
      <c r="Q44" s="25" t="str">
        <f>TEXT((O44-P44)*60,"00")</f>
        <v>31</v>
      </c>
      <c r="R44" s="23" t="str">
        <f>IF(L44="",IF(F44&gt;0,"S","N"),"")</f>
        <v>S</v>
      </c>
      <c r="S44" s="25" t="str">
        <f>IF(L44="",IF(INT(Q44)=60,INT(P44+1),P44),"due")</f>
        <v>42</v>
      </c>
      <c r="T44" s="25" t="str">
        <f>IF(L44="",IF(INT(Q44)=60,"00",Q44),L44)</f>
        <v>31</v>
      </c>
      <c r="U44" s="24" t="str">
        <f>IF(L44="",IF(G44&gt;0,"W","E"),"")</f>
        <v>W</v>
      </c>
      <c r="V44" s="44"/>
      <c r="W44" s="22">
        <f>IF(S44="due",90*(I44+K44),S44+T44/60)</f>
        <v>42.516666666666666</v>
      </c>
      <c r="X44" s="22">
        <f>IF(R44="",W44,IF(R44="N",IF(U44="E",180+W44,180-W44),IF(U44="E",360-W44,W44)))</f>
        <v>42.516666666666666</v>
      </c>
      <c r="Y44" s="22">
        <f>RADIANS(X44)</f>
        <v>0.74205582030625572</v>
      </c>
      <c r="Z44" s="64"/>
      <c r="AA44" s="58">
        <f>-M44*COS(Y44)</f>
        <v>-3.3596656391196906</v>
      </c>
      <c r="AB44" s="58">
        <f>-M44*SIN(Y44)</f>
        <v>-3.0803647175821567</v>
      </c>
      <c r="AC44" s="64"/>
      <c r="AD44" s="82">
        <f>$AA$40/$M$40*M44</f>
        <v>2.4655831549869539E-4</v>
      </c>
      <c r="AE44" s="82">
        <f>$AB$40/$M$40*M44</f>
        <v>3.2540501606774187E-5</v>
      </c>
      <c r="AF44" s="22">
        <f>AA44-AD44</f>
        <v>-3.3599121974351895</v>
      </c>
      <c r="AG44" s="22">
        <f>AB44-AE44</f>
        <v>-3.0803972580837633</v>
      </c>
      <c r="AH44" s="64"/>
      <c r="AI44" s="25">
        <f>A44</f>
        <v>3</v>
      </c>
      <c r="AJ44" s="82">
        <f t="shared" si="1"/>
        <v>721350.42386261618</v>
      </c>
      <c r="AK44" s="82">
        <f t="shared" si="1"/>
        <v>461628.79642856942</v>
      </c>
      <c r="AL44" s="66"/>
      <c r="AM44" s="9" t="str">
        <f>IF(A45=0,A44&amp;" - 1",A44&amp;" - "&amp;A45)</f>
        <v>3 - 4</v>
      </c>
      <c r="AN44" s="18">
        <f>AN43+F43+F44</f>
        <v>31.800000000162981</v>
      </c>
      <c r="AO44" s="18">
        <f>AN44*G44</f>
        <v>97.944000001020271</v>
      </c>
      <c r="AP44" s="9" t="str">
        <f>D44&amp;","&amp;C44</f>
        <v>461628.8,721350.45</v>
      </c>
    </row>
    <row r="45" spans="1:44" s="46" customFormat="1">
      <c r="A45" s="20">
        <f t="shared" ref="A45:A46" si="2">A44+1</f>
        <v>4</v>
      </c>
      <c r="B45" s="44"/>
      <c r="C45" s="60">
        <v>721347.09</v>
      </c>
      <c r="D45" s="60">
        <v>461625.72</v>
      </c>
      <c r="E45" s="79"/>
      <c r="F45" s="72">
        <f t="shared" ref="F45:F46" si="3">IF(C46=0,C45-$C$42,C45-C46)</f>
        <v>-0.72000000008847564</v>
      </c>
      <c r="G45" s="72">
        <f t="shared" ref="G45:G46" si="4">IF(D46=0,D45-$D$42,D45-D46)</f>
        <v>23.399999999965075</v>
      </c>
      <c r="H45" s="76" t="str">
        <f t="shared" ref="H45:H46" si="5">IF(G45=0,IF(F45&gt;0,"South","North"),"")</f>
        <v/>
      </c>
      <c r="I45" s="76">
        <f t="shared" ref="I45:I46" si="6">IF(H45="North",2,IF(H45="",0,0))</f>
        <v>0</v>
      </c>
      <c r="J45" s="76" t="str">
        <f t="shared" ref="J45:J46" si="7">IF(F45=0,IF(G45&gt;0,"West","East"),"")</f>
        <v/>
      </c>
      <c r="K45" s="76">
        <f t="shared" ref="K45:K46" si="8">IF(J45="West",1,IF(J45="",0,3))</f>
        <v>0</v>
      </c>
      <c r="L45" s="76" t="str">
        <f t="shared" ref="L45:L46" si="9">H45&amp;J45</f>
        <v/>
      </c>
      <c r="M45" s="22">
        <f t="shared" ref="M45:M46" si="10">SQRT(F45^2+G45^2)</f>
        <v>23.411074302528128</v>
      </c>
      <c r="N45" s="22">
        <f t="shared" ref="N45:N46" si="11">IF(F45=0,,ATAN(G45/F45))</f>
        <v>-1.540036800720604</v>
      </c>
      <c r="O45" s="22">
        <f t="shared" ref="O45:O46" si="12">ABS(DEGREES(N45))</f>
        <v>88.237608976120427</v>
      </c>
      <c r="P45" s="24" t="str">
        <f t="shared" ref="P45:P46" si="13">TEXT(INT(O45),"00")</f>
        <v>88</v>
      </c>
      <c r="Q45" s="25" t="str">
        <f t="shared" ref="Q45:Q46" si="14">TEXT((O45-P45)*60,"00")</f>
        <v>14</v>
      </c>
      <c r="R45" s="23" t="str">
        <f t="shared" ref="R45:R46" si="15">IF(L45="",IF(F45&gt;0,"S","N"),"")</f>
        <v>N</v>
      </c>
      <c r="S45" s="25" t="str">
        <f t="shared" ref="S45:S46" si="16">IF(L45="",IF(INT(Q45)=60,INT(P45+1),P45),"due")</f>
        <v>88</v>
      </c>
      <c r="T45" s="25" t="str">
        <f t="shared" ref="T45:T46" si="17">IF(L45="",IF(INT(Q45)=60,"00",Q45),L45)</f>
        <v>14</v>
      </c>
      <c r="U45" s="24" t="str">
        <f t="shared" ref="U45:U46" si="18">IF(L45="",IF(G45&gt;0,"W","E"),"")</f>
        <v>W</v>
      </c>
      <c r="V45" s="44"/>
      <c r="W45" s="22">
        <f t="shared" ref="W45:W46" si="19">IF(S45="due",90*(I45+K45),S45+T45/60)</f>
        <v>88.233333333333334</v>
      </c>
      <c r="X45" s="22">
        <f t="shared" ref="X45:X46" si="20">IF(R45="",W45,IF(R45="N",IF(U45="E",180+W45,180-W45),IF(U45="E",360-W45,W45)))</f>
        <v>91.766666666666666</v>
      </c>
      <c r="Y45" s="22">
        <f t="shared" ref="Y45:Y46" si="21">RADIANS(X45)</f>
        <v>1.6016304769134631</v>
      </c>
      <c r="Z45" s="64"/>
      <c r="AA45" s="58">
        <f t="shared" ref="AA45:AA46" si="22">-M45*COS(Y45)</f>
        <v>0.72174620071811202</v>
      </c>
      <c r="AB45" s="58">
        <f t="shared" ref="AB45:AB46" si="23">-M45*SIN(Y45)</f>
        <v>-23.399946205498889</v>
      </c>
      <c r="AC45" s="64"/>
      <c r="AD45" s="82">
        <f t="shared" ref="AD45:AD46" si="24">$AA$40/$M$40*M45</f>
        <v>1.2663682960607553E-3</v>
      </c>
      <c r="AE45" s="82">
        <f t="shared" ref="AE45:AE46" si="25">$AB$40/$M$40*M45</f>
        <v>1.6713392727957271E-4</v>
      </c>
      <c r="AF45" s="22">
        <f t="shared" ref="AF45:AF46" si="26">AA45-AD45</f>
        <v>0.72047983242205127</v>
      </c>
      <c r="AG45" s="22">
        <f t="shared" ref="AG45:AG46" si="27">AB45-AE45</f>
        <v>-23.40011333942617</v>
      </c>
      <c r="AH45" s="64"/>
      <c r="AI45" s="25">
        <f t="shared" ref="AI45:AI46" si="28">A45</f>
        <v>4</v>
      </c>
      <c r="AJ45" s="82">
        <f t="shared" ref="AJ45:AJ46" si="29">AJ44+AF44</f>
        <v>721347.06395041873</v>
      </c>
      <c r="AK45" s="82">
        <f t="shared" ref="AK45:AK46" si="30">AK44+AG44</f>
        <v>461625.71603131131</v>
      </c>
      <c r="AL45" s="66"/>
      <c r="AM45" s="9" t="str">
        <f t="shared" ref="AM45:AM46" si="31">IF(A46=0,A45&amp;" - 1",A45&amp;" - "&amp;A46)</f>
        <v>4 - 5</v>
      </c>
      <c r="AN45" s="18">
        <f t="shared" ref="AN45:AN46" si="32">AN44+F44+F45</f>
        <v>34.440000000060536</v>
      </c>
      <c r="AO45" s="18">
        <f t="shared" ref="AO45:AO46" si="33">AN45*G45</f>
        <v>805.89600000021369</v>
      </c>
      <c r="AP45" s="9" t="str">
        <f t="shared" ref="AP45:AP46" si="34">D45&amp;","&amp;C45</f>
        <v>461625.72,721347.09</v>
      </c>
    </row>
    <row r="46" spans="1:44" s="46" customFormat="1">
      <c r="A46" s="20">
        <f t="shared" si="2"/>
        <v>5</v>
      </c>
      <c r="B46" s="44"/>
      <c r="C46" s="60">
        <v>721347.81</v>
      </c>
      <c r="D46" s="60">
        <v>461602.32</v>
      </c>
      <c r="E46" s="79"/>
      <c r="F46" s="72">
        <f t="shared" si="3"/>
        <v>-16.85999999998603</v>
      </c>
      <c r="G46" s="72">
        <f t="shared" si="4"/>
        <v>-0.26000000000931323</v>
      </c>
      <c r="H46" s="76" t="str">
        <f t="shared" si="5"/>
        <v/>
      </c>
      <c r="I46" s="76">
        <f t="shared" si="6"/>
        <v>0</v>
      </c>
      <c r="J46" s="76" t="str">
        <f t="shared" si="7"/>
        <v/>
      </c>
      <c r="K46" s="76">
        <f t="shared" si="8"/>
        <v>0</v>
      </c>
      <c r="L46" s="76" t="str">
        <f t="shared" si="9"/>
        <v/>
      </c>
      <c r="M46" s="22">
        <f t="shared" si="10"/>
        <v>16.862004625771331</v>
      </c>
      <c r="N46" s="22">
        <f t="shared" si="11"/>
        <v>1.5419892804352273E-2</v>
      </c>
      <c r="O46" s="22">
        <f t="shared" si="12"/>
        <v>0.88349477823353251</v>
      </c>
      <c r="P46" s="24" t="str">
        <f t="shared" si="13"/>
        <v>00</v>
      </c>
      <c r="Q46" s="25" t="str">
        <f t="shared" si="14"/>
        <v>53</v>
      </c>
      <c r="R46" s="23" t="str">
        <f t="shared" si="15"/>
        <v>N</v>
      </c>
      <c r="S46" s="25" t="str">
        <f t="shared" si="16"/>
        <v>00</v>
      </c>
      <c r="T46" s="25" t="str">
        <f t="shared" si="17"/>
        <v>53</v>
      </c>
      <c r="U46" s="24" t="str">
        <f t="shared" si="18"/>
        <v>E</v>
      </c>
      <c r="V46" s="44"/>
      <c r="W46" s="22">
        <f t="shared" si="19"/>
        <v>0.8833333333333333</v>
      </c>
      <c r="X46" s="22">
        <f t="shared" si="20"/>
        <v>180.88333333333333</v>
      </c>
      <c r="Y46" s="22">
        <f t="shared" si="21"/>
        <v>3.1570097286490761</v>
      </c>
      <c r="Z46" s="64"/>
      <c r="AA46" s="58">
        <f t="shared" si="22"/>
        <v>16.860000732532818</v>
      </c>
      <c r="AB46" s="58">
        <f t="shared" si="23"/>
        <v>0.25995249282641159</v>
      </c>
      <c r="AC46" s="64"/>
      <c r="AD46" s="82">
        <f t="shared" si="24"/>
        <v>9.1211141317853485E-4</v>
      </c>
      <c r="AE46" s="82">
        <f t="shared" si="25"/>
        <v>1.2037948444797125E-4</v>
      </c>
      <c r="AF46" s="22">
        <f t="shared" si="26"/>
        <v>16.859088621119639</v>
      </c>
      <c r="AG46" s="22">
        <f t="shared" si="27"/>
        <v>0.2598321133419636</v>
      </c>
      <c r="AH46" s="64"/>
      <c r="AI46" s="25">
        <f t="shared" si="28"/>
        <v>5</v>
      </c>
      <c r="AJ46" s="82">
        <f t="shared" si="29"/>
        <v>721347.78443025111</v>
      </c>
      <c r="AK46" s="82">
        <f t="shared" si="30"/>
        <v>461602.31591797189</v>
      </c>
      <c r="AL46" s="66"/>
      <c r="AM46" s="9" t="str">
        <f t="shared" si="31"/>
        <v>5 - 1</v>
      </c>
      <c r="AN46" s="18">
        <f t="shared" si="32"/>
        <v>16.85999999998603</v>
      </c>
      <c r="AO46" s="18">
        <f t="shared" si="33"/>
        <v>-4.3836000001533888</v>
      </c>
      <c r="AP46" s="9" t="str">
        <f t="shared" si="34"/>
        <v>461602.32,721347.81</v>
      </c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40:L40"/>
    <mergeCell ref="A28:B28"/>
    <mergeCell ref="A29:B29"/>
    <mergeCell ref="B32:C32"/>
    <mergeCell ref="B33:C33"/>
    <mergeCell ref="AP38:AP39"/>
    <mergeCell ref="N39:Q39"/>
    <mergeCell ref="M38:U38"/>
    <mergeCell ref="B34:C34"/>
    <mergeCell ref="B35:C35"/>
    <mergeCell ref="AM38:AO38"/>
    <mergeCell ref="R39:U39"/>
    <mergeCell ref="V38:V39"/>
    <mergeCell ref="AA38:AA39"/>
    <mergeCell ref="AB38:AB39"/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</mergeCells>
  <phoneticPr fontId="6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A1:AS47"/>
  <sheetViews>
    <sheetView workbookViewId="0">
      <selection activeCell="D18" sqref="D18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29" t="s">
        <v>48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  <c r="T1" s="129"/>
      <c r="U1" s="129"/>
      <c r="V1" s="129"/>
      <c r="W1" s="129"/>
      <c r="X1" s="129"/>
      <c r="Y1" s="129"/>
      <c r="Z1" s="129"/>
      <c r="AA1" s="129"/>
      <c r="AB1" s="129"/>
      <c r="AC1" s="129"/>
      <c r="AD1" s="129"/>
      <c r="AE1" s="129"/>
      <c r="AF1" s="129"/>
      <c r="AG1" s="129"/>
      <c r="AH1" s="129"/>
      <c r="AI1" s="129"/>
      <c r="AJ1" s="129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24" t="s">
        <v>76</v>
      </c>
      <c r="D7" s="125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24" t="s">
        <v>77</v>
      </c>
      <c r="D8" s="125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24" t="s">
        <v>59</v>
      </c>
      <c r="D9" s="125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24" t="s">
        <v>60</v>
      </c>
      <c r="D10" s="125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24" t="s">
        <v>61</v>
      </c>
      <c r="D11" s="125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24" t="s">
        <v>62</v>
      </c>
      <c r="D12" s="125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24" t="s">
        <v>63</v>
      </c>
      <c r="D13" s="125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24" t="s">
        <v>64</v>
      </c>
      <c r="D14" s="125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24" t="s">
        <v>65</v>
      </c>
      <c r="D15" s="125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24" t="s">
        <v>66</v>
      </c>
      <c r="D16" s="125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24" t="s">
        <v>78</v>
      </c>
      <c r="D19" s="125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5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23" t="s">
        <v>16</v>
      </c>
      <c r="B28" s="123"/>
      <c r="C28" s="33">
        <f>ABS(SUM(AO42:AO65536))</f>
        <v>1337.0429000007384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26" t="s">
        <v>17</v>
      </c>
      <c r="B29" s="126"/>
      <c r="C29" s="32">
        <f>ABS(C28/2)</f>
        <v>668.52145000036921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26">
        <f>SQRT(AA40^2+AB40^2)</f>
        <v>5.5023096941391749E-4</v>
      </c>
      <c r="C32" s="126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8">
        <f>M40/B32</f>
        <v>185813.7755911889</v>
      </c>
      <c r="C33" s="128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26" t="str">
        <f>"1 : "&amp;TEXT(B35,"00")</f>
        <v>1 : 190000</v>
      </c>
      <c r="C34" s="126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7">
        <f>ROUND(B33,2-LEN(INT(B33)))</f>
        <v>190000</v>
      </c>
      <c r="C35" s="127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6" t="s">
        <v>9</v>
      </c>
      <c r="B38" s="88"/>
      <c r="C38" s="118" t="s">
        <v>7</v>
      </c>
      <c r="D38" s="118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0" t="s">
        <v>8</v>
      </c>
      <c r="N38" s="120"/>
      <c r="O38" s="120"/>
      <c r="P38" s="120"/>
      <c r="Q38" s="120"/>
      <c r="R38" s="120"/>
      <c r="S38" s="120"/>
      <c r="T38" s="120"/>
      <c r="U38" s="120"/>
      <c r="V38" s="121"/>
      <c r="W38" s="59"/>
      <c r="X38" s="59" t="s">
        <v>33</v>
      </c>
      <c r="Y38" s="59" t="s">
        <v>34</v>
      </c>
      <c r="Z38" s="80"/>
      <c r="AA38" s="116" t="s">
        <v>30</v>
      </c>
      <c r="AB38" s="116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5"/>
      <c r="AL38" s="65"/>
      <c r="AM38" s="114" t="s">
        <v>18</v>
      </c>
      <c r="AN38" s="119"/>
      <c r="AO38" s="115"/>
      <c r="AP38" s="110" t="s">
        <v>56</v>
      </c>
    </row>
    <row r="39" spans="1:44">
      <c r="A39" s="117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9"/>
      <c r="P39" s="119"/>
      <c r="Q39" s="115"/>
      <c r="R39" s="114" t="s">
        <v>24</v>
      </c>
      <c r="S39" s="119"/>
      <c r="T39" s="119"/>
      <c r="U39" s="115"/>
      <c r="V39" s="122"/>
      <c r="W39" s="59"/>
      <c r="X39" s="59"/>
      <c r="Y39" s="59"/>
      <c r="Z39" s="81"/>
      <c r="AA39" s="117"/>
      <c r="AB39" s="117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10"/>
    </row>
    <row r="40" spans="1:44" s="11" customFormat="1">
      <c r="A40" s="111" t="s">
        <v>25</v>
      </c>
      <c r="B40" s="112"/>
      <c r="C40" s="112"/>
      <c r="D40" s="112"/>
      <c r="E40" s="112"/>
      <c r="F40" s="112"/>
      <c r="G40" s="112"/>
      <c r="H40" s="112"/>
      <c r="I40" s="112"/>
      <c r="J40" s="112"/>
      <c r="K40" s="112"/>
      <c r="L40" s="113"/>
      <c r="M40" s="51">
        <f>SUM(M42:M65536)</f>
        <v>102.24049387399998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-3.9284656626026315E-4</v>
      </c>
      <c r="AB40" s="91">
        <f>SUM(AB42:AB65536)</f>
        <v>-3.8526055479337629E-4</v>
      </c>
      <c r="AC40" s="91"/>
      <c r="AD40" s="91">
        <f>SUM(AD42:AD65536)</f>
        <v>-3.9284656626026315E-4</v>
      </c>
      <c r="AE40" s="91">
        <f>SUM(AE42:AE65536)</f>
        <v>-3.8526055479337634E-4</v>
      </c>
      <c r="AF40" s="91">
        <f>SUM(AF42:AF65536)</f>
        <v>6.106226635438361E-16</v>
      </c>
      <c r="AG40" s="91">
        <f>SUM(AG42:AG65536)</f>
        <v>0</v>
      </c>
      <c r="AH40" s="92"/>
      <c r="AI40" s="93">
        <v>1</v>
      </c>
      <c r="AJ40" s="92">
        <f>AJ44+AF44</f>
        <v>721385.77443524636</v>
      </c>
      <c r="AK40" s="92">
        <f>AK44+AG44</f>
        <v>461628.57938476186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-135.79000000003725</v>
      </c>
      <c r="G41" s="72">
        <f>IF(D42=0,D41-$D$41,D41-D42)</f>
        <v>849.32999999995809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860.11648804097399</v>
      </c>
      <c r="N41" s="36">
        <f>IF(F41=0,,ATAN(G41/F41))</f>
        <v>-1.4122590822242074</v>
      </c>
      <c r="O41" s="36">
        <f>ABS(DEGREES(N41))</f>
        <v>80.916484990466188</v>
      </c>
      <c r="P41" s="37" t="str">
        <f>TEXT(INT(O41),"00")</f>
        <v>80</v>
      </c>
      <c r="Q41" s="38" t="str">
        <f>TEXT((O41-P41)*60,"00")</f>
        <v>55</v>
      </c>
      <c r="R41" s="39" t="str">
        <f>IF(L41="",IF(F41&gt;0,"S","N"),"")</f>
        <v>N</v>
      </c>
      <c r="S41" s="25" t="str">
        <f>IF(L41="",IF(INT(Q41)=60,INT(P41+1),P41),"due")</f>
        <v>80</v>
      </c>
      <c r="T41" s="38" t="str">
        <f>IF(L41="",IF(INT(Q41)=60,"00",Q41),L41)</f>
        <v>55</v>
      </c>
      <c r="U41" s="40" t="str">
        <f>IF(L41="",IF(G41&gt;0,"W","E"),"")</f>
        <v>W</v>
      </c>
      <c r="V41" s="41"/>
      <c r="W41" s="22">
        <f>IF(S41="due",90*(I41+K41),S41+T41/60)</f>
        <v>80.916666666666671</v>
      </c>
      <c r="X41" s="22">
        <f>IF(R41="",W41,IF(R41="N",IF(U41="E",180+W41,180-W41),IF(U41="E",360-W41,W41)))</f>
        <v>99.083333333333329</v>
      </c>
      <c r="Y41" s="22">
        <f>RADIANS(X41)</f>
        <v>1.7293304005177148</v>
      </c>
      <c r="Z41" s="64"/>
      <c r="AA41" s="58">
        <f>-M41*COS(Y41)</f>
        <v>135.78730690313225</v>
      </c>
      <c r="AB41" s="58">
        <f>-M41*SIN(Y41)</f>
        <v>-849.33043056512076</v>
      </c>
      <c r="AC41" s="64"/>
      <c r="AD41" s="22">
        <v>0</v>
      </c>
      <c r="AE41" s="22">
        <v>0</v>
      </c>
      <c r="AF41" s="22">
        <f t="shared" ref="AF41:AG43" si="0">AA41-AD41</f>
        <v>135.78730690313225</v>
      </c>
      <c r="AG41" s="22">
        <f t="shared" si="0"/>
        <v>-849.33043056512076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721364.41</v>
      </c>
      <c r="D42" s="60">
        <v>461600.89</v>
      </c>
      <c r="E42" s="79"/>
      <c r="F42" s="72">
        <f>IF(C43=0,C42-$C$42,C42-C43)</f>
        <v>-24.96999999997206</v>
      </c>
      <c r="G42" s="72">
        <f>IF(D43=0,D42-$D$42,D42-D43)</f>
        <v>-0.47999999998137355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24.974613110088146</v>
      </c>
      <c r="N42" s="36">
        <f>IF(F42=0,,ATAN(G42/F42))</f>
        <v>1.9220700395444858E-2</v>
      </c>
      <c r="O42" s="36">
        <f>ABS(DEGREES(N42))</f>
        <v>1.1012650119444227</v>
      </c>
      <c r="P42" s="37" t="str">
        <f>TEXT(INT(O42),"00")</f>
        <v>01</v>
      </c>
      <c r="Q42" s="38" t="str">
        <f>TEXT((O42-P42)*60,"00")</f>
        <v>06</v>
      </c>
      <c r="R42" s="39" t="str">
        <f>IF(L42="",IF(F42&gt;0,"S","N"),"")</f>
        <v>N</v>
      </c>
      <c r="S42" s="25" t="str">
        <f>IF(L42="",IF(INT(Q42)=60,INT(P42+1),P42),"due")</f>
        <v>01</v>
      </c>
      <c r="T42" s="38" t="str">
        <f>IF(L42="",IF(INT(Q42)=60,"00",Q42),L42)</f>
        <v>06</v>
      </c>
      <c r="U42" s="40" t="str">
        <f>IF(L42="",IF(G42&gt;0,"W","E"),"")</f>
        <v>E</v>
      </c>
      <c r="V42" s="44"/>
      <c r="W42" s="22">
        <f>IF(S42="due",90*(I42+K42),S42+T42/60)</f>
        <v>1.1000000000000001</v>
      </c>
      <c r="X42" s="22">
        <f>IF(R42="",W42,IF(R42="N",IF(U42="E",180+W42,180-W42),IF(U42="E",360-W42,W42)))</f>
        <v>181.1</v>
      </c>
      <c r="Y42" s="22">
        <f>RADIANS(X42)</f>
        <v>3.1607912753617309</v>
      </c>
      <c r="Z42" s="64"/>
      <c r="AA42" s="58">
        <f>-M42*COS(Y42)</f>
        <v>24.970010591625332</v>
      </c>
      <c r="AB42" s="58">
        <f>-M42*SIN(Y42)</f>
        <v>0.47944869663545192</v>
      </c>
      <c r="AC42" s="64"/>
      <c r="AD42" s="82">
        <f>$AA$40/$M$40*M42</f>
        <v>-9.5961889777917942E-5</v>
      </c>
      <c r="AE42" s="82">
        <f>$AB$40/$M$40*M42</f>
        <v>-9.4108830444424518E-5</v>
      </c>
      <c r="AF42" s="22">
        <f t="shared" si="0"/>
        <v>24.970106553515109</v>
      </c>
      <c r="AG42" s="22">
        <f t="shared" si="0"/>
        <v>0.47954280546589634</v>
      </c>
      <c r="AH42" s="63"/>
      <c r="AI42" s="38">
        <f>A42</f>
        <v>1</v>
      </c>
      <c r="AJ42" s="82">
        <f t="shared" ref="AJ42:AK44" si="1">AJ41+AF41</f>
        <v>721364.40730690316</v>
      </c>
      <c r="AK42" s="82">
        <f t="shared" si="1"/>
        <v>461600.88956943486</v>
      </c>
      <c r="AL42" s="66"/>
      <c r="AM42" s="9" t="str">
        <f>IF(A43=0,A42&amp;" - 1",A42&amp;" - "&amp;A43)</f>
        <v>1 - 2</v>
      </c>
      <c r="AN42" s="18">
        <f>F42</f>
        <v>-24.96999999997206</v>
      </c>
      <c r="AO42" s="18">
        <f>AN42*G42</f>
        <v>11.985599999521487</v>
      </c>
      <c r="AP42" s="9" t="str">
        <f>D42&amp;","&amp;C42</f>
        <v>461600.89,721364.41</v>
      </c>
    </row>
    <row r="43" spans="1:44">
      <c r="A43" s="20">
        <f>A42+1</f>
        <v>2</v>
      </c>
      <c r="B43" s="44"/>
      <c r="C43" s="60">
        <v>721389.38</v>
      </c>
      <c r="D43" s="60">
        <v>461601.37</v>
      </c>
      <c r="E43" s="79"/>
      <c r="F43" s="72">
        <f>IF(C44=0,C43-$C$42,C43-C44)</f>
        <v>0.86999999999534339</v>
      </c>
      <c r="G43" s="72">
        <f>IF(D44=0,D43-$D$42,D43-D44)</f>
        <v>-24.400000000023283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24.415505319389318</v>
      </c>
      <c r="N43" s="36">
        <f>IF(F43=0,,ATAN(G43/F43))</f>
        <v>-1.5351556876637593</v>
      </c>
      <c r="O43" s="36">
        <f>ABS(DEGREES(N43))</f>
        <v>87.957941798637023</v>
      </c>
      <c r="P43" s="37" t="str">
        <f>TEXT(INT(O43),"00")</f>
        <v>87</v>
      </c>
      <c r="Q43" s="38" t="str">
        <f>TEXT((O43-P43)*60,"00")</f>
        <v>57</v>
      </c>
      <c r="R43" s="39" t="str">
        <f>IF(L43="",IF(F43&gt;0,"S","N"),"")</f>
        <v>S</v>
      </c>
      <c r="S43" s="25" t="str">
        <f>IF(L43="",IF(INT(Q43)=60,INT(P43+1),P43),"due")</f>
        <v>87</v>
      </c>
      <c r="T43" s="38" t="str">
        <f>IF(L43="",IF(INT(Q43)=60,"00",Q43),L43)</f>
        <v>57</v>
      </c>
      <c r="U43" s="40" t="str">
        <f>IF(L43="",IF(G43&gt;0,"W","E"),"")</f>
        <v>E</v>
      </c>
      <c r="V43" s="44"/>
      <c r="W43" s="22">
        <f>IF(S43="due",90*(I43+K43),S43+T43/60)</f>
        <v>87.95</v>
      </c>
      <c r="X43" s="22">
        <f>IF(R43="",W43,IF(R43="N",IF(U43="E",180+W43,180-W43),IF(U43="E",360-W43,W43)))</f>
        <v>272.05</v>
      </c>
      <c r="Y43" s="22">
        <f>RADIANS(X43)</f>
        <v>4.7481682300505739</v>
      </c>
      <c r="Z43" s="64"/>
      <c r="AA43" s="58">
        <f>-M43*COS(Y43)</f>
        <v>-0.87338208867473288</v>
      </c>
      <c r="AB43" s="58">
        <f>-M43*SIN(Y43)</f>
        <v>24.399879174461301</v>
      </c>
      <c r="AC43" s="64"/>
      <c r="AD43" s="82">
        <f>$AA$40/$M$40*M43</f>
        <v>-9.3813586621087702E-5</v>
      </c>
      <c r="AE43" s="82">
        <f>$AB$40/$M$40*M43</f>
        <v>-9.2002011810514282E-5</v>
      </c>
      <c r="AF43" s="22">
        <f t="shared" si="0"/>
        <v>-0.8732882750881118</v>
      </c>
      <c r="AG43" s="22">
        <f t="shared" si="0"/>
        <v>24.399971176473112</v>
      </c>
      <c r="AH43" s="64"/>
      <c r="AI43" s="25">
        <f>A43</f>
        <v>2</v>
      </c>
      <c r="AJ43" s="82">
        <f t="shared" si="1"/>
        <v>721389.37741345668</v>
      </c>
      <c r="AK43" s="82">
        <f t="shared" si="1"/>
        <v>461601.36911224033</v>
      </c>
      <c r="AL43" s="66"/>
      <c r="AM43" s="9" t="str">
        <f>IF(A44=0,A43&amp;" - 1",A43&amp;" - "&amp;A44)</f>
        <v>2 - 3</v>
      </c>
      <c r="AN43" s="18">
        <f>AN42+F42+F43</f>
        <v>-49.069999999948777</v>
      </c>
      <c r="AO43" s="18">
        <f>AN43*G43</f>
        <v>1197.3079999998927</v>
      </c>
      <c r="AP43" s="9" t="str">
        <f>D43&amp;","&amp;C43</f>
        <v>461601.37,721389.38</v>
      </c>
    </row>
    <row r="44" spans="1:44" s="46" customFormat="1">
      <c r="A44" s="20">
        <f>A43+1</f>
        <v>3</v>
      </c>
      <c r="B44" s="44"/>
      <c r="C44" s="60">
        <v>721388.51</v>
      </c>
      <c r="D44" s="60">
        <v>461625.77</v>
      </c>
      <c r="E44" s="79"/>
      <c r="F44" s="72">
        <f>IF(C45=0,C44-$C$42,C44-C45)</f>
        <v>2.7299999999813735</v>
      </c>
      <c r="G44" s="72">
        <f>IF(D45=0,D44-$D$42,D44-D45)</f>
        <v>-2.8099999999976717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3.9177799835985194</v>
      </c>
      <c r="N44" s="22">
        <f>IF(F44=0,,ATAN(G44/F44))</f>
        <v>-0.79983759300321011</v>
      </c>
      <c r="O44" s="22">
        <f>ABS(DEGREES(N44))</f>
        <v>45.827318374986405</v>
      </c>
      <c r="P44" s="24" t="str">
        <f>TEXT(INT(O44),"00")</f>
        <v>45</v>
      </c>
      <c r="Q44" s="25" t="str">
        <f>TEXT((O44-P44)*60,"00")</f>
        <v>50</v>
      </c>
      <c r="R44" s="23" t="str">
        <f>IF(L44="",IF(F44&gt;0,"S","N"),"")</f>
        <v>S</v>
      </c>
      <c r="S44" s="25" t="str">
        <f>IF(L44="",IF(INT(Q44)=60,INT(P44+1),P44),"due")</f>
        <v>45</v>
      </c>
      <c r="T44" s="25" t="str">
        <f>IF(L44="",IF(INT(Q44)=60,"00",Q44),L44)</f>
        <v>50</v>
      </c>
      <c r="U44" s="24" t="str">
        <f>IF(L44="",IF(G44&gt;0,"W","E"),"")</f>
        <v>E</v>
      </c>
      <c r="V44" s="44"/>
      <c r="W44" s="22">
        <f>IF(S44="due",90*(I44+K44),S44+T44/60)</f>
        <v>45.833333333333336</v>
      </c>
      <c r="X44" s="22">
        <f>IF(R44="",W44,IF(R44="N",IF(U44="E",180+W44,180-W44),IF(U44="E",360-W44,W44)))</f>
        <v>314.16666666666669</v>
      </c>
      <c r="Y44" s="22">
        <f>RADIANS(X44)</f>
        <v>5.4832427333488525</v>
      </c>
      <c r="Z44" s="64"/>
      <c r="AA44" s="58">
        <f>-M44*COS(Y44)</f>
        <v>-2.7297049888129439</v>
      </c>
      <c r="AB44" s="58">
        <f>-M44*SIN(Y44)</f>
        <v>2.8102865821718148</v>
      </c>
      <c r="AC44" s="64"/>
      <c r="AD44" s="82">
        <f>$AA$40/$M$40*M44</f>
        <v>-1.5053589391074549E-5</v>
      </c>
      <c r="AE44" s="82">
        <f>$AB$40/$M$40*M44</f>
        <v>-1.4762899051521366E-5</v>
      </c>
      <c r="AF44" s="22">
        <f>AA44-AD44</f>
        <v>-2.7296899352235529</v>
      </c>
      <c r="AG44" s="22">
        <f>AB44-AE44</f>
        <v>2.8103013450708665</v>
      </c>
      <c r="AH44" s="64"/>
      <c r="AI44" s="25">
        <f>A44</f>
        <v>3</v>
      </c>
      <c r="AJ44" s="82">
        <f t="shared" si="1"/>
        <v>721388.50412518159</v>
      </c>
      <c r="AK44" s="82">
        <f t="shared" si="1"/>
        <v>461625.76908341679</v>
      </c>
      <c r="AL44" s="66"/>
      <c r="AM44" s="9" t="str">
        <f>IF(A45=0,A44&amp;" - 1",A44&amp;" - "&amp;A45)</f>
        <v>3 - 4</v>
      </c>
      <c r="AN44" s="18">
        <f>AN43+F43+F44</f>
        <v>-45.46999999997206</v>
      </c>
      <c r="AO44" s="18">
        <f>AN44*G44</f>
        <v>127.77069999981562</v>
      </c>
      <c r="AP44" s="9" t="str">
        <f>D44&amp;","&amp;C44</f>
        <v>461625.77,721388.51</v>
      </c>
    </row>
    <row r="45" spans="1:44" s="46" customFormat="1">
      <c r="A45" s="20">
        <f t="shared" ref="A45:A46" si="2">A44+1</f>
        <v>4</v>
      </c>
      <c r="B45" s="44"/>
      <c r="C45" s="60">
        <v>721385.78</v>
      </c>
      <c r="D45" s="60">
        <v>461628.58</v>
      </c>
      <c r="E45" s="79"/>
      <c r="F45" s="72">
        <f t="shared" ref="F45:F46" si="3">IF(C46=0,C45-$C$42,C45-C46)</f>
        <v>21.840000000083819</v>
      </c>
      <c r="G45" s="72">
        <f t="shared" ref="G45:G46" si="4">IF(D46=0,D45-$D$42,D45-D46)</f>
        <v>0.61000000004423782</v>
      </c>
      <c r="H45" s="76" t="str">
        <f t="shared" ref="H45:H46" si="5">IF(G45=0,IF(F45&gt;0,"South","North"),"")</f>
        <v/>
      </c>
      <c r="I45" s="76">
        <f t="shared" ref="I45:I46" si="6">IF(H45="North",2,IF(H45="",0,0))</f>
        <v>0</v>
      </c>
      <c r="J45" s="76" t="str">
        <f t="shared" ref="J45:J46" si="7">IF(F45=0,IF(G45&gt;0,"West","East"),"")</f>
        <v/>
      </c>
      <c r="K45" s="76">
        <f t="shared" ref="K45:K46" si="8">IF(J45="West",1,IF(J45="",0,3))</f>
        <v>0</v>
      </c>
      <c r="L45" s="76" t="str">
        <f t="shared" ref="L45:L46" si="9">H45&amp;J45</f>
        <v/>
      </c>
      <c r="M45" s="22">
        <f t="shared" ref="M45:M46" si="10">SQRT(F45^2+G45^2)</f>
        <v>21.848517112237051</v>
      </c>
      <c r="N45" s="22">
        <f t="shared" ref="N45:N46" si="11">IF(F45=0,,ATAN(G45/F45))</f>
        <v>2.7923143425190679E-2</v>
      </c>
      <c r="O45" s="22">
        <f t="shared" ref="O45:O46" si="12">ABS(DEGREES(N45))</f>
        <v>1.5998782690018996</v>
      </c>
      <c r="P45" s="24" t="str">
        <f t="shared" ref="P45:P46" si="13">TEXT(INT(O45),"00")</f>
        <v>01</v>
      </c>
      <c r="Q45" s="25" t="str">
        <f t="shared" ref="Q45:Q46" si="14">TEXT((O45-P45)*60,"00")</f>
        <v>36</v>
      </c>
      <c r="R45" s="23" t="str">
        <f t="shared" ref="R45:R46" si="15">IF(L45="",IF(F45&gt;0,"S","N"),"")</f>
        <v>S</v>
      </c>
      <c r="S45" s="25" t="str">
        <f t="shared" ref="S45:S46" si="16">IF(L45="",IF(INT(Q45)=60,INT(P45+1),P45),"due")</f>
        <v>01</v>
      </c>
      <c r="T45" s="25" t="str">
        <f t="shared" ref="T45:T46" si="17">IF(L45="",IF(INT(Q45)=60,"00",Q45),L45)</f>
        <v>36</v>
      </c>
      <c r="U45" s="24" t="str">
        <f t="shared" ref="U45:U46" si="18">IF(L45="",IF(G45&gt;0,"W","E"),"")</f>
        <v>W</v>
      </c>
      <c r="V45" s="44"/>
      <c r="W45" s="22">
        <f t="shared" ref="W45:W46" si="19">IF(S45="due",90*(I45+K45),S45+T45/60)</f>
        <v>1.6</v>
      </c>
      <c r="X45" s="22">
        <f t="shared" ref="X45:X46" si="20">IF(R45="",W45,IF(R45="N",IF(U45="E",180+W45,180-W45),IF(U45="E",360-W45,W45)))</f>
        <v>1.6</v>
      </c>
      <c r="Y45" s="22">
        <f t="shared" ref="Y45:Y46" si="21">RADIANS(X45)</f>
        <v>2.7925268031909273E-2</v>
      </c>
      <c r="Z45" s="64"/>
      <c r="AA45" s="58">
        <f t="shared" ref="AA45:AA46" si="22">-M45*COS(Y45)</f>
        <v>-21.839998704024428</v>
      </c>
      <c r="AB45" s="58">
        <f t="shared" ref="AB45:AB46" si="23">-M45*SIN(Y45)</f>
        <v>-0.61004640145359534</v>
      </c>
      <c r="AC45" s="64"/>
      <c r="AD45" s="82">
        <f t="shared" ref="AD45:AD46" si="24">$AA$40/$M$40*M45</f>
        <v>-8.3950249066662959E-5</v>
      </c>
      <c r="AE45" s="82">
        <f t="shared" ref="AE45:AE46" si="25">$AB$40/$M$40*M45</f>
        <v>-8.232913892656363E-5</v>
      </c>
      <c r="AF45" s="22">
        <f t="shared" ref="AF45:AF46" si="26">AA45-AD45</f>
        <v>-21.839914753775361</v>
      </c>
      <c r="AG45" s="22">
        <f t="shared" ref="AG45:AG46" si="27">AB45-AE45</f>
        <v>-0.60996407231466876</v>
      </c>
      <c r="AH45" s="64"/>
      <c r="AI45" s="25">
        <f t="shared" ref="AI45:AI46" si="28">A45</f>
        <v>4</v>
      </c>
      <c r="AJ45" s="82">
        <f t="shared" ref="AJ45:AJ46" si="29">AJ44+AF44</f>
        <v>721385.77443524636</v>
      </c>
      <c r="AK45" s="82">
        <f t="shared" ref="AK45:AK46" si="30">AK44+AG44</f>
        <v>461628.57938476186</v>
      </c>
      <c r="AL45" s="66"/>
      <c r="AM45" s="9" t="str">
        <f t="shared" ref="AM45:AM46" si="31">IF(A46=0,A45&amp;" - 1",A45&amp;" - "&amp;A46)</f>
        <v>4 - 5</v>
      </c>
      <c r="AN45" s="18">
        <f t="shared" ref="AN45:AN46" si="32">AN44+F44+F45</f>
        <v>-20.899999999906868</v>
      </c>
      <c r="AO45" s="18">
        <f t="shared" ref="AO45:AO46" si="33">AN45*G45</f>
        <v>-12.74900000086776</v>
      </c>
      <c r="AP45" s="9" t="str">
        <f t="shared" ref="AP45:AP46" si="34">D45&amp;","&amp;C45</f>
        <v>461628.58,721385.78</v>
      </c>
    </row>
    <row r="46" spans="1:44" s="46" customFormat="1">
      <c r="A46" s="20">
        <f t="shared" si="2"/>
        <v>5</v>
      </c>
      <c r="B46" s="44"/>
      <c r="C46" s="60">
        <v>721363.94</v>
      </c>
      <c r="D46" s="60">
        <v>461627.97</v>
      </c>
      <c r="E46" s="79"/>
      <c r="F46" s="72">
        <f t="shared" si="3"/>
        <v>-0.47000000008847564</v>
      </c>
      <c r="G46" s="72">
        <f t="shared" si="4"/>
        <v>27.07999999995809</v>
      </c>
      <c r="H46" s="76" t="str">
        <f t="shared" si="5"/>
        <v/>
      </c>
      <c r="I46" s="76">
        <f t="shared" si="6"/>
        <v>0</v>
      </c>
      <c r="J46" s="76" t="str">
        <f t="shared" si="7"/>
        <v/>
      </c>
      <c r="K46" s="76">
        <f t="shared" si="8"/>
        <v>0</v>
      </c>
      <c r="L46" s="76" t="str">
        <f t="shared" si="9"/>
        <v/>
      </c>
      <c r="M46" s="22">
        <f t="shared" si="10"/>
        <v>27.084078348686951</v>
      </c>
      <c r="N46" s="22">
        <f t="shared" si="11"/>
        <v>-1.5534420869168335</v>
      </c>
      <c r="O46" s="22">
        <f t="shared" si="12"/>
        <v>89.005675298329365</v>
      </c>
      <c r="P46" s="24" t="str">
        <f t="shared" si="13"/>
        <v>89</v>
      </c>
      <c r="Q46" s="25" t="str">
        <f t="shared" si="14"/>
        <v>00</v>
      </c>
      <c r="R46" s="23" t="str">
        <f t="shared" si="15"/>
        <v>N</v>
      </c>
      <c r="S46" s="25" t="str">
        <f t="shared" si="16"/>
        <v>89</v>
      </c>
      <c r="T46" s="25" t="str">
        <f t="shared" si="17"/>
        <v>00</v>
      </c>
      <c r="U46" s="24" t="str">
        <f t="shared" si="18"/>
        <v>W</v>
      </c>
      <c r="V46" s="44"/>
      <c r="W46" s="22">
        <f t="shared" si="19"/>
        <v>89</v>
      </c>
      <c r="X46" s="22">
        <f t="shared" si="20"/>
        <v>91</v>
      </c>
      <c r="Y46" s="22">
        <f t="shared" si="21"/>
        <v>1.5882496193148399</v>
      </c>
      <c r="Z46" s="64"/>
      <c r="AA46" s="58">
        <f t="shared" si="22"/>
        <v>0.47268234332051418</v>
      </c>
      <c r="AB46" s="58">
        <f t="shared" si="23"/>
        <v>-27.079953312369767</v>
      </c>
      <c r="AC46" s="64"/>
      <c r="AD46" s="82">
        <f t="shared" si="24"/>
        <v>-1.0406725140352005E-4</v>
      </c>
      <c r="AE46" s="82">
        <f t="shared" si="25"/>
        <v>-1.0205767456035252E-4</v>
      </c>
      <c r="AF46" s="22">
        <f t="shared" si="26"/>
        <v>0.47278641057191767</v>
      </c>
      <c r="AG46" s="22">
        <f t="shared" si="27"/>
        <v>-27.079851254695207</v>
      </c>
      <c r="AH46" s="64"/>
      <c r="AI46" s="25">
        <f t="shared" si="28"/>
        <v>5</v>
      </c>
      <c r="AJ46" s="82">
        <f t="shared" si="29"/>
        <v>721363.93452049256</v>
      </c>
      <c r="AK46" s="82">
        <f t="shared" si="30"/>
        <v>461627.96942068957</v>
      </c>
      <c r="AL46" s="66"/>
      <c r="AM46" s="9" t="str">
        <f t="shared" si="31"/>
        <v>5 - 1</v>
      </c>
      <c r="AN46" s="18">
        <f t="shared" si="32"/>
        <v>0.47000000008847564</v>
      </c>
      <c r="AO46" s="18">
        <f t="shared" si="33"/>
        <v>12.727600002376223</v>
      </c>
      <c r="AP46" s="9" t="str">
        <f t="shared" si="34"/>
        <v>461627.97,721363.94</v>
      </c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40:L40"/>
    <mergeCell ref="A28:B28"/>
    <mergeCell ref="A29:B29"/>
    <mergeCell ref="B32:C32"/>
    <mergeCell ref="B33:C33"/>
    <mergeCell ref="AP38:AP39"/>
    <mergeCell ref="N39:Q39"/>
    <mergeCell ref="M38:U38"/>
    <mergeCell ref="B34:C34"/>
    <mergeCell ref="B35:C35"/>
    <mergeCell ref="AM38:AO38"/>
    <mergeCell ref="R39:U39"/>
    <mergeCell ref="V38:V39"/>
    <mergeCell ref="AA38:AA39"/>
    <mergeCell ref="AB38:AB39"/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</mergeCells>
  <phoneticPr fontId="6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/>
  <dimension ref="A1:AS47"/>
  <sheetViews>
    <sheetView workbookViewId="0">
      <selection activeCell="D18" sqref="D18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29" t="s">
        <v>48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  <c r="T1" s="129"/>
      <c r="U1" s="129"/>
      <c r="V1" s="129"/>
      <c r="W1" s="129"/>
      <c r="X1" s="129"/>
      <c r="Y1" s="129"/>
      <c r="Z1" s="129"/>
      <c r="AA1" s="129"/>
      <c r="AB1" s="129"/>
      <c r="AC1" s="129"/>
      <c r="AD1" s="129"/>
      <c r="AE1" s="129"/>
      <c r="AF1" s="129"/>
      <c r="AG1" s="129"/>
      <c r="AH1" s="129"/>
      <c r="AI1" s="129"/>
      <c r="AJ1" s="129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24" t="s">
        <v>79</v>
      </c>
      <c r="D7" s="125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24" t="s">
        <v>80</v>
      </c>
      <c r="D8" s="125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24" t="s">
        <v>59</v>
      </c>
      <c r="D9" s="125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24" t="s">
        <v>60</v>
      </c>
      <c r="D10" s="125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24" t="s">
        <v>61</v>
      </c>
      <c r="D11" s="125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24" t="s">
        <v>62</v>
      </c>
      <c r="D12" s="125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24" t="s">
        <v>63</v>
      </c>
      <c r="D13" s="125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24" t="s">
        <v>64</v>
      </c>
      <c r="D14" s="125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24" t="s">
        <v>65</v>
      </c>
      <c r="D15" s="125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24" t="s">
        <v>66</v>
      </c>
      <c r="D16" s="125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24" t="s">
        <v>81</v>
      </c>
      <c r="D19" s="125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5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23" t="s">
        <v>16</v>
      </c>
      <c r="B28" s="123"/>
      <c r="C28" s="33">
        <f>ABS(SUM(AO42:AO65536))</f>
        <v>1380.5309999995284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26" t="s">
        <v>17</v>
      </c>
      <c r="B29" s="126"/>
      <c r="C29" s="32">
        <f>ABS(C28/2)</f>
        <v>690.26549999976419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26">
        <f>SQRT(AA40^2+AB40^2)</f>
        <v>5.0710223127366687E-3</v>
      </c>
      <c r="C32" s="126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8">
        <f>M40/B32</f>
        <v>20404.948670587644</v>
      </c>
      <c r="C33" s="128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26" t="str">
        <f>"1 : "&amp;TEXT(B35,"00")</f>
        <v>1 : 20000</v>
      </c>
      <c r="C34" s="126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7">
        <f>ROUND(B33,2-LEN(INT(B33)))</f>
        <v>20000</v>
      </c>
      <c r="C35" s="127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6" t="s">
        <v>9</v>
      </c>
      <c r="B38" s="88"/>
      <c r="C38" s="118" t="s">
        <v>7</v>
      </c>
      <c r="D38" s="118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0" t="s">
        <v>8</v>
      </c>
      <c r="N38" s="120"/>
      <c r="O38" s="120"/>
      <c r="P38" s="120"/>
      <c r="Q38" s="120"/>
      <c r="R38" s="120"/>
      <c r="S38" s="120"/>
      <c r="T38" s="120"/>
      <c r="U38" s="120"/>
      <c r="V38" s="121"/>
      <c r="W38" s="59"/>
      <c r="X38" s="59" t="s">
        <v>33</v>
      </c>
      <c r="Y38" s="59" t="s">
        <v>34</v>
      </c>
      <c r="Z38" s="80"/>
      <c r="AA38" s="116" t="s">
        <v>30</v>
      </c>
      <c r="AB38" s="116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5"/>
      <c r="AL38" s="65"/>
      <c r="AM38" s="114" t="s">
        <v>18</v>
      </c>
      <c r="AN38" s="119"/>
      <c r="AO38" s="115"/>
      <c r="AP38" s="110" t="s">
        <v>56</v>
      </c>
    </row>
    <row r="39" spans="1:44">
      <c r="A39" s="117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9"/>
      <c r="P39" s="119"/>
      <c r="Q39" s="115"/>
      <c r="R39" s="114" t="s">
        <v>24</v>
      </c>
      <c r="S39" s="119"/>
      <c r="T39" s="119"/>
      <c r="U39" s="115"/>
      <c r="V39" s="122"/>
      <c r="W39" s="59"/>
      <c r="X39" s="59"/>
      <c r="Y39" s="59"/>
      <c r="Z39" s="81"/>
      <c r="AA39" s="117"/>
      <c r="AB39" s="117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10"/>
    </row>
    <row r="40" spans="1:44" s="11" customFormat="1">
      <c r="A40" s="111" t="s">
        <v>25</v>
      </c>
      <c r="B40" s="112"/>
      <c r="C40" s="112"/>
      <c r="D40" s="112"/>
      <c r="E40" s="112"/>
      <c r="F40" s="112"/>
      <c r="G40" s="112"/>
      <c r="H40" s="112"/>
      <c r="I40" s="112"/>
      <c r="J40" s="112"/>
      <c r="K40" s="112"/>
      <c r="L40" s="113"/>
      <c r="M40" s="51">
        <f>SUM(M42:M65536)</f>
        <v>103.47394999879637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4.944981515009772E-3</v>
      </c>
      <c r="AB40" s="91">
        <f>SUM(AB42:AB65536)</f>
        <v>-1.1235769277111451E-3</v>
      </c>
      <c r="AC40" s="91"/>
      <c r="AD40" s="91">
        <f>SUM(AD42:AD65536)</f>
        <v>4.944981515009772E-3</v>
      </c>
      <c r="AE40" s="91">
        <f>SUM(AE42:AE65536)</f>
        <v>-1.1235769277111454E-3</v>
      </c>
      <c r="AF40" s="91">
        <f>SUM(AF42:AF65536)</f>
        <v>0</v>
      </c>
      <c r="AG40" s="91">
        <f>SUM(AG42:AG65536)</f>
        <v>3.4972025275692431E-15</v>
      </c>
      <c r="AH40" s="92"/>
      <c r="AI40" s="93">
        <v>1</v>
      </c>
      <c r="AJ40" s="92">
        <f>AJ44+AF44</f>
        <v>721391.14662215509</v>
      </c>
      <c r="AK40" s="92">
        <f>AK44+AG44</f>
        <v>461578.22826582205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-135.79000000003725</v>
      </c>
      <c r="G41" s="72">
        <f>IF(D42=0,D41-$D$41,D41-D42)</f>
        <v>849.32999999995809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860.11648804097399</v>
      </c>
      <c r="N41" s="36">
        <f>IF(F41=0,,ATAN(G41/F41))</f>
        <v>-1.4122590822242074</v>
      </c>
      <c r="O41" s="36">
        <f>ABS(DEGREES(N41))</f>
        <v>80.916484990466188</v>
      </c>
      <c r="P41" s="37" t="str">
        <f>TEXT(INT(O41),"00")</f>
        <v>80</v>
      </c>
      <c r="Q41" s="38" t="str">
        <f>TEXT((O41-P41)*60,"00")</f>
        <v>55</v>
      </c>
      <c r="R41" s="39" t="str">
        <f>IF(L41="",IF(F41&gt;0,"S","N"),"")</f>
        <v>N</v>
      </c>
      <c r="S41" s="25" t="str">
        <f>IF(L41="",IF(INT(Q41)=60,INT(P41+1),P41),"due")</f>
        <v>80</v>
      </c>
      <c r="T41" s="38" t="str">
        <f>IF(L41="",IF(INT(Q41)=60,"00",Q41),L41)</f>
        <v>55</v>
      </c>
      <c r="U41" s="40" t="str">
        <f>IF(L41="",IF(G41&gt;0,"W","E"),"")</f>
        <v>W</v>
      </c>
      <c r="V41" s="41"/>
      <c r="W41" s="22">
        <f>IF(S41="due",90*(I41+K41),S41+T41/60)</f>
        <v>80.916666666666671</v>
      </c>
      <c r="X41" s="22">
        <f>IF(R41="",W41,IF(R41="N",IF(U41="E",180+W41,180-W41),IF(U41="E",360-W41,W41)))</f>
        <v>99.083333333333329</v>
      </c>
      <c r="Y41" s="22">
        <f>RADIANS(X41)</f>
        <v>1.7293304005177148</v>
      </c>
      <c r="Z41" s="64"/>
      <c r="AA41" s="58">
        <f>-M41*COS(Y41)</f>
        <v>135.78730690313225</v>
      </c>
      <c r="AB41" s="58">
        <f>-M41*SIN(Y41)</f>
        <v>-849.33043056512076</v>
      </c>
      <c r="AC41" s="64"/>
      <c r="AD41" s="22">
        <v>0</v>
      </c>
      <c r="AE41" s="22">
        <v>0</v>
      </c>
      <c r="AF41" s="22">
        <f t="shared" ref="AF41:AG43" si="0">AA41-AD41</f>
        <v>135.78730690313225</v>
      </c>
      <c r="AG41" s="22">
        <f t="shared" si="0"/>
        <v>-849.33043056512076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721364.41</v>
      </c>
      <c r="D42" s="60">
        <v>461600.89</v>
      </c>
      <c r="E42" s="79"/>
      <c r="F42" s="72">
        <f>IF(C43=0,C42-$C$42,C42-C43)</f>
        <v>0.13000000000465661</v>
      </c>
      <c r="G42" s="72">
        <f>IF(D43=0,D42-$D$42,D42-D43)</f>
        <v>25.809999999997672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25.810327390404815</v>
      </c>
      <c r="N42" s="36">
        <f>IF(F42=0,,ATAN(G42/F42))</f>
        <v>1.5657595619487334</v>
      </c>
      <c r="O42" s="36">
        <f>ABS(DEGREES(N42))</f>
        <v>89.711414631914991</v>
      </c>
      <c r="P42" s="37" t="str">
        <f>TEXT(INT(O42),"00")</f>
        <v>89</v>
      </c>
      <c r="Q42" s="38" t="str">
        <f>TEXT((O42-P42)*60,"00")</f>
        <v>43</v>
      </c>
      <c r="R42" s="39" t="str">
        <f>IF(L42="",IF(F42&gt;0,"S","N"),"")</f>
        <v>S</v>
      </c>
      <c r="S42" s="25" t="str">
        <f>IF(L42="",IF(INT(Q42)=60,INT(P42+1),P42),"due")</f>
        <v>89</v>
      </c>
      <c r="T42" s="38" t="str">
        <f>IF(L42="",IF(INT(Q42)=60,"00",Q42),L42)</f>
        <v>43</v>
      </c>
      <c r="U42" s="40" t="str">
        <f>IF(L42="",IF(G42&gt;0,"W","E"),"")</f>
        <v>W</v>
      </c>
      <c r="V42" s="44"/>
      <c r="W42" s="22">
        <f>IF(S42="due",90*(I42+K42),S42+T42/60)</f>
        <v>89.716666666666669</v>
      </c>
      <c r="X42" s="22">
        <f>IF(R42="",W42,IF(R42="N",IF(U42="E",180+W42,180-W42),IF(U42="E",360-W42,W42)))</f>
        <v>89.716666666666669</v>
      </c>
      <c r="Y42" s="22">
        <f>RADIANS(X42)</f>
        <v>1.5658512272475793</v>
      </c>
      <c r="Z42" s="64"/>
      <c r="AA42" s="58">
        <f>-M42*COS(Y42)</f>
        <v>-0.12763411809859504</v>
      </c>
      <c r="AB42" s="58">
        <f>-M42*SIN(Y42)</f>
        <v>-25.810011808051897</v>
      </c>
      <c r="AC42" s="64"/>
      <c r="AD42" s="82">
        <f>$AA$40/$M$40*M42</f>
        <v>1.2334659288003101E-3</v>
      </c>
      <c r="AE42" s="82">
        <f>$AB$40/$M$40*M42</f>
        <v>-2.8026269754722997E-4</v>
      </c>
      <c r="AF42" s="22">
        <f t="shared" si="0"/>
        <v>-0.12886758402739534</v>
      </c>
      <c r="AG42" s="22">
        <f t="shared" si="0"/>
        <v>-25.809731545354349</v>
      </c>
      <c r="AH42" s="63"/>
      <c r="AI42" s="38">
        <f>A42</f>
        <v>1</v>
      </c>
      <c r="AJ42" s="82">
        <f t="shared" ref="AJ42:AK44" si="1">AJ41+AF41</f>
        <v>721364.40730690316</v>
      </c>
      <c r="AK42" s="82">
        <f t="shared" si="1"/>
        <v>461600.88956943486</v>
      </c>
      <c r="AL42" s="66"/>
      <c r="AM42" s="9" t="str">
        <f>IF(A43=0,A42&amp;" - 1",A42&amp;" - "&amp;A43)</f>
        <v>1 - 2</v>
      </c>
      <c r="AN42" s="18">
        <f>F42</f>
        <v>0.13000000000465661</v>
      </c>
      <c r="AO42" s="18">
        <f>AN42*G42</f>
        <v>3.3553000001198847</v>
      </c>
      <c r="AP42" s="9" t="str">
        <f>D42&amp;","&amp;C42</f>
        <v>461600.89,721364.41</v>
      </c>
    </row>
    <row r="43" spans="1:44">
      <c r="A43" s="20">
        <f>A42+1</f>
        <v>2</v>
      </c>
      <c r="B43" s="44"/>
      <c r="C43" s="60">
        <v>721364.28</v>
      </c>
      <c r="D43" s="60">
        <v>461575.08</v>
      </c>
      <c r="E43" s="79"/>
      <c r="F43" s="72">
        <f>IF(C44=0,C43-$C$42,C43-C44)</f>
        <v>-24.549999999930151</v>
      </c>
      <c r="G43" s="72">
        <f>IF(D44=0,D43-$D$42,D43-D44)</f>
        <v>1.1700000000419095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24.577864024293657</v>
      </c>
      <c r="N43" s="36">
        <f>IF(F43=0,,ATAN(G43/F43))</f>
        <v>-4.7621808960796715E-2</v>
      </c>
      <c r="O43" s="36">
        <f>ABS(DEGREES(N43))</f>
        <v>2.7285286662319366</v>
      </c>
      <c r="P43" s="37" t="str">
        <f>TEXT(INT(O43),"00")</f>
        <v>02</v>
      </c>
      <c r="Q43" s="38" t="str">
        <f>TEXT((O43-P43)*60,"00")</f>
        <v>44</v>
      </c>
      <c r="R43" s="39" t="str">
        <f>IF(L43="",IF(F43&gt;0,"S","N"),"")</f>
        <v>N</v>
      </c>
      <c r="S43" s="25" t="str">
        <f>IF(L43="",IF(INT(Q43)=60,INT(P43+1),P43),"due")</f>
        <v>02</v>
      </c>
      <c r="T43" s="38" t="str">
        <f>IF(L43="",IF(INT(Q43)=60,"00",Q43),L43)</f>
        <v>44</v>
      </c>
      <c r="U43" s="40" t="str">
        <f>IF(L43="",IF(G43&gt;0,"W","E"),"")</f>
        <v>W</v>
      </c>
      <c r="V43" s="44"/>
      <c r="W43" s="22">
        <f>IF(S43="due",90*(I43+K43),S43+T43/60)</f>
        <v>2.7333333333333334</v>
      </c>
      <c r="X43" s="22">
        <f>IF(R43="",W43,IF(R43="N",IF(U43="E",180+W43,180-W43),IF(U43="E",360-W43,W43)))</f>
        <v>177.26666666666668</v>
      </c>
      <c r="Y43" s="22">
        <f>RADIANS(X43)</f>
        <v>3.0938869873686152</v>
      </c>
      <c r="Z43" s="64"/>
      <c r="AA43" s="58">
        <f>-M43*COS(Y43)</f>
        <v>24.549901800617324</v>
      </c>
      <c r="AB43" s="58">
        <f>-M43*SIN(Y43)</f>
        <v>-1.1720586916681082</v>
      </c>
      <c r="AC43" s="64"/>
      <c r="AD43" s="82">
        <f>$AA$40/$M$40*M43</f>
        <v>1.1745669637620827E-3</v>
      </c>
      <c r="AE43" s="82">
        <f>$AB$40/$M$40*M43</f>
        <v>-2.668799340359518E-4</v>
      </c>
      <c r="AF43" s="22">
        <f t="shared" si="0"/>
        <v>24.548727233653562</v>
      </c>
      <c r="AG43" s="22">
        <f t="shared" si="0"/>
        <v>-1.1717918117340722</v>
      </c>
      <c r="AH43" s="64"/>
      <c r="AI43" s="25">
        <f>A43</f>
        <v>2</v>
      </c>
      <c r="AJ43" s="82">
        <f t="shared" si="1"/>
        <v>721364.27843931911</v>
      </c>
      <c r="AK43" s="82">
        <f t="shared" si="1"/>
        <v>461575.07983788953</v>
      </c>
      <c r="AL43" s="66"/>
      <c r="AM43" s="9" t="str">
        <f>IF(A44=0,A43&amp;" - 1",A43&amp;" - "&amp;A44)</f>
        <v>2 - 3</v>
      </c>
      <c r="AN43" s="18">
        <f>AN42+F42+F43</f>
        <v>-24.289999999920838</v>
      </c>
      <c r="AO43" s="18">
        <f>AN43*G43</f>
        <v>-28.419300000925361</v>
      </c>
      <c r="AP43" s="9" t="str">
        <f>D43&amp;","&amp;C43</f>
        <v>461575.08,721364.28</v>
      </c>
    </row>
    <row r="44" spans="1:44" s="46" customFormat="1">
      <c r="A44" s="20">
        <f>A43+1</f>
        <v>3</v>
      </c>
      <c r="B44" s="44"/>
      <c r="C44" s="60">
        <v>721388.83</v>
      </c>
      <c r="D44" s="60">
        <v>461573.91</v>
      </c>
      <c r="E44" s="79"/>
      <c r="F44" s="72">
        <f>IF(C45=0,C44-$C$42,C44-C45)</f>
        <v>-2.3200000000651926</v>
      </c>
      <c r="G44" s="72">
        <f>IF(D45=0,D44-$D$42,D44-D45)</f>
        <v>-4.3200000000069849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4.9035497346680232</v>
      </c>
      <c r="N44" s="22">
        <f>IF(F44=0,,ATAN(G44/F44))</f>
        <v>1.0779599297902569</v>
      </c>
      <c r="O44" s="22">
        <f>ABS(DEGREES(N44))</f>
        <v>61.76255446120026</v>
      </c>
      <c r="P44" s="24" t="str">
        <f>TEXT(INT(O44),"00")</f>
        <v>61</v>
      </c>
      <c r="Q44" s="25" t="str">
        <f>TEXT((O44-P44)*60,"00")</f>
        <v>46</v>
      </c>
      <c r="R44" s="23" t="str">
        <f>IF(L44="",IF(F44&gt;0,"S","N"),"")</f>
        <v>N</v>
      </c>
      <c r="S44" s="25" t="str">
        <f>IF(L44="",IF(INT(Q44)=60,INT(P44+1),P44),"due")</f>
        <v>61</v>
      </c>
      <c r="T44" s="25" t="str">
        <f>IF(L44="",IF(INT(Q44)=60,"00",Q44),L44)</f>
        <v>46</v>
      </c>
      <c r="U44" s="24" t="str">
        <f>IF(L44="",IF(G44&gt;0,"W","E"),"")</f>
        <v>E</v>
      </c>
      <c r="V44" s="44"/>
      <c r="W44" s="22">
        <f>IF(S44="due",90*(I44+K44),S44+T44/60)</f>
        <v>61.766666666666666</v>
      </c>
      <c r="X44" s="22">
        <f>IF(R44="",W44,IF(R44="N",IF(U44="E",180+W44,180-W44),IF(U44="E",360-W44,W44)))</f>
        <v>241.76666666666665</v>
      </c>
      <c r="Y44" s="22">
        <f>RADIANS(X44)</f>
        <v>4.2196243549049575</v>
      </c>
      <c r="Z44" s="64"/>
      <c r="AA44" s="58">
        <f>-M44*COS(Y44)</f>
        <v>2.3196899411025229</v>
      </c>
      <c r="AB44" s="58">
        <f>-M44*SIN(Y44)</f>
        <v>4.3201664988181436</v>
      </c>
      <c r="AC44" s="64"/>
      <c r="AD44" s="82">
        <f>$AA$40/$M$40*M44</f>
        <v>2.343388147079193E-4</v>
      </c>
      <c r="AE44" s="82">
        <f>$AB$40/$M$40*M44</f>
        <v>-5.3245433713714285E-5</v>
      </c>
      <c r="AF44" s="22">
        <f>AA44-AD44</f>
        <v>2.3194556022878148</v>
      </c>
      <c r="AG44" s="22">
        <f>AB44-AE44</f>
        <v>4.3202197442518573</v>
      </c>
      <c r="AH44" s="64"/>
      <c r="AI44" s="25">
        <f>A44</f>
        <v>3</v>
      </c>
      <c r="AJ44" s="82">
        <f t="shared" si="1"/>
        <v>721388.82716655277</v>
      </c>
      <c r="AK44" s="82">
        <f t="shared" si="1"/>
        <v>461573.90804607782</v>
      </c>
      <c r="AL44" s="66"/>
      <c r="AM44" s="9" t="str">
        <f>IF(A45=0,A44&amp;" - 1",A44&amp;" - "&amp;A45)</f>
        <v>3 - 4</v>
      </c>
      <c r="AN44" s="18">
        <f>AN43+F43+F44</f>
        <v>-51.159999999916181</v>
      </c>
      <c r="AO44" s="18">
        <f>AN44*G44</f>
        <v>221.01119999999526</v>
      </c>
      <c r="AP44" s="9" t="str">
        <f>D44&amp;","&amp;C44</f>
        <v>461573.91,721388.83</v>
      </c>
    </row>
    <row r="45" spans="1:44" s="46" customFormat="1">
      <c r="A45" s="20">
        <f t="shared" ref="A45:A46" si="2">A44+1</f>
        <v>4</v>
      </c>
      <c r="B45" s="44"/>
      <c r="C45" s="60">
        <v>721391.15</v>
      </c>
      <c r="D45" s="60">
        <v>461578.23</v>
      </c>
      <c r="E45" s="79"/>
      <c r="F45" s="72">
        <f t="shared" ref="F45:F46" si="3">IF(C46=0,C45-$C$42,C45-C46)</f>
        <v>1.7700000000186265</v>
      </c>
      <c r="G45" s="72">
        <f t="shared" ref="G45:G46" si="4">IF(D46=0,D45-$D$42,D45-D46)</f>
        <v>-23.14000000001397</v>
      </c>
      <c r="H45" s="76" t="str">
        <f t="shared" ref="H45:H46" si="5">IF(G45=0,IF(F45&gt;0,"South","North"),"")</f>
        <v/>
      </c>
      <c r="I45" s="76">
        <f t="shared" ref="I45:I46" si="6">IF(H45="North",2,IF(H45="",0,0))</f>
        <v>0</v>
      </c>
      <c r="J45" s="76" t="str">
        <f t="shared" ref="J45:J46" si="7">IF(F45=0,IF(G45&gt;0,"West","East"),"")</f>
        <v/>
      </c>
      <c r="K45" s="76">
        <f t="shared" ref="K45:K46" si="8">IF(J45="West",1,IF(J45="",0,3))</f>
        <v>0</v>
      </c>
      <c r="L45" s="76" t="str">
        <f t="shared" ref="L45:L46" si="9">H45&amp;J45</f>
        <v/>
      </c>
      <c r="M45" s="22">
        <f t="shared" ref="M45:M46" si="10">SQRT(F45^2+G45^2)</f>
        <v>23.20759573934173</v>
      </c>
      <c r="N45" s="22">
        <f t="shared" ref="N45:N46" si="11">IF(F45=0,,ATAN(G45/F45))</f>
        <v>-1.4944540597419578</v>
      </c>
      <c r="O45" s="22">
        <f t="shared" ref="O45:O46" si="12">ABS(DEGREES(N45))</f>
        <v>85.625910299405973</v>
      </c>
      <c r="P45" s="24" t="str">
        <f t="shared" ref="P45:P46" si="13">TEXT(INT(O45),"00")</f>
        <v>85</v>
      </c>
      <c r="Q45" s="25" t="str">
        <f t="shared" ref="Q45:Q46" si="14">TEXT((O45-P45)*60,"00")</f>
        <v>38</v>
      </c>
      <c r="R45" s="23" t="str">
        <f t="shared" ref="R45:R46" si="15">IF(L45="",IF(F45&gt;0,"S","N"),"")</f>
        <v>S</v>
      </c>
      <c r="S45" s="25" t="str">
        <f t="shared" ref="S45:S46" si="16">IF(L45="",IF(INT(Q45)=60,INT(P45+1),P45),"due")</f>
        <v>85</v>
      </c>
      <c r="T45" s="25" t="str">
        <f t="shared" ref="T45:T46" si="17">IF(L45="",IF(INT(Q45)=60,"00",Q45),L45)</f>
        <v>38</v>
      </c>
      <c r="U45" s="24" t="str">
        <f t="shared" ref="U45:U46" si="18">IF(L45="",IF(G45&gt;0,"W","E"),"")</f>
        <v>E</v>
      </c>
      <c r="V45" s="44"/>
      <c r="W45" s="22">
        <f t="shared" ref="W45:W46" si="19">IF(S45="due",90*(I45+K45),S45+T45/60)</f>
        <v>85.63333333333334</v>
      </c>
      <c r="X45" s="22">
        <f t="shared" ref="X45:X46" si="20">IF(R45="",W45,IF(R45="N",IF(U45="E",180+W45,180-W45),IF(U45="E",360-W45,W45)))</f>
        <v>274.36666666666667</v>
      </c>
      <c r="Y45" s="22">
        <f t="shared" ref="Y45:Y46" si="21">RADIANS(X45)</f>
        <v>4.788601691055109</v>
      </c>
      <c r="Z45" s="64"/>
      <c r="AA45" s="58">
        <f t="shared" ref="AA45:AA46" si="22">-M45*COS(Y45)</f>
        <v>-1.7670020504809107</v>
      </c>
      <c r="AB45" s="58">
        <f t="shared" ref="AB45:AB46" si="23">-M45*SIN(Y45)</f>
        <v>23.140229120609604</v>
      </c>
      <c r="AC45" s="64"/>
      <c r="AD45" s="82">
        <f t="shared" ref="AD45:AD46" si="24">$AA$40/$M$40*M45</f>
        <v>1.1090823529999515E-3</v>
      </c>
      <c r="AE45" s="82">
        <f t="shared" ref="AE45:AE46" si="25">$AB$40/$M$40*M45</f>
        <v>-2.5200080909905501E-4</v>
      </c>
      <c r="AF45" s="22">
        <f t="shared" ref="AF45:AF46" si="26">AA45-AD45</f>
        <v>-1.7681111328339107</v>
      </c>
      <c r="AG45" s="22">
        <f t="shared" ref="AG45:AG46" si="27">AB45-AE45</f>
        <v>23.140481121418702</v>
      </c>
      <c r="AH45" s="64"/>
      <c r="AI45" s="25">
        <f t="shared" ref="AI45:AI46" si="28">A45</f>
        <v>4</v>
      </c>
      <c r="AJ45" s="82">
        <f t="shared" ref="AJ45:AJ46" si="29">AJ44+AF44</f>
        <v>721391.14662215509</v>
      </c>
      <c r="AK45" s="82">
        <f t="shared" ref="AK45:AK46" si="30">AK44+AG44</f>
        <v>461578.22826582205</v>
      </c>
      <c r="AL45" s="66"/>
      <c r="AM45" s="9" t="str">
        <f t="shared" ref="AM45:AM46" si="31">IF(A46=0,A45&amp;" - 1",A45&amp;" - "&amp;A46)</f>
        <v>4 - 5</v>
      </c>
      <c r="AN45" s="18">
        <f t="shared" ref="AN45:AN46" si="32">AN44+F44+F45</f>
        <v>-51.709999999962747</v>
      </c>
      <c r="AO45" s="18">
        <f t="shared" ref="AO45:AO46" si="33">AN45*G45</f>
        <v>1196.5693999998603</v>
      </c>
      <c r="AP45" s="9" t="str">
        <f t="shared" ref="AP45:AP46" si="34">D45&amp;","&amp;C45</f>
        <v>461578.23,721391.15</v>
      </c>
    </row>
    <row r="46" spans="1:44" s="46" customFormat="1">
      <c r="A46" s="20">
        <f t="shared" si="2"/>
        <v>5</v>
      </c>
      <c r="B46" s="44"/>
      <c r="C46" s="60">
        <v>721389.38</v>
      </c>
      <c r="D46" s="60">
        <v>461601.37</v>
      </c>
      <c r="E46" s="79"/>
      <c r="F46" s="72">
        <f t="shared" si="3"/>
        <v>24.96999999997206</v>
      </c>
      <c r="G46" s="72">
        <f t="shared" si="4"/>
        <v>0.47999999998137355</v>
      </c>
      <c r="H46" s="76" t="str">
        <f t="shared" si="5"/>
        <v/>
      </c>
      <c r="I46" s="76">
        <f t="shared" si="6"/>
        <v>0</v>
      </c>
      <c r="J46" s="76" t="str">
        <f t="shared" si="7"/>
        <v/>
      </c>
      <c r="K46" s="76">
        <f t="shared" si="8"/>
        <v>0</v>
      </c>
      <c r="L46" s="76" t="str">
        <f t="shared" si="9"/>
        <v/>
      </c>
      <c r="M46" s="22">
        <f t="shared" si="10"/>
        <v>24.974613110088146</v>
      </c>
      <c r="N46" s="22">
        <f t="shared" si="11"/>
        <v>1.9220700395444858E-2</v>
      </c>
      <c r="O46" s="22">
        <f t="shared" si="12"/>
        <v>1.1012650119444227</v>
      </c>
      <c r="P46" s="24" t="str">
        <f t="shared" si="13"/>
        <v>01</v>
      </c>
      <c r="Q46" s="25" t="str">
        <f t="shared" si="14"/>
        <v>06</v>
      </c>
      <c r="R46" s="23" t="str">
        <f t="shared" si="15"/>
        <v>S</v>
      </c>
      <c r="S46" s="25" t="str">
        <f t="shared" si="16"/>
        <v>01</v>
      </c>
      <c r="T46" s="25" t="str">
        <f t="shared" si="17"/>
        <v>06</v>
      </c>
      <c r="U46" s="24" t="str">
        <f t="shared" si="18"/>
        <v>W</v>
      </c>
      <c r="V46" s="44"/>
      <c r="W46" s="22">
        <f t="shared" si="19"/>
        <v>1.1000000000000001</v>
      </c>
      <c r="X46" s="22">
        <f t="shared" si="20"/>
        <v>1.1000000000000001</v>
      </c>
      <c r="Y46" s="22">
        <f t="shared" si="21"/>
        <v>1.9198621771937627E-2</v>
      </c>
      <c r="Z46" s="64"/>
      <c r="AA46" s="58">
        <f t="shared" si="22"/>
        <v>-24.970010591625332</v>
      </c>
      <c r="AB46" s="58">
        <f t="shared" si="23"/>
        <v>-0.47944869663545164</v>
      </c>
      <c r="AC46" s="64"/>
      <c r="AD46" s="82">
        <f t="shared" si="24"/>
        <v>1.1935274547395084E-3</v>
      </c>
      <c r="AE46" s="82">
        <f t="shared" si="25"/>
        <v>-2.7118805331519417E-4</v>
      </c>
      <c r="AF46" s="22">
        <f t="shared" si="26"/>
        <v>-24.97120411908007</v>
      </c>
      <c r="AG46" s="22">
        <f t="shared" si="27"/>
        <v>-0.47917750858213642</v>
      </c>
      <c r="AH46" s="64"/>
      <c r="AI46" s="25">
        <f t="shared" si="28"/>
        <v>5</v>
      </c>
      <c r="AJ46" s="82">
        <f t="shared" si="29"/>
        <v>721389.37851102231</v>
      </c>
      <c r="AK46" s="82">
        <f t="shared" si="30"/>
        <v>461601.36874694348</v>
      </c>
      <c r="AL46" s="66"/>
      <c r="AM46" s="9" t="str">
        <f t="shared" si="31"/>
        <v>5 - 1</v>
      </c>
      <c r="AN46" s="18">
        <f t="shared" si="32"/>
        <v>-24.96999999997206</v>
      </c>
      <c r="AO46" s="18">
        <f t="shared" si="33"/>
        <v>-11.985599999521487</v>
      </c>
      <c r="AP46" s="9" t="str">
        <f t="shared" si="34"/>
        <v>461601.37,721389.38</v>
      </c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40:L40"/>
    <mergeCell ref="A28:B28"/>
    <mergeCell ref="A29:B29"/>
    <mergeCell ref="B32:C32"/>
    <mergeCell ref="B33:C33"/>
    <mergeCell ref="AP38:AP39"/>
    <mergeCell ref="N39:Q39"/>
    <mergeCell ref="M38:U38"/>
    <mergeCell ref="B34:C34"/>
    <mergeCell ref="B35:C35"/>
    <mergeCell ref="AM38:AO38"/>
    <mergeCell ref="R39:U39"/>
    <mergeCell ref="V38:V39"/>
    <mergeCell ref="AA38:AA39"/>
    <mergeCell ref="AB38:AB39"/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</mergeCells>
  <phoneticPr fontId="6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6"/>
  <dimension ref="A1:AS47"/>
  <sheetViews>
    <sheetView workbookViewId="0">
      <selection activeCell="D17" sqref="D17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29" t="s">
        <v>48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  <c r="T1" s="129"/>
      <c r="U1" s="129"/>
      <c r="V1" s="129"/>
      <c r="W1" s="129"/>
      <c r="X1" s="129"/>
      <c r="Y1" s="129"/>
      <c r="Z1" s="129"/>
      <c r="AA1" s="129"/>
      <c r="AB1" s="129"/>
      <c r="AC1" s="129"/>
      <c r="AD1" s="129"/>
      <c r="AE1" s="129"/>
      <c r="AF1" s="129"/>
      <c r="AG1" s="129"/>
      <c r="AH1" s="129"/>
      <c r="AI1" s="129"/>
      <c r="AJ1" s="129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24" t="s">
        <v>82</v>
      </c>
      <c r="D7" s="125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24" t="s">
        <v>83</v>
      </c>
      <c r="D8" s="125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24" t="s">
        <v>59</v>
      </c>
      <c r="D9" s="125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24" t="s">
        <v>60</v>
      </c>
      <c r="D10" s="125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24" t="s">
        <v>84</v>
      </c>
      <c r="D11" s="125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24" t="s">
        <v>62</v>
      </c>
      <c r="D12" s="125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24" t="s">
        <v>63</v>
      </c>
      <c r="D13" s="125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24" t="s">
        <v>64</v>
      </c>
      <c r="D14" s="125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24" t="s">
        <v>65</v>
      </c>
      <c r="D15" s="125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24" t="s">
        <v>66</v>
      </c>
      <c r="D16" s="125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24" t="s">
        <v>85</v>
      </c>
      <c r="D19" s="125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4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23" t="s">
        <v>16</v>
      </c>
      <c r="B28" s="123"/>
      <c r="C28" s="33">
        <f>ABS(SUM(AO42:AO65536))</f>
        <v>1298.3166000040658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26" t="s">
        <v>17</v>
      </c>
      <c r="B29" s="126"/>
      <c r="C29" s="32">
        <f>ABS(C28/2)</f>
        <v>649.15830000203289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26">
        <f>SQRT(AA40^2+AB40^2)</f>
        <v>4.4036452283728643E-3</v>
      </c>
      <c r="C32" s="126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8">
        <f>M40/B32</f>
        <v>23151.191505018796</v>
      </c>
      <c r="C33" s="128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26" t="str">
        <f>"1 : "&amp;TEXT(B35,"00")</f>
        <v>1 : 23000</v>
      </c>
      <c r="C34" s="126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7">
        <f>ROUND(B33,2-LEN(INT(B33)))</f>
        <v>23000</v>
      </c>
      <c r="C35" s="127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6" t="s">
        <v>9</v>
      </c>
      <c r="B38" s="88"/>
      <c r="C38" s="118" t="s">
        <v>7</v>
      </c>
      <c r="D38" s="118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0" t="s">
        <v>8</v>
      </c>
      <c r="N38" s="120"/>
      <c r="O38" s="120"/>
      <c r="P38" s="120"/>
      <c r="Q38" s="120"/>
      <c r="R38" s="120"/>
      <c r="S38" s="120"/>
      <c r="T38" s="120"/>
      <c r="U38" s="120"/>
      <c r="V38" s="121"/>
      <c r="W38" s="59"/>
      <c r="X38" s="59" t="s">
        <v>33</v>
      </c>
      <c r="Y38" s="59" t="s">
        <v>34</v>
      </c>
      <c r="Z38" s="80"/>
      <c r="AA38" s="116" t="s">
        <v>30</v>
      </c>
      <c r="AB38" s="116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5"/>
      <c r="AL38" s="65"/>
      <c r="AM38" s="114" t="s">
        <v>18</v>
      </c>
      <c r="AN38" s="119"/>
      <c r="AO38" s="115"/>
      <c r="AP38" s="110" t="s">
        <v>56</v>
      </c>
    </row>
    <row r="39" spans="1:44">
      <c r="A39" s="117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9"/>
      <c r="P39" s="119"/>
      <c r="Q39" s="115"/>
      <c r="R39" s="114" t="s">
        <v>24</v>
      </c>
      <c r="S39" s="119"/>
      <c r="T39" s="119"/>
      <c r="U39" s="115"/>
      <c r="V39" s="122"/>
      <c r="W39" s="59"/>
      <c r="X39" s="59"/>
      <c r="Y39" s="59"/>
      <c r="Z39" s="81"/>
      <c r="AA39" s="117"/>
      <c r="AB39" s="117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10"/>
    </row>
    <row r="40" spans="1:44" s="11" customFormat="1">
      <c r="A40" s="111" t="s">
        <v>25</v>
      </c>
      <c r="B40" s="112"/>
      <c r="C40" s="112"/>
      <c r="D40" s="112"/>
      <c r="E40" s="112"/>
      <c r="F40" s="112"/>
      <c r="G40" s="112"/>
      <c r="H40" s="112"/>
      <c r="I40" s="112"/>
      <c r="J40" s="112"/>
      <c r="K40" s="112"/>
      <c r="L40" s="113"/>
      <c r="M40" s="51">
        <f>SUM(M42:M65536)</f>
        <v>101.94963400222241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-4.1621368405359016E-3</v>
      </c>
      <c r="AB40" s="91">
        <f>SUM(AB42:AB65536)</f>
        <v>-1.4383004616647099E-3</v>
      </c>
      <c r="AC40" s="91"/>
      <c r="AD40" s="91">
        <f>SUM(AD42:AD65536)</f>
        <v>-4.1621368405359016E-3</v>
      </c>
      <c r="AE40" s="91">
        <f>SUM(AE42:AE65536)</f>
        <v>-1.4383004616647099E-3</v>
      </c>
      <c r="AF40" s="91">
        <f>SUM(AF42:AF65536)</f>
        <v>2.3314683517128287E-15</v>
      </c>
      <c r="AG40" s="91">
        <f>SUM(AG42:AG65536)</f>
        <v>0</v>
      </c>
      <c r="AH40" s="92"/>
      <c r="AI40" s="93">
        <v>1</v>
      </c>
      <c r="AJ40" s="92">
        <f>AJ44+AF44</f>
        <v>721364.27861906751</v>
      </c>
      <c r="AK40" s="92">
        <f>AK44+AG44</f>
        <v>461575.07919349597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-135.79000000003725</v>
      </c>
      <c r="G41" s="72">
        <f>IF(D42=0,D41-$D$41,D41-D42)</f>
        <v>849.32999999995809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860.11648804097399</v>
      </c>
      <c r="N41" s="36">
        <f>IF(F41=0,,ATAN(G41/F41))</f>
        <v>-1.4122590822242074</v>
      </c>
      <c r="O41" s="36">
        <f>ABS(DEGREES(N41))</f>
        <v>80.916484990466188</v>
      </c>
      <c r="P41" s="37" t="str">
        <f>TEXT(INT(O41),"00")</f>
        <v>80</v>
      </c>
      <c r="Q41" s="38" t="str">
        <f>TEXT((O41-P41)*60,"00")</f>
        <v>55</v>
      </c>
      <c r="R41" s="39" t="str">
        <f>IF(L41="",IF(F41&gt;0,"S","N"),"")</f>
        <v>N</v>
      </c>
      <c r="S41" s="25" t="str">
        <f>IF(L41="",IF(INT(Q41)=60,INT(P41+1),P41),"due")</f>
        <v>80</v>
      </c>
      <c r="T41" s="38" t="str">
        <f>IF(L41="",IF(INT(Q41)=60,"00",Q41),L41)</f>
        <v>55</v>
      </c>
      <c r="U41" s="40" t="str">
        <f>IF(L41="",IF(G41&gt;0,"W","E"),"")</f>
        <v>W</v>
      </c>
      <c r="V41" s="41"/>
      <c r="W41" s="22">
        <f>IF(S41="due",90*(I41+K41),S41+T41/60)</f>
        <v>80.916666666666671</v>
      </c>
      <c r="X41" s="22">
        <f>IF(R41="",W41,IF(R41="N",IF(U41="E",180+W41,180-W41),IF(U41="E",360-W41,W41)))</f>
        <v>99.083333333333329</v>
      </c>
      <c r="Y41" s="22">
        <f>RADIANS(X41)</f>
        <v>1.7293304005177148</v>
      </c>
      <c r="Z41" s="64"/>
      <c r="AA41" s="58">
        <f>-M41*COS(Y41)</f>
        <v>135.78730690313225</v>
      </c>
      <c r="AB41" s="58">
        <f>-M41*SIN(Y41)</f>
        <v>-849.33043056512076</v>
      </c>
      <c r="AC41" s="64"/>
      <c r="AD41" s="22">
        <v>0</v>
      </c>
      <c r="AE41" s="22">
        <v>0</v>
      </c>
      <c r="AF41" s="22">
        <f t="shared" ref="AF41:AG43" si="0">AA41-AD41</f>
        <v>135.78730690313225</v>
      </c>
      <c r="AG41" s="22">
        <f t="shared" si="0"/>
        <v>-849.33043056512076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721364.41</v>
      </c>
      <c r="D42" s="60">
        <v>461600.89</v>
      </c>
      <c r="E42" s="79"/>
      <c r="F42" s="72">
        <f>IF(C43=0,C42-$C$42,C42-C43)</f>
        <v>25.320000000065193</v>
      </c>
      <c r="G42" s="72">
        <f>IF(D43=0,D42-$D$42,D42-D43)</f>
        <v>0.82000000000698492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25.333274561400717</v>
      </c>
      <c r="N42" s="36">
        <f>IF(F42=0,,ATAN(G42/F42))</f>
        <v>3.2374150996878848E-2</v>
      </c>
      <c r="O42" s="36">
        <f>ABS(DEGREES(N42))</f>
        <v>1.8549022174404048</v>
      </c>
      <c r="P42" s="37" t="str">
        <f>TEXT(INT(O42),"00")</f>
        <v>01</v>
      </c>
      <c r="Q42" s="38" t="str">
        <f>TEXT((O42-P42)*60,"00")</f>
        <v>51</v>
      </c>
      <c r="R42" s="39" t="str">
        <f>IF(L42="",IF(F42&gt;0,"S","N"),"")</f>
        <v>S</v>
      </c>
      <c r="S42" s="25" t="str">
        <f>IF(L42="",IF(INT(Q42)=60,INT(P42+1),P42),"due")</f>
        <v>01</v>
      </c>
      <c r="T42" s="38" t="str">
        <f>IF(L42="",IF(INT(Q42)=60,"00",Q42),L42)</f>
        <v>51</v>
      </c>
      <c r="U42" s="40" t="str">
        <f>IF(L42="",IF(G42&gt;0,"W","E"),"")</f>
        <v>W</v>
      </c>
      <c r="V42" s="44"/>
      <c r="W42" s="22">
        <f>IF(S42="due",90*(I42+K42),S42+T42/60)</f>
        <v>1.85</v>
      </c>
      <c r="X42" s="22">
        <f>IF(R42="",W42,IF(R42="N",IF(U42="E",180+W42,180-W42),IF(U42="E",360-W42,W42)))</f>
        <v>1.85</v>
      </c>
      <c r="Y42" s="22">
        <f>RADIANS(X42)</f>
        <v>3.22885911618951E-2</v>
      </c>
      <c r="Z42" s="64"/>
      <c r="AA42" s="58">
        <f>-M42*COS(Y42)</f>
        <v>-25.320070066452448</v>
      </c>
      <c r="AB42" s="58">
        <f>-M42*SIN(Y42)</f>
        <v>-0.81783362198643494</v>
      </c>
      <c r="AC42" s="64"/>
      <c r="AD42" s="82">
        <f>$AA$40/$M$40*M42</f>
        <v>-1.034241627008866E-3</v>
      </c>
      <c r="AE42" s="82">
        <f>$AB$40/$M$40*M42</f>
        <v>-3.5740060132385775E-4</v>
      </c>
      <c r="AF42" s="22">
        <f t="shared" si="0"/>
        <v>-25.319035824825438</v>
      </c>
      <c r="AG42" s="22">
        <f t="shared" si="0"/>
        <v>-0.81747622138511111</v>
      </c>
      <c r="AH42" s="63"/>
      <c r="AI42" s="38">
        <f>A42</f>
        <v>1</v>
      </c>
      <c r="AJ42" s="82">
        <f t="shared" ref="AJ42:AK44" si="1">AJ41+AF41</f>
        <v>721364.40730690316</v>
      </c>
      <c r="AK42" s="82">
        <f t="shared" si="1"/>
        <v>461600.88956943486</v>
      </c>
      <c r="AL42" s="66"/>
      <c r="AM42" s="9" t="str">
        <f>IF(A43=0,A42&amp;" - 1",A42&amp;" - "&amp;A43)</f>
        <v>1 - 2</v>
      </c>
      <c r="AN42" s="18">
        <f>F42</f>
        <v>25.320000000065193</v>
      </c>
      <c r="AO42" s="18">
        <f>AN42*G42</f>
        <v>20.762400000230315</v>
      </c>
      <c r="AP42" s="9" t="str">
        <f>D42&amp;","&amp;C42</f>
        <v>461600.89,721364.41</v>
      </c>
    </row>
    <row r="43" spans="1:44">
      <c r="A43" s="20">
        <f>A42+1</f>
        <v>2</v>
      </c>
      <c r="B43" s="44"/>
      <c r="C43" s="60">
        <v>721339.09</v>
      </c>
      <c r="D43" s="60">
        <v>461600.07</v>
      </c>
      <c r="E43" s="79"/>
      <c r="F43" s="72">
        <f>IF(C44=0,C43-$C$42,C43-C44)</f>
        <v>-0.25</v>
      </c>
      <c r="G43" s="72">
        <f>IF(D44=0,D43-$D$42,D43-D44)</f>
        <v>25.850000000034925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25.851208869254172</v>
      </c>
      <c r="N43" s="36">
        <f>IF(F43=0,,ATAN(G43/F43))</f>
        <v>-1.5611254484147414</v>
      </c>
      <c r="O43" s="36">
        <f>ABS(DEGREES(N43))</f>
        <v>89.445899484632804</v>
      </c>
      <c r="P43" s="37" t="str">
        <f>TEXT(INT(O43),"00")</f>
        <v>89</v>
      </c>
      <c r="Q43" s="38" t="str">
        <f>TEXT((O43-P43)*60,"00")</f>
        <v>27</v>
      </c>
      <c r="R43" s="39" t="str">
        <f>IF(L43="",IF(F43&gt;0,"S","N"),"")</f>
        <v>N</v>
      </c>
      <c r="S43" s="25" t="str">
        <f>IF(L43="",IF(INT(Q43)=60,INT(P43+1),P43),"due")</f>
        <v>89</v>
      </c>
      <c r="T43" s="38" t="str">
        <f>IF(L43="",IF(INT(Q43)=60,"00",Q43),L43)</f>
        <v>27</v>
      </c>
      <c r="U43" s="40" t="str">
        <f>IF(L43="",IF(G43&gt;0,"W","E"),"")</f>
        <v>W</v>
      </c>
      <c r="V43" s="44"/>
      <c r="W43" s="22">
        <f>IF(S43="due",90*(I43+K43),S43+T43/60)</f>
        <v>89.45</v>
      </c>
      <c r="X43" s="22">
        <f>IF(R43="",W43,IF(R43="N",IF(U43="E",180+W43,180-W43),IF(U43="E",360-W43,W43)))</f>
        <v>90.55</v>
      </c>
      <c r="Y43" s="22">
        <f>RADIANS(X43)</f>
        <v>1.5803956376808654</v>
      </c>
      <c r="Z43" s="64"/>
      <c r="AA43" s="58">
        <f>-M43*COS(Y43)</f>
        <v>0.24814997963661928</v>
      </c>
      <c r="AB43" s="58">
        <f>-M43*SIN(Y43)</f>
        <v>-25.850017825707816</v>
      </c>
      <c r="AC43" s="64"/>
      <c r="AD43" s="82">
        <f>$AA$40/$M$40*M43</f>
        <v>-1.055386513744284E-3</v>
      </c>
      <c r="AE43" s="82">
        <f>$AB$40/$M$40*M43</f>
        <v>-3.6470759326540195E-4</v>
      </c>
      <c r="AF43" s="22">
        <f t="shared" si="0"/>
        <v>0.24920536615036357</v>
      </c>
      <c r="AG43" s="22">
        <f t="shared" si="0"/>
        <v>-25.849653118114549</v>
      </c>
      <c r="AH43" s="64"/>
      <c r="AI43" s="25">
        <f>A43</f>
        <v>2</v>
      </c>
      <c r="AJ43" s="82">
        <f t="shared" si="1"/>
        <v>721339.0882710783</v>
      </c>
      <c r="AK43" s="82">
        <f t="shared" si="1"/>
        <v>461600.0720932135</v>
      </c>
      <c r="AL43" s="66"/>
      <c r="AM43" s="9" t="str">
        <f>IF(A44=0,A43&amp;" - 1",A43&amp;" - "&amp;A44)</f>
        <v>2 - 3</v>
      </c>
      <c r="AN43" s="18">
        <f>AN42+F42+F43</f>
        <v>50.390000000130385</v>
      </c>
      <c r="AO43" s="18">
        <f>AN43*G43</f>
        <v>1302.5815000051302</v>
      </c>
      <c r="AP43" s="9" t="str">
        <f>D43&amp;","&amp;C43</f>
        <v>461600.07,721339.09</v>
      </c>
    </row>
    <row r="44" spans="1:44" s="46" customFormat="1">
      <c r="A44" s="20">
        <f>A43+1</f>
        <v>3</v>
      </c>
      <c r="B44" s="44"/>
      <c r="C44" s="60">
        <v>721339.34</v>
      </c>
      <c r="D44" s="60">
        <v>461574.22</v>
      </c>
      <c r="E44" s="79"/>
      <c r="F44" s="72">
        <f>IF(C45=0,C44-$C$42,C44-C45)</f>
        <v>-24.940000000060536</v>
      </c>
      <c r="G44" s="72">
        <f>IF(D45=0,D44-$D$42,D44-D45)</f>
        <v>-0.86000000004423782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24.954823181162705</v>
      </c>
      <c r="N44" s="22">
        <f>IF(F44=0,,ATAN(G44/F44))</f>
        <v>3.446910100119608E-2</v>
      </c>
      <c r="O44" s="22">
        <f>ABS(DEGREES(N44))</f>
        <v>1.9749340109786957</v>
      </c>
      <c r="P44" s="24" t="str">
        <f>TEXT(INT(O44),"00")</f>
        <v>01</v>
      </c>
      <c r="Q44" s="25" t="str">
        <f>TEXT((O44-P44)*60,"00")</f>
        <v>58</v>
      </c>
      <c r="R44" s="23" t="str">
        <f>IF(L44="",IF(F44&gt;0,"S","N"),"")</f>
        <v>N</v>
      </c>
      <c r="S44" s="25" t="str">
        <f>IF(L44="",IF(INT(Q44)=60,INT(P44+1),P44),"due")</f>
        <v>01</v>
      </c>
      <c r="T44" s="25" t="str">
        <f>IF(L44="",IF(INT(Q44)=60,"00",Q44),L44)</f>
        <v>58</v>
      </c>
      <c r="U44" s="24" t="str">
        <f>IF(L44="",IF(G44&gt;0,"W","E"),"")</f>
        <v>E</v>
      </c>
      <c r="V44" s="44"/>
      <c r="W44" s="22">
        <f>IF(S44="due",90*(I44+K44),S44+T44/60)</f>
        <v>1.9666666666666668</v>
      </c>
      <c r="X44" s="22">
        <f>IF(R44="",W44,IF(R44="N",IF(U44="E",180+W44,180-W44),IF(U44="E",360-W44,W44)))</f>
        <v>181.96666666666667</v>
      </c>
      <c r="Y44" s="22">
        <f>RADIANS(X44)</f>
        <v>3.1759174622123485</v>
      </c>
      <c r="Z44" s="64"/>
      <c r="AA44" s="58">
        <f>-M44*COS(Y44)</f>
        <v>24.940123831876718</v>
      </c>
      <c r="AB44" s="58">
        <f>-M44*SIN(Y44)</f>
        <v>0.8564013391806895</v>
      </c>
      <c r="AC44" s="64"/>
      <c r="AD44" s="82">
        <f>$AA$40/$M$40*M44</f>
        <v>-1.0187911896683459E-3</v>
      </c>
      <c r="AE44" s="82">
        <f>$AB$40/$M$40*M44</f>
        <v>-3.5206142771876061E-4</v>
      </c>
      <c r="AF44" s="22">
        <f>AA44-AD44</f>
        <v>24.941142623066387</v>
      </c>
      <c r="AG44" s="22">
        <f>AB44-AE44</f>
        <v>0.85675340060840821</v>
      </c>
      <c r="AH44" s="64"/>
      <c r="AI44" s="25">
        <f>A44</f>
        <v>3</v>
      </c>
      <c r="AJ44" s="82">
        <f t="shared" si="1"/>
        <v>721339.33747644443</v>
      </c>
      <c r="AK44" s="82">
        <f t="shared" si="1"/>
        <v>461574.22244009539</v>
      </c>
      <c r="AL44" s="66"/>
      <c r="AM44" s="9" t="str">
        <f>IF(A45=0,A44&amp;" - 1",A44&amp;" - "&amp;A45)</f>
        <v>3 - 4</v>
      </c>
      <c r="AN44" s="18">
        <f>AN43+F43+F44</f>
        <v>25.200000000069849</v>
      </c>
      <c r="AO44" s="18">
        <f>AN44*G44</f>
        <v>-21.672000001174862</v>
      </c>
      <c r="AP44" s="9" t="str">
        <f>D44&amp;","&amp;C44</f>
        <v>461574.22,721339.34</v>
      </c>
    </row>
    <row r="45" spans="1:44" s="46" customFormat="1">
      <c r="A45" s="20">
        <f>A44+1</f>
        <v>4</v>
      </c>
      <c r="B45" s="44"/>
      <c r="C45" s="60">
        <v>721364.28</v>
      </c>
      <c r="D45" s="60">
        <v>461575.08</v>
      </c>
      <c r="E45" s="79"/>
      <c r="F45" s="72">
        <f>IF(C46=0,C45-$C$42,C45-C46)</f>
        <v>-0.13000000000465661</v>
      </c>
      <c r="G45" s="72">
        <f>IF(D46=0,D45-$D$42,D45-D46)</f>
        <v>-25.809999999997672</v>
      </c>
      <c r="H45" s="76" t="str">
        <f>IF(G45=0,IF(F45&gt;0,"South","North"),"")</f>
        <v/>
      </c>
      <c r="I45" s="76">
        <f>IF(H45="North",2,IF(H45="",0,0))</f>
        <v>0</v>
      </c>
      <c r="J45" s="76" t="str">
        <f>IF(F45=0,IF(G45&gt;0,"West","East"),"")</f>
        <v/>
      </c>
      <c r="K45" s="76">
        <f>IF(J45="West",1,IF(J45="",0,3))</f>
        <v>0</v>
      </c>
      <c r="L45" s="76" t="str">
        <f>H45&amp;J45</f>
        <v/>
      </c>
      <c r="M45" s="22">
        <f>SQRT(F45^2+G45^2)</f>
        <v>25.810327390404815</v>
      </c>
      <c r="N45" s="22">
        <f>IF(F45=0,,ATAN(G45/F45))</f>
        <v>1.5657595619487334</v>
      </c>
      <c r="O45" s="22">
        <f>ABS(DEGREES(N45))</f>
        <v>89.711414631914991</v>
      </c>
      <c r="P45" s="24" t="str">
        <f>TEXT(INT(O45),"00")</f>
        <v>89</v>
      </c>
      <c r="Q45" s="25" t="str">
        <f>TEXT((O45-P45)*60,"00")</f>
        <v>43</v>
      </c>
      <c r="R45" s="23" t="str">
        <f>IF(L45="",IF(F45&gt;0,"S","N"),"")</f>
        <v>N</v>
      </c>
      <c r="S45" s="25" t="str">
        <f>IF(L45="",IF(INT(Q45)=60,INT(P45+1),P45),"due")</f>
        <v>89</v>
      </c>
      <c r="T45" s="25" t="str">
        <f>IF(L45="",IF(INT(Q45)=60,"00",Q45),L45)</f>
        <v>43</v>
      </c>
      <c r="U45" s="24" t="str">
        <f>IF(L45="",IF(G45&gt;0,"W","E"),"")</f>
        <v>E</v>
      </c>
      <c r="V45" s="44"/>
      <c r="W45" s="22">
        <f>IF(S45="due",90*(I45+K45),S45+T45/60)</f>
        <v>89.716666666666669</v>
      </c>
      <c r="X45" s="22">
        <f>IF(R45="",W45,IF(R45="N",IF(U45="E",180+W45,180-W45),IF(U45="E",360-W45,W45)))</f>
        <v>269.7166666666667</v>
      </c>
      <c r="Y45" s="22">
        <f>RADIANS(X45)</f>
        <v>4.7074438808373733</v>
      </c>
      <c r="Z45" s="64"/>
      <c r="AA45" s="58">
        <f>-M45*COS(Y45)</f>
        <v>0.12763411809857528</v>
      </c>
      <c r="AB45" s="58">
        <f>-M45*SIN(Y45)</f>
        <v>25.810011808051897</v>
      </c>
      <c r="AC45" s="64"/>
      <c r="AD45" s="82">
        <f>$AA$40/$M$40*M45</f>
        <v>-1.0537175101144056E-3</v>
      </c>
      <c r="AE45" s="82">
        <f>$AB$40/$M$40*M45</f>
        <v>-3.6413083935668967E-4</v>
      </c>
      <c r="AF45" s="22">
        <f>AA45-AD45</f>
        <v>0.12868783560868968</v>
      </c>
      <c r="AG45" s="22">
        <f>AB45-AE45</f>
        <v>25.810375938891255</v>
      </c>
      <c r="AH45" s="64"/>
      <c r="AI45" s="25">
        <f>A45</f>
        <v>4</v>
      </c>
      <c r="AJ45" s="82">
        <f t="shared" ref="AJ45" si="2">AJ44+AF44</f>
        <v>721364.27861906751</v>
      </c>
      <c r="AK45" s="82">
        <f t="shared" ref="AK45" si="3">AK44+AG44</f>
        <v>461575.07919349597</v>
      </c>
      <c r="AL45" s="66"/>
      <c r="AM45" s="9" t="str">
        <f>IF(A46=0,A45&amp;" - 1",A45&amp;" - "&amp;A46)</f>
        <v>4 - 1</v>
      </c>
      <c r="AN45" s="18">
        <f>AN44+F44+F45</f>
        <v>0.13000000000465661</v>
      </c>
      <c r="AO45" s="18">
        <f>AN45*G45</f>
        <v>-3.3553000001198847</v>
      </c>
      <c r="AP45" s="9" t="str">
        <f>D45&amp;","&amp;C45</f>
        <v>461575.08,721364.28</v>
      </c>
    </row>
    <row r="46" spans="1:44" s="46" customFormat="1">
      <c r="A46" s="28"/>
      <c r="B46" s="28"/>
      <c r="F46" s="47"/>
      <c r="G46" s="47"/>
      <c r="H46" s="47"/>
      <c r="I46" s="48"/>
      <c r="J46" s="48"/>
      <c r="K46" s="48"/>
      <c r="L46" s="28"/>
      <c r="M46" s="50"/>
      <c r="N46" s="48"/>
      <c r="O46" s="49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I46" s="47"/>
      <c r="AJ46" s="47"/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40:L40"/>
    <mergeCell ref="A28:B28"/>
    <mergeCell ref="A29:B29"/>
    <mergeCell ref="B32:C32"/>
    <mergeCell ref="B33:C33"/>
    <mergeCell ref="AP38:AP39"/>
    <mergeCell ref="N39:Q39"/>
    <mergeCell ref="M38:U38"/>
    <mergeCell ref="B34:C34"/>
    <mergeCell ref="B35:C35"/>
    <mergeCell ref="AM38:AO38"/>
    <mergeCell ref="R39:U39"/>
    <mergeCell ref="V38:V39"/>
    <mergeCell ref="AA38:AA39"/>
    <mergeCell ref="AB38:AB39"/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</mergeCells>
  <phoneticPr fontId="6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7"/>
  <dimension ref="A1:AS47"/>
  <sheetViews>
    <sheetView workbookViewId="0">
      <selection activeCell="D17" sqref="D17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29" t="s">
        <v>48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  <c r="T1" s="129"/>
      <c r="U1" s="129"/>
      <c r="V1" s="129"/>
      <c r="W1" s="129"/>
      <c r="X1" s="129"/>
      <c r="Y1" s="129"/>
      <c r="Z1" s="129"/>
      <c r="AA1" s="129"/>
      <c r="AB1" s="129"/>
      <c r="AC1" s="129"/>
      <c r="AD1" s="129"/>
      <c r="AE1" s="129"/>
      <c r="AF1" s="129"/>
      <c r="AG1" s="129"/>
      <c r="AH1" s="129"/>
      <c r="AI1" s="129"/>
      <c r="AJ1" s="129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24" t="s">
        <v>86</v>
      </c>
      <c r="D7" s="125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24" t="s">
        <v>87</v>
      </c>
      <c r="D8" s="125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24" t="s">
        <v>59</v>
      </c>
      <c r="D9" s="125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24" t="s">
        <v>60</v>
      </c>
      <c r="D10" s="125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24" t="s">
        <v>61</v>
      </c>
      <c r="D11" s="125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24" t="s">
        <v>62</v>
      </c>
      <c r="D12" s="125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24" t="s">
        <v>63</v>
      </c>
      <c r="D13" s="125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24" t="s">
        <v>64</v>
      </c>
      <c r="D14" s="125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24" t="s">
        <v>65</v>
      </c>
      <c r="D15" s="125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24" t="s">
        <v>66</v>
      </c>
      <c r="D16" s="125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24" t="s">
        <v>88</v>
      </c>
      <c r="D19" s="125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4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23" t="s">
        <v>16</v>
      </c>
      <c r="B28" s="123"/>
      <c r="C28" s="33">
        <f>ABS(SUM(AO42:AO65536))</f>
        <v>1366.9274999999959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26" t="s">
        <v>17</v>
      </c>
      <c r="B29" s="126"/>
      <c r="C29" s="32">
        <f>ABS(C28/2)</f>
        <v>683.46374999999796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26">
        <f>SQRT(AA40^2+AB40^2)</f>
        <v>6.0740708613173959E-3</v>
      </c>
      <c r="C32" s="126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8">
        <f>M40/B32</f>
        <v>17229.009920640987</v>
      </c>
      <c r="C33" s="128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26" t="str">
        <f>"1 : "&amp;TEXT(B35,"00")</f>
        <v>1 : 17000</v>
      </c>
      <c r="C34" s="126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7">
        <f>ROUND(B33,2-LEN(INT(B33)))</f>
        <v>17000</v>
      </c>
      <c r="C35" s="127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6" t="s">
        <v>9</v>
      </c>
      <c r="B38" s="88"/>
      <c r="C38" s="118" t="s">
        <v>7</v>
      </c>
      <c r="D38" s="118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0" t="s">
        <v>8</v>
      </c>
      <c r="N38" s="120"/>
      <c r="O38" s="120"/>
      <c r="P38" s="120"/>
      <c r="Q38" s="120"/>
      <c r="R38" s="120"/>
      <c r="S38" s="120"/>
      <c r="T38" s="120"/>
      <c r="U38" s="120"/>
      <c r="V38" s="121"/>
      <c r="W38" s="59"/>
      <c r="X38" s="59" t="s">
        <v>33</v>
      </c>
      <c r="Y38" s="59" t="s">
        <v>34</v>
      </c>
      <c r="Z38" s="80"/>
      <c r="AA38" s="116" t="s">
        <v>30</v>
      </c>
      <c r="AB38" s="116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5"/>
      <c r="AL38" s="65"/>
      <c r="AM38" s="114" t="s">
        <v>18</v>
      </c>
      <c r="AN38" s="119"/>
      <c r="AO38" s="115"/>
      <c r="AP38" s="110" t="s">
        <v>56</v>
      </c>
    </row>
    <row r="39" spans="1:44">
      <c r="A39" s="117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9"/>
      <c r="P39" s="119"/>
      <c r="Q39" s="115"/>
      <c r="R39" s="114" t="s">
        <v>24</v>
      </c>
      <c r="S39" s="119"/>
      <c r="T39" s="119"/>
      <c r="U39" s="115"/>
      <c r="V39" s="122"/>
      <c r="W39" s="59"/>
      <c r="X39" s="59"/>
      <c r="Y39" s="59"/>
      <c r="Z39" s="81"/>
      <c r="AA39" s="117"/>
      <c r="AB39" s="117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10"/>
    </row>
    <row r="40" spans="1:44" s="11" customFormat="1">
      <c r="A40" s="111" t="s">
        <v>25</v>
      </c>
      <c r="B40" s="112"/>
      <c r="C40" s="112"/>
      <c r="D40" s="112"/>
      <c r="E40" s="112"/>
      <c r="F40" s="112"/>
      <c r="G40" s="112"/>
      <c r="H40" s="112"/>
      <c r="I40" s="112"/>
      <c r="J40" s="112"/>
      <c r="K40" s="112"/>
      <c r="L40" s="113"/>
      <c r="M40" s="51">
        <f>SUM(M42:M65536)</f>
        <v>104.65022712831376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-5.9570733417011468E-3</v>
      </c>
      <c r="AB40" s="91">
        <f>SUM(AB42:AB65536)</f>
        <v>1.1864291086696177E-3</v>
      </c>
      <c r="AC40" s="91"/>
      <c r="AD40" s="91">
        <f>SUM(AD42:AD65536)</f>
        <v>-5.9570733417011468E-3</v>
      </c>
      <c r="AE40" s="91">
        <f>SUM(AE42:AE65536)</f>
        <v>1.1864291086696177E-3</v>
      </c>
      <c r="AF40" s="91">
        <f>SUM(AF42:AF65536)</f>
        <v>0</v>
      </c>
      <c r="AG40" s="91">
        <f>SUM(AG42:AG65536)</f>
        <v>-1.1102230246251565E-15</v>
      </c>
      <c r="AH40" s="92"/>
      <c r="AI40" s="93">
        <v>1</v>
      </c>
      <c r="AJ40" s="92">
        <f>AJ44+AF44</f>
        <v>721339.08579477423</v>
      </c>
      <c r="AK40" s="92">
        <f>AK44+AG44</f>
        <v>461600.07202301855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-135.79000000003725</v>
      </c>
      <c r="G41" s="72">
        <f>IF(D42=0,D41-$D$41,D41-D42)</f>
        <v>849.32999999995809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860.11648804097399</v>
      </c>
      <c r="N41" s="36">
        <f>IF(F41=0,,ATAN(G41/F41))</f>
        <v>-1.4122590822242074</v>
      </c>
      <c r="O41" s="36">
        <f>ABS(DEGREES(N41))</f>
        <v>80.916484990466188</v>
      </c>
      <c r="P41" s="37" t="str">
        <f>TEXT(INT(O41),"00")</f>
        <v>80</v>
      </c>
      <c r="Q41" s="38" t="str">
        <f>TEXT((O41-P41)*60,"00")</f>
        <v>55</v>
      </c>
      <c r="R41" s="39" t="str">
        <f>IF(L41="",IF(F41&gt;0,"S","N"),"")</f>
        <v>N</v>
      </c>
      <c r="S41" s="25" t="str">
        <f>IF(L41="",IF(INT(Q41)=60,INT(P41+1),P41),"due")</f>
        <v>80</v>
      </c>
      <c r="T41" s="38" t="str">
        <f>IF(L41="",IF(INT(Q41)=60,"00",Q41),L41)</f>
        <v>55</v>
      </c>
      <c r="U41" s="40" t="str">
        <f>IF(L41="",IF(G41&gt;0,"W","E"),"")</f>
        <v>W</v>
      </c>
      <c r="V41" s="41"/>
      <c r="W41" s="22">
        <f>IF(S41="due",90*(I41+K41),S41+T41/60)</f>
        <v>80.916666666666671</v>
      </c>
      <c r="X41" s="22">
        <f>IF(R41="",W41,IF(R41="N",IF(U41="E",180+W41,180-W41),IF(U41="E",360-W41,W41)))</f>
        <v>99.083333333333329</v>
      </c>
      <c r="Y41" s="22">
        <f>RADIANS(X41)</f>
        <v>1.7293304005177148</v>
      </c>
      <c r="Z41" s="64"/>
      <c r="AA41" s="58">
        <f>-M41*COS(Y41)</f>
        <v>135.78730690313225</v>
      </c>
      <c r="AB41" s="58">
        <f>-M41*SIN(Y41)</f>
        <v>-849.33043056512076</v>
      </c>
      <c r="AC41" s="64"/>
      <c r="AD41" s="22">
        <v>0</v>
      </c>
      <c r="AE41" s="22">
        <v>0</v>
      </c>
      <c r="AF41" s="22">
        <f t="shared" ref="AF41:AG43" si="0">AA41-AD41</f>
        <v>135.78730690313225</v>
      </c>
      <c r="AG41" s="22">
        <f t="shared" si="0"/>
        <v>-849.33043056512076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721364.41</v>
      </c>
      <c r="D42" s="60">
        <v>461600.89</v>
      </c>
      <c r="E42" s="79"/>
      <c r="F42" s="72">
        <f>IF(C43=0,C42-$C$42,C42-C43)</f>
        <v>0.47000000008847564</v>
      </c>
      <c r="G42" s="72">
        <f>IF(D43=0,D42-$D$42,D42-D43)</f>
        <v>-27.07999999995809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27.084078348686951</v>
      </c>
      <c r="N42" s="36">
        <f>IF(F42=0,,ATAN(G42/F42))</f>
        <v>-1.5534420869168335</v>
      </c>
      <c r="O42" s="36">
        <f>ABS(DEGREES(N42))</f>
        <v>89.005675298329365</v>
      </c>
      <c r="P42" s="37" t="str">
        <f>TEXT(INT(O42),"00")</f>
        <v>89</v>
      </c>
      <c r="Q42" s="38" t="str">
        <f>TEXT((O42-P42)*60,"00")</f>
        <v>00</v>
      </c>
      <c r="R42" s="39" t="str">
        <f>IF(L42="",IF(F42&gt;0,"S","N"),"")</f>
        <v>S</v>
      </c>
      <c r="S42" s="25" t="str">
        <f>IF(L42="",IF(INT(Q42)=60,INT(P42+1),P42),"due")</f>
        <v>89</v>
      </c>
      <c r="T42" s="38" t="str">
        <f>IF(L42="",IF(INT(Q42)=60,"00",Q42),L42)</f>
        <v>00</v>
      </c>
      <c r="U42" s="40" t="str">
        <f>IF(L42="",IF(G42&gt;0,"W","E"),"")</f>
        <v>E</v>
      </c>
      <c r="V42" s="44"/>
      <c r="W42" s="22">
        <f>IF(S42="due",90*(I42+K42),S42+T42/60)</f>
        <v>89</v>
      </c>
      <c r="X42" s="22">
        <f>IF(R42="",W42,IF(R42="N",IF(U42="E",180+W42,180-W42),IF(U42="E",360-W42,W42)))</f>
        <v>271</v>
      </c>
      <c r="Y42" s="22">
        <f>RADIANS(X42)</f>
        <v>4.7298422729046328</v>
      </c>
      <c r="Z42" s="64"/>
      <c r="AA42" s="58">
        <f>-M42*COS(Y42)</f>
        <v>-0.47268234332050479</v>
      </c>
      <c r="AB42" s="58">
        <f>-M42*SIN(Y42)</f>
        <v>27.079953312369767</v>
      </c>
      <c r="AC42" s="64"/>
      <c r="AD42" s="82">
        <f>$AA$40/$M$40*M42</f>
        <v>-1.5417247104268944E-3</v>
      </c>
      <c r="AE42" s="82">
        <f>$AB$40/$M$40*M42</f>
        <v>3.0705465067907992E-4</v>
      </c>
      <c r="AF42" s="22">
        <f t="shared" si="0"/>
        <v>-0.47114061861007789</v>
      </c>
      <c r="AG42" s="22">
        <f t="shared" si="0"/>
        <v>27.079646257719087</v>
      </c>
      <c r="AH42" s="63"/>
      <c r="AI42" s="38">
        <f>A42</f>
        <v>1</v>
      </c>
      <c r="AJ42" s="82">
        <f t="shared" ref="AJ42:AK44" si="1">AJ41+AF41</f>
        <v>721364.40730690316</v>
      </c>
      <c r="AK42" s="82">
        <f t="shared" si="1"/>
        <v>461600.88956943486</v>
      </c>
      <c r="AL42" s="66"/>
      <c r="AM42" s="9" t="str">
        <f>IF(A43=0,A42&amp;" - 1",A42&amp;" - "&amp;A43)</f>
        <v>1 - 2</v>
      </c>
      <c r="AN42" s="18">
        <f>F42</f>
        <v>0.47000000008847564</v>
      </c>
      <c r="AO42" s="18">
        <f>AN42*G42</f>
        <v>-12.727600002376223</v>
      </c>
      <c r="AP42" s="9" t="str">
        <f>D42&amp;","&amp;C42</f>
        <v>461600.89,721364.41</v>
      </c>
    </row>
    <row r="43" spans="1:44">
      <c r="A43" s="20">
        <f>A42+1</f>
        <v>2</v>
      </c>
      <c r="B43" s="44"/>
      <c r="C43" s="60">
        <v>721363.94</v>
      </c>
      <c r="D43" s="60">
        <v>461627.97</v>
      </c>
      <c r="E43" s="79"/>
      <c r="F43" s="72">
        <f>IF(C44=0,C43-$C$42,C43-C44)</f>
        <v>25.089999999967404</v>
      </c>
      <c r="G43" s="72">
        <f>IF(D44=0,D43-$D$42,D43-D44)</f>
        <v>0.76999999996041879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25.101812683515575</v>
      </c>
      <c r="N43" s="36">
        <f>IF(F43=0,,ATAN(G43/F43))</f>
        <v>3.0679888237455714E-2</v>
      </c>
      <c r="O43" s="36">
        <f>ABS(DEGREES(N43))</f>
        <v>1.7578281119392705</v>
      </c>
      <c r="P43" s="37" t="str">
        <f>TEXT(INT(O43),"00")</f>
        <v>01</v>
      </c>
      <c r="Q43" s="38" t="str">
        <f>TEXT((O43-P43)*60,"00")</f>
        <v>45</v>
      </c>
      <c r="R43" s="39" t="str">
        <f>IF(L43="",IF(F43&gt;0,"S","N"),"")</f>
        <v>S</v>
      </c>
      <c r="S43" s="25" t="str">
        <f>IF(L43="",IF(INT(Q43)=60,INT(P43+1),P43),"due")</f>
        <v>01</v>
      </c>
      <c r="T43" s="38" t="str">
        <f>IF(L43="",IF(INT(Q43)=60,"00",Q43),L43)</f>
        <v>45</v>
      </c>
      <c r="U43" s="40" t="str">
        <f>IF(L43="",IF(G43&gt;0,"W","E"),"")</f>
        <v>W</v>
      </c>
      <c r="V43" s="44"/>
      <c r="W43" s="22">
        <f>IF(S43="due",90*(I43+K43),S43+T43/60)</f>
        <v>1.75</v>
      </c>
      <c r="X43" s="22">
        <f>IF(R43="",W43,IF(R43="N",IF(U43="E",180+W43,180-W43),IF(U43="E",360-W43,W43)))</f>
        <v>1.75</v>
      </c>
      <c r="Y43" s="22">
        <f>RADIANS(X43)</f>
        <v>3.0543261909900768E-2</v>
      </c>
      <c r="Z43" s="64"/>
      <c r="AA43" s="58">
        <f>-M43*COS(Y43)</f>
        <v>-25.090104968064868</v>
      </c>
      <c r="AB43" s="58">
        <f>-M43*SIN(Y43)</f>
        <v>-0.76657203822603437</v>
      </c>
      <c r="AC43" s="64"/>
      <c r="AD43" s="82">
        <f>$AA$40/$M$40*M43</f>
        <v>-1.428886905156933E-3</v>
      </c>
      <c r="AE43" s="82">
        <f>$AB$40/$M$40*M43</f>
        <v>2.8458152519420112E-4</v>
      </c>
      <c r="AF43" s="22">
        <f t="shared" si="0"/>
        <v>-25.088676081159711</v>
      </c>
      <c r="AG43" s="22">
        <f t="shared" si="0"/>
        <v>-0.76685661975122854</v>
      </c>
      <c r="AH43" s="64"/>
      <c r="AI43" s="25">
        <f>A43</f>
        <v>2</v>
      </c>
      <c r="AJ43" s="82">
        <f t="shared" si="1"/>
        <v>721363.93616628461</v>
      </c>
      <c r="AK43" s="82">
        <f t="shared" si="1"/>
        <v>461627.9692156926</v>
      </c>
      <c r="AL43" s="66"/>
      <c r="AM43" s="9" t="str">
        <f>IF(A44=0,A43&amp;" - 1",A43&amp;" - "&amp;A44)</f>
        <v>2 - 3</v>
      </c>
      <c r="AN43" s="18">
        <f>AN42+F42+F43</f>
        <v>26.030000000144355</v>
      </c>
      <c r="AO43" s="18">
        <f>AN43*G43</f>
        <v>20.043099999080855</v>
      </c>
      <c r="AP43" s="9" t="str">
        <f>D43&amp;","&amp;C43</f>
        <v>461627.97,721363.94</v>
      </c>
    </row>
    <row r="44" spans="1:44" s="46" customFormat="1">
      <c r="A44" s="20">
        <f>A43+1</f>
        <v>3</v>
      </c>
      <c r="B44" s="44"/>
      <c r="C44" s="60">
        <v>721338.85</v>
      </c>
      <c r="D44" s="60">
        <v>461627.2</v>
      </c>
      <c r="E44" s="79"/>
      <c r="F44" s="72">
        <f>IF(C45=0,C44-$C$42,C44-C45)</f>
        <v>-0.23999999999068677</v>
      </c>
      <c r="G44" s="72">
        <f>IF(D45=0,D44-$D$42,D44-D45)</f>
        <v>27.130000000004657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27.131061534710511</v>
      </c>
      <c r="N44" s="22">
        <f>IF(F44=0,,ATAN(G44/F44))</f>
        <v>-1.5619502619320547</v>
      </c>
      <c r="O44" s="22">
        <f>ABS(DEGREES(N44))</f>
        <v>89.493157818060183</v>
      </c>
      <c r="P44" s="24" t="str">
        <f>TEXT(INT(O44),"00")</f>
        <v>89</v>
      </c>
      <c r="Q44" s="25" t="str">
        <f>TEXT((O44-P44)*60,"00")</f>
        <v>30</v>
      </c>
      <c r="R44" s="23" t="str">
        <f>IF(L44="",IF(F44&gt;0,"S","N"),"")</f>
        <v>N</v>
      </c>
      <c r="S44" s="25" t="str">
        <f>IF(L44="",IF(INT(Q44)=60,INT(P44+1),P44),"due")</f>
        <v>89</v>
      </c>
      <c r="T44" s="25" t="str">
        <f>IF(L44="",IF(INT(Q44)=60,"00",Q44),L44)</f>
        <v>30</v>
      </c>
      <c r="U44" s="24" t="str">
        <f>IF(L44="",IF(G44&gt;0,"W","E"),"")</f>
        <v>W</v>
      </c>
      <c r="V44" s="44"/>
      <c r="W44" s="22">
        <f>IF(S44="due",90*(I44+K44),S44+T44/60)</f>
        <v>89.5</v>
      </c>
      <c r="X44" s="22">
        <f>IF(R44="",W44,IF(R44="N",IF(U44="E",180+W44,180-W44),IF(U44="E",360-W44,W44)))</f>
        <v>90.5</v>
      </c>
      <c r="Y44" s="22">
        <f>RADIANS(X44)</f>
        <v>1.5795229730548683</v>
      </c>
      <c r="Z44" s="64"/>
      <c r="AA44" s="58">
        <f>-M44*COS(Y44)</f>
        <v>0.23676017159122056</v>
      </c>
      <c r="AB44" s="58">
        <f>-M44*SIN(Y44)</f>
        <v>-27.130028467021489</v>
      </c>
      <c r="AC44" s="64"/>
      <c r="AD44" s="82">
        <f>$AA$40/$M$40*M44</f>
        <v>-1.544399165061627E-3</v>
      </c>
      <c r="AE44" s="82">
        <f>$AB$40/$M$40*M44</f>
        <v>3.0758730331678554E-4</v>
      </c>
      <c r="AF44" s="22">
        <f>AA44-AD44</f>
        <v>0.2383045707562822</v>
      </c>
      <c r="AG44" s="22">
        <f>AB44-AE44</f>
        <v>-27.130336054324808</v>
      </c>
      <c r="AH44" s="64"/>
      <c r="AI44" s="25">
        <f>A44</f>
        <v>3</v>
      </c>
      <c r="AJ44" s="82">
        <f t="shared" si="1"/>
        <v>721338.84749020345</v>
      </c>
      <c r="AK44" s="82">
        <f t="shared" si="1"/>
        <v>461627.20235907286</v>
      </c>
      <c r="AL44" s="66"/>
      <c r="AM44" s="9" t="str">
        <f>IF(A45=0,A44&amp;" - 1",A44&amp;" - "&amp;A45)</f>
        <v>3 - 4</v>
      </c>
      <c r="AN44" s="18">
        <f>AN43+F43+F44</f>
        <v>50.880000000121072</v>
      </c>
      <c r="AO44" s="18">
        <f>AN44*G44</f>
        <v>1380.3744000035217</v>
      </c>
      <c r="AP44" s="9" t="str">
        <f>D44&amp;","&amp;C44</f>
        <v>461627.2,721338.85</v>
      </c>
    </row>
    <row r="45" spans="1:44" s="46" customFormat="1">
      <c r="A45" s="20">
        <f>A44+1</f>
        <v>4</v>
      </c>
      <c r="B45" s="44"/>
      <c r="C45" s="60">
        <v>721339.09</v>
      </c>
      <c r="D45" s="60">
        <v>461600.07</v>
      </c>
      <c r="E45" s="79"/>
      <c r="F45" s="72">
        <f>IF(C46=0,C45-$C$42,C45-C46)</f>
        <v>-25.320000000065193</v>
      </c>
      <c r="G45" s="72">
        <f>IF(D46=0,D45-$D$42,D45-D46)</f>
        <v>-0.82000000000698492</v>
      </c>
      <c r="H45" s="76" t="str">
        <f>IF(G45=0,IF(F45&gt;0,"South","North"),"")</f>
        <v/>
      </c>
      <c r="I45" s="76">
        <f>IF(H45="North",2,IF(H45="",0,0))</f>
        <v>0</v>
      </c>
      <c r="J45" s="76" t="str">
        <f>IF(F45=0,IF(G45&gt;0,"West","East"),"")</f>
        <v/>
      </c>
      <c r="K45" s="76">
        <f>IF(J45="West",1,IF(J45="",0,3))</f>
        <v>0</v>
      </c>
      <c r="L45" s="76" t="str">
        <f>H45&amp;J45</f>
        <v/>
      </c>
      <c r="M45" s="22">
        <f>SQRT(F45^2+G45^2)</f>
        <v>25.333274561400717</v>
      </c>
      <c r="N45" s="22">
        <f>IF(F45=0,,ATAN(G45/F45))</f>
        <v>3.2374150996878848E-2</v>
      </c>
      <c r="O45" s="22">
        <f>ABS(DEGREES(N45))</f>
        <v>1.8549022174404048</v>
      </c>
      <c r="P45" s="24" t="str">
        <f>TEXT(INT(O45),"00")</f>
        <v>01</v>
      </c>
      <c r="Q45" s="25" t="str">
        <f>TEXT((O45-P45)*60,"00")</f>
        <v>51</v>
      </c>
      <c r="R45" s="23" t="str">
        <f>IF(L45="",IF(F45&gt;0,"S","N"),"")</f>
        <v>N</v>
      </c>
      <c r="S45" s="25" t="str">
        <f>IF(L45="",IF(INT(Q45)=60,INT(P45+1),P45),"due")</f>
        <v>01</v>
      </c>
      <c r="T45" s="25" t="str">
        <f>IF(L45="",IF(INT(Q45)=60,"00",Q45),L45)</f>
        <v>51</v>
      </c>
      <c r="U45" s="24" t="str">
        <f>IF(L45="",IF(G45&gt;0,"W","E"),"")</f>
        <v>E</v>
      </c>
      <c r="V45" s="44"/>
      <c r="W45" s="22">
        <f>IF(S45="due",90*(I45+K45),S45+T45/60)</f>
        <v>1.85</v>
      </c>
      <c r="X45" s="22">
        <f>IF(R45="",W45,IF(R45="N",IF(U45="E",180+W45,180-W45),IF(U45="E",360-W45,W45)))</f>
        <v>181.85</v>
      </c>
      <c r="Y45" s="22">
        <f>RADIANS(X45)</f>
        <v>3.173881244751688</v>
      </c>
      <c r="Z45" s="64"/>
      <c r="AA45" s="58">
        <f>-M45*COS(Y45)</f>
        <v>25.320070066452448</v>
      </c>
      <c r="AB45" s="58">
        <f>-M45*SIN(Y45)</f>
        <v>0.81783362198642573</v>
      </c>
      <c r="AC45" s="64"/>
      <c r="AD45" s="82">
        <f>$AA$40/$M$40*M45</f>
        <v>-1.4420625610556924E-3</v>
      </c>
      <c r="AE45" s="82">
        <f>$AB$40/$M$40*M45</f>
        <v>2.8720562947955118E-4</v>
      </c>
      <c r="AF45" s="22">
        <f>AA45-AD45</f>
        <v>25.321512129013502</v>
      </c>
      <c r="AG45" s="22">
        <f>AB45-AE45</f>
        <v>0.81754641635694614</v>
      </c>
      <c r="AH45" s="64"/>
      <c r="AI45" s="25">
        <f>A45</f>
        <v>4</v>
      </c>
      <c r="AJ45" s="82">
        <f t="shared" ref="AJ45" si="2">AJ44+AF44</f>
        <v>721339.08579477423</v>
      </c>
      <c r="AK45" s="82">
        <f t="shared" ref="AK45" si="3">AK44+AG44</f>
        <v>461600.07202301855</v>
      </c>
      <c r="AL45" s="66"/>
      <c r="AM45" s="9" t="str">
        <f>IF(A46=0,A45&amp;" - 1",A45&amp;" - "&amp;A46)</f>
        <v>4 - 1</v>
      </c>
      <c r="AN45" s="18">
        <f>AN44+F44+F45</f>
        <v>25.320000000065193</v>
      </c>
      <c r="AO45" s="18">
        <f>AN45*G45</f>
        <v>-20.762400000230315</v>
      </c>
      <c r="AP45" s="9" t="str">
        <f>D45&amp;","&amp;C45</f>
        <v>461600.07,721339.09</v>
      </c>
    </row>
    <row r="46" spans="1:44" s="46" customFormat="1">
      <c r="A46" s="28"/>
      <c r="B46" s="28"/>
      <c r="F46" s="47"/>
      <c r="G46" s="47"/>
      <c r="H46" s="47"/>
      <c r="I46" s="48"/>
      <c r="J46" s="48"/>
      <c r="K46" s="48"/>
      <c r="L46" s="28"/>
      <c r="M46" s="50"/>
      <c r="N46" s="48"/>
      <c r="O46" s="49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I46" s="47"/>
      <c r="AJ46" s="47"/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40:L40"/>
    <mergeCell ref="A28:B28"/>
    <mergeCell ref="A29:B29"/>
    <mergeCell ref="B32:C32"/>
    <mergeCell ref="B33:C33"/>
    <mergeCell ref="AP38:AP39"/>
    <mergeCell ref="N39:Q39"/>
    <mergeCell ref="M38:U38"/>
    <mergeCell ref="B34:C34"/>
    <mergeCell ref="B35:C35"/>
    <mergeCell ref="AM38:AO38"/>
    <mergeCell ref="R39:U39"/>
    <mergeCell ref="V38:V39"/>
    <mergeCell ref="AA38:AA39"/>
    <mergeCell ref="AB38:AB39"/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</mergeCells>
  <phoneticPr fontId="6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8"/>
  <dimension ref="A1:AS47"/>
  <sheetViews>
    <sheetView workbookViewId="0">
      <selection activeCell="D27" sqref="D27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29" t="s">
        <v>48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  <c r="T1" s="129"/>
      <c r="U1" s="129"/>
      <c r="V1" s="129"/>
      <c r="W1" s="129"/>
      <c r="X1" s="129"/>
      <c r="Y1" s="129"/>
      <c r="Z1" s="129"/>
      <c r="AA1" s="129"/>
      <c r="AB1" s="129"/>
      <c r="AC1" s="129"/>
      <c r="AD1" s="129"/>
      <c r="AE1" s="129"/>
      <c r="AF1" s="129"/>
      <c r="AG1" s="129"/>
      <c r="AH1" s="129"/>
      <c r="AI1" s="129"/>
      <c r="AJ1" s="129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24" t="s">
        <v>89</v>
      </c>
      <c r="D7" s="125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24" t="s">
        <v>90</v>
      </c>
      <c r="D8" s="125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24" t="s">
        <v>59</v>
      </c>
      <c r="D9" s="125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24" t="s">
        <v>60</v>
      </c>
      <c r="D10" s="125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24" t="s">
        <v>61</v>
      </c>
      <c r="D11" s="125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24" t="s">
        <v>62</v>
      </c>
      <c r="D12" s="125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24" t="s">
        <v>63</v>
      </c>
      <c r="D13" s="125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24" t="s">
        <v>64</v>
      </c>
      <c r="D14" s="125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24" t="s">
        <v>65</v>
      </c>
      <c r="D15" s="125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24" t="s">
        <v>66</v>
      </c>
      <c r="D16" s="125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24" t="s">
        <v>91</v>
      </c>
      <c r="D19" s="125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4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23" t="s">
        <v>16</v>
      </c>
      <c r="B28" s="123"/>
      <c r="C28" s="33">
        <f>ABS(SUM(AO42:AO65536))</f>
        <v>1343.7880999971258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26" t="s">
        <v>17</v>
      </c>
      <c r="B29" s="126"/>
      <c r="C29" s="32">
        <f>ABS(C28/2)</f>
        <v>671.89404999856288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26">
        <f>SQRT(AA40^2+AB40^2)</f>
        <v>1.5561176819270052E-3</v>
      </c>
      <c r="C32" s="126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8">
        <f>M40/B32</f>
        <v>66694.93641277797</v>
      </c>
      <c r="C33" s="128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26" t="str">
        <f>"1 : "&amp;TEXT(B35,"00")</f>
        <v>1 : 67000</v>
      </c>
      <c r="C34" s="126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7">
        <f>ROUND(B33,2-LEN(INT(B33)))</f>
        <v>67000</v>
      </c>
      <c r="C35" s="127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6" t="s">
        <v>9</v>
      </c>
      <c r="B38" s="88"/>
      <c r="C38" s="118" t="s">
        <v>7</v>
      </c>
      <c r="D38" s="118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0" t="s">
        <v>8</v>
      </c>
      <c r="N38" s="120"/>
      <c r="O38" s="120"/>
      <c r="P38" s="120"/>
      <c r="Q38" s="120"/>
      <c r="R38" s="120"/>
      <c r="S38" s="120"/>
      <c r="T38" s="120"/>
      <c r="U38" s="120"/>
      <c r="V38" s="121"/>
      <c r="W38" s="59"/>
      <c r="X38" s="59" t="s">
        <v>33</v>
      </c>
      <c r="Y38" s="59" t="s">
        <v>34</v>
      </c>
      <c r="Z38" s="80"/>
      <c r="AA38" s="116" t="s">
        <v>30</v>
      </c>
      <c r="AB38" s="116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5"/>
      <c r="AL38" s="65"/>
      <c r="AM38" s="114" t="s">
        <v>18</v>
      </c>
      <c r="AN38" s="119"/>
      <c r="AO38" s="115"/>
      <c r="AP38" s="110" t="s">
        <v>56</v>
      </c>
    </row>
    <row r="39" spans="1:44">
      <c r="A39" s="117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9"/>
      <c r="P39" s="119"/>
      <c r="Q39" s="115"/>
      <c r="R39" s="114" t="s">
        <v>24</v>
      </c>
      <c r="S39" s="119"/>
      <c r="T39" s="119"/>
      <c r="U39" s="115"/>
      <c r="V39" s="122"/>
      <c r="W39" s="59"/>
      <c r="X39" s="59"/>
      <c r="Y39" s="59"/>
      <c r="Z39" s="81"/>
      <c r="AA39" s="117"/>
      <c r="AB39" s="117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10"/>
    </row>
    <row r="40" spans="1:44" s="11" customFormat="1">
      <c r="A40" s="111" t="s">
        <v>25</v>
      </c>
      <c r="B40" s="112"/>
      <c r="C40" s="112"/>
      <c r="D40" s="112"/>
      <c r="E40" s="112"/>
      <c r="F40" s="112"/>
      <c r="G40" s="112"/>
      <c r="H40" s="112"/>
      <c r="I40" s="112"/>
      <c r="J40" s="112"/>
      <c r="K40" s="112"/>
      <c r="L40" s="113"/>
      <c r="M40" s="51">
        <f>SUM(M42:M65536)</f>
        <v>103.78516984692106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-8.4590701588616035E-5</v>
      </c>
      <c r="AB40" s="91">
        <f>SUM(AB42:AB65536)</f>
        <v>-1.5538168016888676E-3</v>
      </c>
      <c r="AC40" s="91"/>
      <c r="AD40" s="91">
        <f>SUM(AD42:AD65536)</f>
        <v>-8.4590701588616035E-5</v>
      </c>
      <c r="AE40" s="91">
        <f>SUM(AE42:AE65536)</f>
        <v>-1.5538168016888676E-3</v>
      </c>
      <c r="AF40" s="91">
        <f>SUM(AF42:AF65536)</f>
        <v>-6.0507154842071031E-15</v>
      </c>
      <c r="AG40" s="91">
        <f>SUM(AG42:AG65536)</f>
        <v>0</v>
      </c>
      <c r="AH40" s="92"/>
      <c r="AI40" s="93">
        <v>1</v>
      </c>
      <c r="AJ40" s="92">
        <f>AJ44+AF44</f>
        <v>721313.80239641352</v>
      </c>
      <c r="AK40" s="92">
        <f>AK44+AG44</f>
        <v>461626.4194864856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-85.770000000018626</v>
      </c>
      <c r="G41" s="72">
        <f>IF(D42=0,D41-$D$41,D41-D42)</f>
        <v>850.76999999996042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855.08250233526348</v>
      </c>
      <c r="N41" s="36">
        <f>IF(F41=0,,ATAN(G41/F41))</f>
        <v>-1.4703212482036865</v>
      </c>
      <c r="O41" s="36">
        <f>ABS(DEGREES(N41))</f>
        <v>84.243202050478402</v>
      </c>
      <c r="P41" s="37" t="str">
        <f>TEXT(INT(O41),"00")</f>
        <v>84</v>
      </c>
      <c r="Q41" s="38" t="str">
        <f>TEXT((O41-P41)*60,"00")</f>
        <v>15</v>
      </c>
      <c r="R41" s="39" t="str">
        <f>IF(L41="",IF(F41&gt;0,"S","N"),"")</f>
        <v>N</v>
      </c>
      <c r="S41" s="25" t="str">
        <f>IF(L41="",IF(INT(Q41)=60,INT(P41+1),P41),"due")</f>
        <v>84</v>
      </c>
      <c r="T41" s="38" t="str">
        <f>IF(L41="",IF(INT(Q41)=60,"00",Q41),L41)</f>
        <v>15</v>
      </c>
      <c r="U41" s="40" t="str">
        <f>IF(L41="",IF(G41&gt;0,"W","E"),"")</f>
        <v>W</v>
      </c>
      <c r="V41" s="41"/>
      <c r="W41" s="22">
        <f>IF(S41="due",90*(I41+K41),S41+T41/60)</f>
        <v>84.25</v>
      </c>
      <c r="X41" s="22">
        <f>IF(R41="",W41,IF(R41="N",IF(U41="E",180+W41,180-W41),IF(U41="E",360-W41,W41)))</f>
        <v>95.75</v>
      </c>
      <c r="Y41" s="22">
        <f>RADIANS(X41)</f>
        <v>1.6711527587845705</v>
      </c>
      <c r="Z41" s="64"/>
      <c r="AA41" s="58">
        <f>-M41*COS(Y41)</f>
        <v>85.66905842737367</v>
      </c>
      <c r="AB41" s="58">
        <f>-M41*SIN(Y41)</f>
        <v>-850.78017033079891</v>
      </c>
      <c r="AC41" s="64"/>
      <c r="AD41" s="22">
        <v>0</v>
      </c>
      <c r="AE41" s="22">
        <v>0</v>
      </c>
      <c r="AF41" s="22">
        <f t="shared" ref="AF41:AG43" si="0">AA41-AD41</f>
        <v>85.66905842737367</v>
      </c>
      <c r="AG41" s="22">
        <f t="shared" si="0"/>
        <v>-850.78017033079891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721314.39</v>
      </c>
      <c r="D42" s="60">
        <v>461599.45</v>
      </c>
      <c r="E42" s="79"/>
      <c r="F42" s="72">
        <f>IF(C43=0,C42-$C$42,C42-C43)</f>
        <v>-24.699999999953434</v>
      </c>
      <c r="G42" s="72">
        <f>IF(D43=0,D42-$D$42,D42-D43)</f>
        <v>-0.61999999999534339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24.707780151152669</v>
      </c>
      <c r="N42" s="36">
        <f>IF(F42=0,,ATAN(G42/F42))</f>
        <v>2.509594471794652E-2</v>
      </c>
      <c r="O42" s="36">
        <f>ABS(DEGREES(N42))</f>
        <v>1.4378917152319668</v>
      </c>
      <c r="P42" s="37" t="str">
        <f>TEXT(INT(O42),"00")</f>
        <v>01</v>
      </c>
      <c r="Q42" s="38" t="str">
        <f>TEXT((O42-P42)*60,"00")</f>
        <v>26</v>
      </c>
      <c r="R42" s="39" t="str">
        <f>IF(L42="",IF(F42&gt;0,"S","N"),"")</f>
        <v>N</v>
      </c>
      <c r="S42" s="25" t="str">
        <f>IF(L42="",IF(INT(Q42)=60,INT(P42+1),P42),"due")</f>
        <v>01</v>
      </c>
      <c r="T42" s="38" t="str">
        <f>IF(L42="",IF(INT(Q42)=60,"00",Q42),L42)</f>
        <v>26</v>
      </c>
      <c r="U42" s="40" t="str">
        <f>IF(L42="",IF(G42&gt;0,"W","E"),"")</f>
        <v>E</v>
      </c>
      <c r="V42" s="44"/>
      <c r="W42" s="22">
        <f>IF(S42="due",90*(I42+K42),S42+T42/60)</f>
        <v>1.4333333333333333</v>
      </c>
      <c r="X42" s="22">
        <f>IF(R42="",W42,IF(R42="N",IF(U42="E",180+W42,180-W42),IF(U42="E",360-W42,W42)))</f>
        <v>181.43333333333334</v>
      </c>
      <c r="Y42" s="22">
        <f>RADIANS(X42)</f>
        <v>3.1666090395350452</v>
      </c>
      <c r="Z42" s="64"/>
      <c r="AA42" s="58">
        <f>-M42*COS(Y42)</f>
        <v>24.700049248221912</v>
      </c>
      <c r="AB42" s="58">
        <f>-M42*SIN(Y42)</f>
        <v>0.61803489634969022</v>
      </c>
      <c r="AC42" s="64"/>
      <c r="AD42" s="82">
        <f>$AA$40/$M$40*M42</f>
        <v>-2.0138218791432562E-5</v>
      </c>
      <c r="AE42" s="82">
        <f>$AB$40/$M$40*M42</f>
        <v>-3.6991184759750781E-4</v>
      </c>
      <c r="AF42" s="22">
        <f t="shared" si="0"/>
        <v>24.700069386440703</v>
      </c>
      <c r="AG42" s="22">
        <f t="shared" si="0"/>
        <v>0.61840480819728771</v>
      </c>
      <c r="AH42" s="63"/>
      <c r="AI42" s="38">
        <f>A42</f>
        <v>1</v>
      </c>
      <c r="AJ42" s="82">
        <f t="shared" ref="AJ42:AK44" si="1">AJ41+AF41</f>
        <v>721314.28905842733</v>
      </c>
      <c r="AK42" s="82">
        <f t="shared" si="1"/>
        <v>461599.43982966919</v>
      </c>
      <c r="AL42" s="66"/>
      <c r="AM42" s="9" t="str">
        <f>IF(A43=0,A42&amp;" - 1",A42&amp;" - "&amp;A43)</f>
        <v>1 - 2</v>
      </c>
      <c r="AN42" s="18">
        <f>F42</f>
        <v>-24.699999999953434</v>
      </c>
      <c r="AO42" s="18">
        <f>AN42*G42</f>
        <v>15.31399999985611</v>
      </c>
      <c r="AP42" s="9" t="str">
        <f>D42&amp;","&amp;C42</f>
        <v>461599.45,721314.39</v>
      </c>
    </row>
    <row r="43" spans="1:44">
      <c r="A43" s="20">
        <f>A42+1</f>
        <v>2</v>
      </c>
      <c r="B43" s="44"/>
      <c r="C43" s="60">
        <v>721339.09</v>
      </c>
      <c r="D43" s="60">
        <v>461600.07</v>
      </c>
      <c r="E43" s="79"/>
      <c r="F43" s="72">
        <f>IF(C44=0,C43-$C$42,C43-C44)</f>
        <v>0.23999999999068677</v>
      </c>
      <c r="G43" s="72">
        <f>IF(D44=0,D43-$D$42,D43-D44)</f>
        <v>-27.130000000004657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27.131061534710511</v>
      </c>
      <c r="N43" s="36">
        <f>IF(F43=0,,ATAN(G43/F43))</f>
        <v>-1.5619502619320547</v>
      </c>
      <c r="O43" s="36">
        <f>ABS(DEGREES(N43))</f>
        <v>89.493157818060183</v>
      </c>
      <c r="P43" s="37" t="str">
        <f>TEXT(INT(O43),"00")</f>
        <v>89</v>
      </c>
      <c r="Q43" s="38" t="str">
        <f>TEXT((O43-P43)*60,"00")</f>
        <v>30</v>
      </c>
      <c r="R43" s="39" t="str">
        <f>IF(L43="",IF(F43&gt;0,"S","N"),"")</f>
        <v>S</v>
      </c>
      <c r="S43" s="25" t="str">
        <f>IF(L43="",IF(INT(Q43)=60,INT(P43+1),P43),"due")</f>
        <v>89</v>
      </c>
      <c r="T43" s="38" t="str">
        <f>IF(L43="",IF(INT(Q43)=60,"00",Q43),L43)</f>
        <v>30</v>
      </c>
      <c r="U43" s="40" t="str">
        <f>IF(L43="",IF(G43&gt;0,"W","E"),"")</f>
        <v>E</v>
      </c>
      <c r="V43" s="44"/>
      <c r="W43" s="22">
        <f>IF(S43="due",90*(I43+K43),S43+T43/60)</f>
        <v>89.5</v>
      </c>
      <c r="X43" s="22">
        <f>IF(R43="",W43,IF(R43="N",IF(U43="E",180+W43,180-W43),IF(U43="E",360-W43,W43)))</f>
        <v>270.5</v>
      </c>
      <c r="Y43" s="22">
        <f>RADIANS(X43)</f>
        <v>4.7211156266446617</v>
      </c>
      <c r="Z43" s="64"/>
      <c r="AA43" s="58">
        <f>-M43*COS(Y43)</f>
        <v>-0.23676017159122326</v>
      </c>
      <c r="AB43" s="58">
        <f>-M43*SIN(Y43)</f>
        <v>27.130028467021489</v>
      </c>
      <c r="AC43" s="64"/>
      <c r="AD43" s="82">
        <f>$AA$40/$M$40*M43</f>
        <v>-2.2113328266939879E-5</v>
      </c>
      <c r="AE43" s="82">
        <f>$AB$40/$M$40*M43</f>
        <v>-4.0619193785072739E-4</v>
      </c>
      <c r="AF43" s="22">
        <f t="shared" si="0"/>
        <v>-0.23673805826295632</v>
      </c>
      <c r="AG43" s="22">
        <f t="shared" si="0"/>
        <v>27.130434658959341</v>
      </c>
      <c r="AH43" s="64"/>
      <c r="AI43" s="25">
        <f>A43</f>
        <v>2</v>
      </c>
      <c r="AJ43" s="82">
        <f t="shared" si="1"/>
        <v>721338.98912781372</v>
      </c>
      <c r="AK43" s="82">
        <f t="shared" si="1"/>
        <v>461600.05823447742</v>
      </c>
      <c r="AL43" s="66"/>
      <c r="AM43" s="9" t="str">
        <f>IF(A44=0,A43&amp;" - 1",A43&amp;" - "&amp;A44)</f>
        <v>2 - 3</v>
      </c>
      <c r="AN43" s="18">
        <f>AN42+F42+F43</f>
        <v>-49.159999999916181</v>
      </c>
      <c r="AO43" s="18">
        <f>AN43*G43</f>
        <v>1333.7107999979548</v>
      </c>
      <c r="AP43" s="9" t="str">
        <f>D43&amp;","&amp;C43</f>
        <v>461600.07,721339.09</v>
      </c>
    </row>
    <row r="44" spans="1:44" s="46" customFormat="1">
      <c r="A44" s="20">
        <f>A43+1</f>
        <v>3</v>
      </c>
      <c r="B44" s="44"/>
      <c r="C44" s="60">
        <v>721338.85</v>
      </c>
      <c r="D44" s="60">
        <v>461627.2</v>
      </c>
      <c r="E44" s="79"/>
      <c r="F44" s="72">
        <f>IF(C45=0,C44-$C$42,C44-C45)</f>
        <v>24.949999999953434</v>
      </c>
      <c r="G44" s="72">
        <f>IF(D45=0,D44-$D$42,D44-D45)</f>
        <v>0.77000000001862645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24.961878935643146</v>
      </c>
      <c r="N44" s="22">
        <f>IF(F44=0,,ATAN(G44/F44))</f>
        <v>3.0851931001736714E-2</v>
      </c>
      <c r="O44" s="22">
        <f>ABS(DEGREES(N44))</f>
        <v>1.7676854362283358</v>
      </c>
      <c r="P44" s="24" t="str">
        <f>TEXT(INT(O44),"00")</f>
        <v>01</v>
      </c>
      <c r="Q44" s="25" t="str">
        <f>TEXT((O44-P44)*60,"00")</f>
        <v>46</v>
      </c>
      <c r="R44" s="23" t="str">
        <f>IF(L44="",IF(F44&gt;0,"S","N"),"")</f>
        <v>S</v>
      </c>
      <c r="S44" s="25" t="str">
        <f>IF(L44="",IF(INT(Q44)=60,INT(P44+1),P44),"due")</f>
        <v>01</v>
      </c>
      <c r="T44" s="25" t="str">
        <f>IF(L44="",IF(INT(Q44)=60,"00",Q44),L44)</f>
        <v>46</v>
      </c>
      <c r="U44" s="24" t="str">
        <f>IF(L44="",IF(G44&gt;0,"W","E"),"")</f>
        <v>W</v>
      </c>
      <c r="V44" s="44"/>
      <c r="W44" s="22">
        <f>IF(S44="due",90*(I44+K44),S44+T44/60)</f>
        <v>1.7666666666666666</v>
      </c>
      <c r="X44" s="22">
        <f>IF(R44="",W44,IF(R44="N",IF(U44="E",180+W44,180-W44),IF(U44="E",360-W44,W44)))</f>
        <v>1.7666666666666666</v>
      </c>
      <c r="Y44" s="22">
        <f>RADIANS(X44)</f>
        <v>3.0834150118566488E-2</v>
      </c>
      <c r="Z44" s="64"/>
      <c r="AA44" s="58">
        <f>-M44*COS(Y44)</f>
        <v>-24.950013687289381</v>
      </c>
      <c r="AB44" s="58">
        <f>-M44*SIN(Y44)</f>
        <v>-0.76955636686183193</v>
      </c>
      <c r="AC44" s="64"/>
      <c r="AD44" s="82">
        <f>$AA$40/$M$40*M44</f>
        <v>-2.0345323472039311E-5</v>
      </c>
      <c r="AE44" s="82">
        <f>$AB$40/$M$40*M44</f>
        <v>-3.7371608052608874E-4</v>
      </c>
      <c r="AF44" s="22">
        <f>AA44-AD44</f>
        <v>-24.949993341965911</v>
      </c>
      <c r="AG44" s="22">
        <f>AB44-AE44</f>
        <v>-0.76918265078130588</v>
      </c>
      <c r="AH44" s="64"/>
      <c r="AI44" s="25">
        <f>A44</f>
        <v>3</v>
      </c>
      <c r="AJ44" s="82">
        <f t="shared" si="1"/>
        <v>721338.75238975545</v>
      </c>
      <c r="AK44" s="82">
        <f t="shared" si="1"/>
        <v>461627.18866913638</v>
      </c>
      <c r="AL44" s="66"/>
      <c r="AM44" s="9" t="str">
        <f>IF(A45=0,A44&amp;" - 1",A44&amp;" - "&amp;A45)</f>
        <v>3 - 4</v>
      </c>
      <c r="AN44" s="18">
        <f>AN43+F43+F44</f>
        <v>-23.96999999997206</v>
      </c>
      <c r="AO44" s="18">
        <f>AN44*G44</f>
        <v>-18.456900000424962</v>
      </c>
      <c r="AP44" s="9" t="str">
        <f>D44&amp;","&amp;C44</f>
        <v>461627.2,721338.85</v>
      </c>
    </row>
    <row r="45" spans="1:44" s="46" customFormat="1">
      <c r="A45" s="20">
        <f>A44+1</f>
        <v>4</v>
      </c>
      <c r="B45" s="44"/>
      <c r="C45" s="60">
        <v>721313.9</v>
      </c>
      <c r="D45" s="60">
        <v>461626.43</v>
      </c>
      <c r="E45" s="79"/>
      <c r="F45" s="72">
        <f>IF(C46=0,C45-$C$42,C45-C46)</f>
        <v>-0.48999999999068677</v>
      </c>
      <c r="G45" s="72">
        <f>IF(D46=0,D45-$D$42,D45-D46)</f>
        <v>26.979999999981374</v>
      </c>
      <c r="H45" s="76" t="str">
        <f>IF(G45=0,IF(F45&gt;0,"South","North"),"")</f>
        <v/>
      </c>
      <c r="I45" s="76">
        <f>IF(H45="North",2,IF(H45="",0,0))</f>
        <v>0</v>
      </c>
      <c r="J45" s="76" t="str">
        <f>IF(F45=0,IF(G45&gt;0,"West","East"),"")</f>
        <v/>
      </c>
      <c r="K45" s="76">
        <f>IF(J45="West",1,IF(J45="",0,3))</f>
        <v>0</v>
      </c>
      <c r="L45" s="76" t="str">
        <f>H45&amp;J45</f>
        <v/>
      </c>
      <c r="M45" s="22">
        <f>SQRT(F45^2+G45^2)</f>
        <v>26.984449225414732</v>
      </c>
      <c r="N45" s="22">
        <f>IF(F45=0,,ATAN(G45/F45))</f>
        <v>-1.5526367220443333</v>
      </c>
      <c r="O45" s="22">
        <f>ABS(DEGREES(N45))</f>
        <v>88.959531290167007</v>
      </c>
      <c r="P45" s="24" t="str">
        <f>TEXT(INT(O45),"00")</f>
        <v>88</v>
      </c>
      <c r="Q45" s="25" t="str">
        <f>TEXT((O45-P45)*60,"00")</f>
        <v>58</v>
      </c>
      <c r="R45" s="23" t="str">
        <f>IF(L45="",IF(F45&gt;0,"S","N"),"")</f>
        <v>N</v>
      </c>
      <c r="S45" s="25" t="str">
        <f>IF(L45="",IF(INT(Q45)=60,INT(P45+1),P45),"due")</f>
        <v>88</v>
      </c>
      <c r="T45" s="25" t="str">
        <f>IF(L45="",IF(INT(Q45)=60,"00",Q45),L45)</f>
        <v>58</v>
      </c>
      <c r="U45" s="24" t="str">
        <f>IF(L45="",IF(G45&gt;0,"W","E"),"")</f>
        <v>W</v>
      </c>
      <c r="V45" s="44"/>
      <c r="W45" s="22">
        <f>IF(S45="due",90*(I45+K45),S45+T45/60)</f>
        <v>88.966666666666669</v>
      </c>
      <c r="X45" s="22">
        <f>IF(R45="",W45,IF(R45="N",IF(U45="E",180+W45,180-W45),IF(U45="E",360-W45,W45)))</f>
        <v>91.033333333333331</v>
      </c>
      <c r="Y45" s="22">
        <f>RADIANS(X45)</f>
        <v>1.5888313957321714</v>
      </c>
      <c r="Z45" s="64"/>
      <c r="AA45" s="58">
        <f>-M45*COS(Y45)</f>
        <v>0.48664001995710182</v>
      </c>
      <c r="AB45" s="58">
        <f>-M45*SIN(Y45)</f>
        <v>-26.980060813311038</v>
      </c>
      <c r="AC45" s="64"/>
      <c r="AD45" s="82">
        <f>$AA$40/$M$40*M45</f>
        <v>-2.199383105820428E-5</v>
      </c>
      <c r="AE45" s="82">
        <f>$AB$40/$M$40*M45</f>
        <v>-4.0399693571454361E-4</v>
      </c>
      <c r="AF45" s="22">
        <f>AA45-AD45</f>
        <v>0.48666201378816004</v>
      </c>
      <c r="AG45" s="22">
        <f>AB45-AE45</f>
        <v>-26.979656816375325</v>
      </c>
      <c r="AH45" s="64"/>
      <c r="AI45" s="25">
        <f>A45</f>
        <v>4</v>
      </c>
      <c r="AJ45" s="82">
        <f t="shared" ref="AJ45" si="2">AJ44+AF44</f>
        <v>721313.80239641352</v>
      </c>
      <c r="AK45" s="82">
        <f t="shared" ref="AK45" si="3">AK44+AG44</f>
        <v>461626.4194864856</v>
      </c>
      <c r="AL45" s="66"/>
      <c r="AM45" s="9" t="str">
        <f>IF(A46=0,A45&amp;" - 1",A45&amp;" - "&amp;A46)</f>
        <v>4 - 1</v>
      </c>
      <c r="AN45" s="18">
        <f>AN44+F44+F45</f>
        <v>0.48999999999068677</v>
      </c>
      <c r="AO45" s="18">
        <f>AN45*G45</f>
        <v>13.220199999739602</v>
      </c>
      <c r="AP45" s="9" t="str">
        <f>D45&amp;","&amp;C45</f>
        <v>461626.43,721313.9</v>
      </c>
    </row>
    <row r="46" spans="1:44" s="46" customFormat="1">
      <c r="A46" s="28"/>
      <c r="B46" s="28"/>
      <c r="F46" s="47"/>
      <c r="G46" s="47"/>
      <c r="H46" s="47"/>
      <c r="I46" s="48"/>
      <c r="J46" s="48"/>
      <c r="K46" s="48"/>
      <c r="L46" s="28"/>
      <c r="M46" s="50"/>
      <c r="N46" s="48"/>
      <c r="O46" s="49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I46" s="47"/>
      <c r="AJ46" s="47"/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40:L40"/>
    <mergeCell ref="A28:B28"/>
    <mergeCell ref="A29:B29"/>
    <mergeCell ref="B32:C32"/>
    <mergeCell ref="B33:C33"/>
    <mergeCell ref="AP38:AP39"/>
    <mergeCell ref="N39:Q39"/>
    <mergeCell ref="M38:U38"/>
    <mergeCell ref="B34:C34"/>
    <mergeCell ref="B35:C35"/>
    <mergeCell ref="AM38:AO38"/>
    <mergeCell ref="R39:U39"/>
    <mergeCell ref="V38:V39"/>
    <mergeCell ref="AA38:AA39"/>
    <mergeCell ref="AB38:AB39"/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</mergeCells>
  <phoneticPr fontId="6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9"/>
  <dimension ref="A1:AS47"/>
  <sheetViews>
    <sheetView workbookViewId="0">
      <selection activeCell="D17" sqref="D17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29" t="s">
        <v>48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  <c r="T1" s="129"/>
      <c r="U1" s="129"/>
      <c r="V1" s="129"/>
      <c r="W1" s="129"/>
      <c r="X1" s="129"/>
      <c r="Y1" s="129"/>
      <c r="Z1" s="129"/>
      <c r="AA1" s="129"/>
      <c r="AB1" s="129"/>
      <c r="AC1" s="129"/>
      <c r="AD1" s="129"/>
      <c r="AE1" s="129"/>
      <c r="AF1" s="129"/>
      <c r="AG1" s="129"/>
      <c r="AH1" s="129"/>
      <c r="AI1" s="129"/>
      <c r="AJ1" s="129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24" t="s">
        <v>92</v>
      </c>
      <c r="D7" s="125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24" t="s">
        <v>93</v>
      </c>
      <c r="D8" s="125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24" t="s">
        <v>59</v>
      </c>
      <c r="D9" s="125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24" t="s">
        <v>60</v>
      </c>
      <c r="D10" s="125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24" t="s">
        <v>61</v>
      </c>
      <c r="D11" s="125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24" t="s">
        <v>62</v>
      </c>
      <c r="D12" s="125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24" t="s">
        <v>94</v>
      </c>
      <c r="D13" s="125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24" t="s">
        <v>64</v>
      </c>
      <c r="D14" s="125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24" t="s">
        <v>65</v>
      </c>
      <c r="D15" s="125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24" t="s">
        <v>66</v>
      </c>
      <c r="D16" s="125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24" t="s">
        <v>95</v>
      </c>
      <c r="D19" s="125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4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23" t="s">
        <v>16</v>
      </c>
      <c r="B28" s="123"/>
      <c r="C28" s="33">
        <f>ABS(SUM(AO42:AO65536))</f>
        <v>1285.8221999985024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26" t="s">
        <v>17</v>
      </c>
      <c r="B29" s="126"/>
      <c r="C29" s="32">
        <f>ABS(C28/2)</f>
        <v>642.91109999925118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26">
        <f>SQRT(AA40^2+AB40^2)</f>
        <v>5.7000546934515978E-3</v>
      </c>
      <c r="C32" s="126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8">
        <f>M40/B32</f>
        <v>17800.312042240221</v>
      </c>
      <c r="C33" s="128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26" t="str">
        <f>"1 : "&amp;TEXT(B35,"00")</f>
        <v>1 : 18000</v>
      </c>
      <c r="C34" s="126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7">
        <f>ROUND(B33,2-LEN(INT(B33)))</f>
        <v>18000</v>
      </c>
      <c r="C35" s="127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6" t="s">
        <v>9</v>
      </c>
      <c r="B38" s="88"/>
      <c r="C38" s="118" t="s">
        <v>7</v>
      </c>
      <c r="D38" s="118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0" t="s">
        <v>8</v>
      </c>
      <c r="N38" s="120"/>
      <c r="O38" s="120"/>
      <c r="P38" s="120"/>
      <c r="Q38" s="120"/>
      <c r="R38" s="120"/>
      <c r="S38" s="120"/>
      <c r="T38" s="120"/>
      <c r="U38" s="120"/>
      <c r="V38" s="121"/>
      <c r="W38" s="59"/>
      <c r="X38" s="59" t="s">
        <v>33</v>
      </c>
      <c r="Y38" s="59" t="s">
        <v>34</v>
      </c>
      <c r="Z38" s="80"/>
      <c r="AA38" s="116" t="s">
        <v>30</v>
      </c>
      <c r="AB38" s="116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5"/>
      <c r="AL38" s="65"/>
      <c r="AM38" s="114" t="s">
        <v>18</v>
      </c>
      <c r="AN38" s="119"/>
      <c r="AO38" s="115"/>
      <c r="AP38" s="110" t="s">
        <v>56</v>
      </c>
    </row>
    <row r="39" spans="1:44">
      <c r="A39" s="117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9"/>
      <c r="P39" s="119"/>
      <c r="Q39" s="115"/>
      <c r="R39" s="114" t="s">
        <v>24</v>
      </c>
      <c r="S39" s="119"/>
      <c r="T39" s="119"/>
      <c r="U39" s="115"/>
      <c r="V39" s="122"/>
      <c r="W39" s="59"/>
      <c r="X39" s="59"/>
      <c r="Y39" s="59"/>
      <c r="Z39" s="81"/>
      <c r="AA39" s="117"/>
      <c r="AB39" s="117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10"/>
    </row>
    <row r="40" spans="1:44" s="11" customFormat="1">
      <c r="A40" s="111" t="s">
        <v>25</v>
      </c>
      <c r="B40" s="112"/>
      <c r="C40" s="112"/>
      <c r="D40" s="112"/>
      <c r="E40" s="112"/>
      <c r="F40" s="112"/>
      <c r="G40" s="112"/>
      <c r="H40" s="112"/>
      <c r="I40" s="112"/>
      <c r="J40" s="112"/>
      <c r="K40" s="112"/>
      <c r="L40" s="113"/>
      <c r="M40" s="51">
        <f>SUM(M42:M65536)</f>
        <v>101.46275220127436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5.5715012173784828E-3</v>
      </c>
      <c r="AB40" s="91">
        <f>SUM(AB42:AB65536)</f>
        <v>-1.2037432006410942E-3</v>
      </c>
      <c r="AC40" s="91"/>
      <c r="AD40" s="91">
        <f>SUM(AD42:AD65536)</f>
        <v>5.5715012173784837E-3</v>
      </c>
      <c r="AE40" s="91">
        <f>SUM(AE42:AE65536)</f>
        <v>-1.2037432006410944E-3</v>
      </c>
      <c r="AF40" s="91">
        <f>SUM(AF42:AF65536)</f>
        <v>0</v>
      </c>
      <c r="AG40" s="91">
        <f>SUM(AG42:AG65536)</f>
        <v>0</v>
      </c>
      <c r="AH40" s="92"/>
      <c r="AI40" s="93">
        <v>1</v>
      </c>
      <c r="AJ40" s="92">
        <f>AJ44+AF44</f>
        <v>721338.9904644239</v>
      </c>
      <c r="AK40" s="92">
        <f>AK44+AG44</f>
        <v>461600.05757143506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-85.770000000018626</v>
      </c>
      <c r="G41" s="72">
        <f>IF(D42=0,D41-$D$41,D41-D42)</f>
        <v>850.76999999996042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855.08250233526348</v>
      </c>
      <c r="N41" s="36">
        <f>IF(F41=0,,ATAN(G41/F41))</f>
        <v>-1.4703212482036865</v>
      </c>
      <c r="O41" s="36">
        <f>ABS(DEGREES(N41))</f>
        <v>84.243202050478402</v>
      </c>
      <c r="P41" s="37" t="str">
        <f>TEXT(INT(O41),"00")</f>
        <v>84</v>
      </c>
      <c r="Q41" s="38" t="str">
        <f>TEXT((O41-P41)*60,"00")</f>
        <v>15</v>
      </c>
      <c r="R41" s="39" t="str">
        <f>IF(L41="",IF(F41&gt;0,"S","N"),"")</f>
        <v>N</v>
      </c>
      <c r="S41" s="25" t="str">
        <f>IF(L41="",IF(INT(Q41)=60,INT(P41+1),P41),"due")</f>
        <v>84</v>
      </c>
      <c r="T41" s="38" t="str">
        <f>IF(L41="",IF(INT(Q41)=60,"00",Q41),L41)</f>
        <v>15</v>
      </c>
      <c r="U41" s="40" t="str">
        <f>IF(L41="",IF(G41&gt;0,"W","E"),"")</f>
        <v>W</v>
      </c>
      <c r="V41" s="41"/>
      <c r="W41" s="22">
        <f>IF(S41="due",90*(I41+K41),S41+T41/60)</f>
        <v>84.25</v>
      </c>
      <c r="X41" s="22">
        <f>IF(R41="",W41,IF(R41="N",IF(U41="E",180+W41,180-W41),IF(U41="E",360-W41,W41)))</f>
        <v>95.75</v>
      </c>
      <c r="Y41" s="22">
        <f>RADIANS(X41)</f>
        <v>1.6711527587845705</v>
      </c>
      <c r="Z41" s="64"/>
      <c r="AA41" s="58">
        <f>-M41*COS(Y41)</f>
        <v>85.66905842737367</v>
      </c>
      <c r="AB41" s="58">
        <f>-M41*SIN(Y41)</f>
        <v>-850.78017033079891</v>
      </c>
      <c r="AC41" s="64"/>
      <c r="AD41" s="22">
        <v>0</v>
      </c>
      <c r="AE41" s="22">
        <v>0</v>
      </c>
      <c r="AF41" s="22">
        <f t="shared" ref="AF41:AG43" si="0">AA41-AD41</f>
        <v>85.66905842737367</v>
      </c>
      <c r="AG41" s="22">
        <f t="shared" si="0"/>
        <v>-850.78017033079891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721314.39</v>
      </c>
      <c r="D42" s="60">
        <v>461599.45</v>
      </c>
      <c r="E42" s="79"/>
      <c r="F42" s="72">
        <f>IF(C43=0,C42-$C$42,C42-C43)</f>
        <v>-0.10999999998603016</v>
      </c>
      <c r="G42" s="72">
        <f>IF(D43=0,D42-$D$42,D42-D43)</f>
        <v>26.049999999988358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26.050232244634412</v>
      </c>
      <c r="N42" s="36">
        <f>IF(F42=0,,ATAN(G42/F42))</f>
        <v>-1.5665737031404456</v>
      </c>
      <c r="O42" s="36">
        <f>ABS(DEGREES(N42))</f>
        <v>89.758061486127858</v>
      </c>
      <c r="P42" s="37" t="str">
        <f>TEXT(INT(O42),"00")</f>
        <v>89</v>
      </c>
      <c r="Q42" s="38" t="str">
        <f>TEXT((O42-P42)*60,"00")</f>
        <v>45</v>
      </c>
      <c r="R42" s="39" t="str">
        <f>IF(L42="",IF(F42&gt;0,"S","N"),"")</f>
        <v>N</v>
      </c>
      <c r="S42" s="25" t="str">
        <f>IF(L42="",IF(INT(Q42)=60,INT(P42+1),P42),"due")</f>
        <v>89</v>
      </c>
      <c r="T42" s="38" t="str">
        <f>IF(L42="",IF(INT(Q42)=60,"00",Q42),L42)</f>
        <v>45</v>
      </c>
      <c r="U42" s="40" t="str">
        <f>IF(L42="",IF(G42&gt;0,"W","E"),"")</f>
        <v>W</v>
      </c>
      <c r="V42" s="44"/>
      <c r="W42" s="22">
        <f>IF(S42="due",90*(I42+K42),S42+T42/60)</f>
        <v>89.75</v>
      </c>
      <c r="X42" s="22">
        <f>IF(R42="",W42,IF(R42="N",IF(U42="E",180+W42,180-W42),IF(U42="E",360-W42,W42)))</f>
        <v>90.25</v>
      </c>
      <c r="Y42" s="22">
        <f>RADIANS(X42)</f>
        <v>1.5751596499248823</v>
      </c>
      <c r="Z42" s="64"/>
      <c r="AA42" s="58">
        <f>-M42*COS(Y42)</f>
        <v>0.11366522022281494</v>
      </c>
      <c r="AB42" s="58">
        <f>-M42*SIN(Y42)</f>
        <v>-26.049984265198745</v>
      </c>
      <c r="AC42" s="64"/>
      <c r="AD42" s="82">
        <f>$AA$40/$M$40*M42</f>
        <v>1.4304648505498545E-3</v>
      </c>
      <c r="AE42" s="82">
        <f>$AB$40/$M$40*M42</f>
        <v>-3.0905715899953891E-4</v>
      </c>
      <c r="AF42" s="22">
        <f t="shared" si="0"/>
        <v>0.11223475537226509</v>
      </c>
      <c r="AG42" s="22">
        <f t="shared" si="0"/>
        <v>-26.049675208039744</v>
      </c>
      <c r="AH42" s="63"/>
      <c r="AI42" s="38">
        <f>A42</f>
        <v>1</v>
      </c>
      <c r="AJ42" s="82">
        <f t="shared" ref="AJ42:AK44" si="1">AJ41+AF41</f>
        <v>721314.28905842733</v>
      </c>
      <c r="AK42" s="82">
        <f t="shared" si="1"/>
        <v>461599.43982966919</v>
      </c>
      <c r="AL42" s="66"/>
      <c r="AM42" s="9" t="str">
        <f>IF(A43=0,A42&amp;" - 1",A42&amp;" - "&amp;A43)</f>
        <v>1 - 2</v>
      </c>
      <c r="AN42" s="18">
        <f>F42</f>
        <v>-0.10999999998603016</v>
      </c>
      <c r="AO42" s="18">
        <f>AN42*G42</f>
        <v>-2.865499999634805</v>
      </c>
      <c r="AP42" s="9" t="str">
        <f>D42&amp;","&amp;C42</f>
        <v>461599.45,721314.39</v>
      </c>
    </row>
    <row r="43" spans="1:44">
      <c r="A43" s="20">
        <f>A42+1</f>
        <v>2</v>
      </c>
      <c r="B43" s="44"/>
      <c r="C43" s="60">
        <v>721314.5</v>
      </c>
      <c r="D43" s="60">
        <v>461573.4</v>
      </c>
      <c r="E43" s="79"/>
      <c r="F43" s="72">
        <f>IF(C44=0,C43-$C$42,C43-C44)</f>
        <v>-24.839999999967404</v>
      </c>
      <c r="G43" s="72">
        <f>IF(D44=0,D43-$D$42,D43-D44)</f>
        <v>-0.81999999994877726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24.853530936233117</v>
      </c>
      <c r="N43" s="36">
        <f>IF(F43=0,,ATAN(G43/F43))</f>
        <v>3.2999288694492368E-2</v>
      </c>
      <c r="O43" s="36">
        <f>ABS(DEGREES(N43))</f>
        <v>1.8907199691281849</v>
      </c>
      <c r="P43" s="37" t="str">
        <f>TEXT(INT(O43),"00")</f>
        <v>01</v>
      </c>
      <c r="Q43" s="38" t="str">
        <f>TEXT((O43-P43)*60,"00")</f>
        <v>53</v>
      </c>
      <c r="R43" s="39" t="str">
        <f>IF(L43="",IF(F43&gt;0,"S","N"),"")</f>
        <v>N</v>
      </c>
      <c r="S43" s="25" t="str">
        <f>IF(L43="",IF(INT(Q43)=60,INT(P43+1),P43),"due")</f>
        <v>01</v>
      </c>
      <c r="T43" s="38" t="str">
        <f>IF(L43="",IF(INT(Q43)=60,"00",Q43),L43)</f>
        <v>53</v>
      </c>
      <c r="U43" s="40" t="str">
        <f>IF(L43="",IF(G43&gt;0,"W","E"),"")</f>
        <v>E</v>
      </c>
      <c r="V43" s="44"/>
      <c r="W43" s="22">
        <f>IF(S43="due",90*(I43+K43),S43+T43/60)</f>
        <v>1.8833333333333333</v>
      </c>
      <c r="X43" s="22">
        <f>IF(R43="",W43,IF(R43="N",IF(U43="E",180+W43,180-W43),IF(U43="E",360-W43,W43)))</f>
        <v>181.88333333333333</v>
      </c>
      <c r="Y43" s="22">
        <f>RADIANS(X43)</f>
        <v>3.1744630211690197</v>
      </c>
      <c r="Z43" s="64"/>
      <c r="AA43" s="58">
        <f>-M43*COS(Y43)</f>
        <v>24.8401055088531</v>
      </c>
      <c r="AB43" s="58">
        <f>-M43*SIN(Y43)</f>
        <v>0.81679759263997875</v>
      </c>
      <c r="AC43" s="64"/>
      <c r="AD43" s="82">
        <f>$AA$40/$M$40*M43</f>
        <v>1.3647518410764873E-3</v>
      </c>
      <c r="AE43" s="82">
        <f>$AB$40/$M$40*M43</f>
        <v>-2.9485962313604528E-4</v>
      </c>
      <c r="AF43" s="22">
        <f t="shared" si="0"/>
        <v>24.838740757012022</v>
      </c>
      <c r="AG43" s="22">
        <f t="shared" si="0"/>
        <v>0.81709245226311478</v>
      </c>
      <c r="AH43" s="64"/>
      <c r="AI43" s="25">
        <f>A43</f>
        <v>2</v>
      </c>
      <c r="AJ43" s="82">
        <f t="shared" si="1"/>
        <v>721314.40129318275</v>
      </c>
      <c r="AK43" s="82">
        <f t="shared" si="1"/>
        <v>461573.39015446114</v>
      </c>
      <c r="AL43" s="66"/>
      <c r="AM43" s="9" t="str">
        <f>IF(A44=0,A43&amp;" - 1",A43&amp;" - "&amp;A44)</f>
        <v>2 - 3</v>
      </c>
      <c r="AN43" s="18">
        <f>AN42+F42+F43</f>
        <v>-25.059999999939464</v>
      </c>
      <c r="AO43" s="18">
        <f>AN43*G43</f>
        <v>20.549199998666719</v>
      </c>
      <c r="AP43" s="9" t="str">
        <f>D43&amp;","&amp;C43</f>
        <v>461573.4,721314.5</v>
      </c>
    </row>
    <row r="44" spans="1:44" s="46" customFormat="1">
      <c r="A44" s="20">
        <f>A43+1</f>
        <v>3</v>
      </c>
      <c r="B44" s="44"/>
      <c r="C44" s="60">
        <v>721339.34</v>
      </c>
      <c r="D44" s="60">
        <v>461574.22</v>
      </c>
      <c r="E44" s="79"/>
      <c r="F44" s="72">
        <f>IF(C45=0,C44-$C$42,C44-C45)</f>
        <v>0.25</v>
      </c>
      <c r="G44" s="72">
        <f>IF(D45=0,D44-$D$42,D44-D45)</f>
        <v>-25.850000000034925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25.851208869254172</v>
      </c>
      <c r="N44" s="22">
        <f>IF(F44=0,,ATAN(G44/F44))</f>
        <v>-1.5611254484147414</v>
      </c>
      <c r="O44" s="22">
        <f>ABS(DEGREES(N44))</f>
        <v>89.445899484632804</v>
      </c>
      <c r="P44" s="24" t="str">
        <f>TEXT(INT(O44),"00")</f>
        <v>89</v>
      </c>
      <c r="Q44" s="25" t="str">
        <f>TEXT((O44-P44)*60,"00")</f>
        <v>27</v>
      </c>
      <c r="R44" s="23" t="str">
        <f>IF(L44="",IF(F44&gt;0,"S","N"),"")</f>
        <v>S</v>
      </c>
      <c r="S44" s="25" t="str">
        <f>IF(L44="",IF(INT(Q44)=60,INT(P44+1),P44),"due")</f>
        <v>89</v>
      </c>
      <c r="T44" s="25" t="str">
        <f>IF(L44="",IF(INT(Q44)=60,"00",Q44),L44)</f>
        <v>27</v>
      </c>
      <c r="U44" s="24" t="str">
        <f>IF(L44="",IF(G44&gt;0,"W","E"),"")</f>
        <v>E</v>
      </c>
      <c r="V44" s="44"/>
      <c r="W44" s="22">
        <f>IF(S44="due",90*(I44+K44),S44+T44/60)</f>
        <v>89.45</v>
      </c>
      <c r="X44" s="22">
        <f>IF(R44="",W44,IF(R44="N",IF(U44="E",180+W44,180-W44),IF(U44="E",360-W44,W44)))</f>
        <v>270.55</v>
      </c>
      <c r="Y44" s="22">
        <f>RADIANS(X44)</f>
        <v>4.7219882912706588</v>
      </c>
      <c r="Z44" s="64"/>
      <c r="AA44" s="58">
        <f>-M44*COS(Y44)</f>
        <v>-0.24814997963662186</v>
      </c>
      <c r="AB44" s="58">
        <f>-M44*SIN(Y44)</f>
        <v>25.850017825707816</v>
      </c>
      <c r="AC44" s="64"/>
      <c r="AD44" s="82">
        <f>$AA$40/$M$40*M44</f>
        <v>1.4195361209997422E-3</v>
      </c>
      <c r="AE44" s="82">
        <f>$AB$40/$M$40*M44</f>
        <v>-3.0669596703810503E-4</v>
      </c>
      <c r="AF44" s="22">
        <f>AA44-AD44</f>
        <v>-0.2495695157576216</v>
      </c>
      <c r="AG44" s="22">
        <f>AB44-AE44</f>
        <v>25.850324521674853</v>
      </c>
      <c r="AH44" s="64"/>
      <c r="AI44" s="25">
        <f>A44</f>
        <v>3</v>
      </c>
      <c r="AJ44" s="82">
        <f t="shared" si="1"/>
        <v>721339.24003393971</v>
      </c>
      <c r="AK44" s="82">
        <f t="shared" si="1"/>
        <v>461574.2072469134</v>
      </c>
      <c r="AL44" s="66"/>
      <c r="AM44" s="9" t="str">
        <f>IF(A45=0,A44&amp;" - 1",A44&amp;" - "&amp;A45)</f>
        <v>3 - 4</v>
      </c>
      <c r="AN44" s="18">
        <f>AN43+F43+F44</f>
        <v>-49.649999999906868</v>
      </c>
      <c r="AO44" s="18">
        <f>AN44*G44</f>
        <v>1283.4524999993266</v>
      </c>
      <c r="AP44" s="9" t="str">
        <f>D44&amp;","&amp;C44</f>
        <v>461574.22,721339.34</v>
      </c>
    </row>
    <row r="45" spans="1:44" s="46" customFormat="1">
      <c r="A45" s="20">
        <f>A44+1</f>
        <v>4</v>
      </c>
      <c r="B45" s="44"/>
      <c r="C45" s="60">
        <v>721339.09</v>
      </c>
      <c r="D45" s="60">
        <v>461600.07</v>
      </c>
      <c r="E45" s="79"/>
      <c r="F45" s="72">
        <f>IF(C46=0,C45-$C$42,C45-C46)</f>
        <v>24.699999999953434</v>
      </c>
      <c r="G45" s="72">
        <f>IF(D46=0,D45-$D$42,D45-D46)</f>
        <v>0.61999999999534339</v>
      </c>
      <c r="H45" s="76" t="str">
        <f>IF(G45=0,IF(F45&gt;0,"South","North"),"")</f>
        <v/>
      </c>
      <c r="I45" s="76">
        <f>IF(H45="North",2,IF(H45="",0,0))</f>
        <v>0</v>
      </c>
      <c r="J45" s="76" t="str">
        <f>IF(F45=0,IF(G45&gt;0,"West","East"),"")</f>
        <v/>
      </c>
      <c r="K45" s="76">
        <f>IF(J45="West",1,IF(J45="",0,3))</f>
        <v>0</v>
      </c>
      <c r="L45" s="76" t="str">
        <f>H45&amp;J45</f>
        <v/>
      </c>
      <c r="M45" s="22">
        <f>SQRT(F45^2+G45^2)</f>
        <v>24.707780151152669</v>
      </c>
      <c r="N45" s="22">
        <f>IF(F45=0,,ATAN(G45/F45))</f>
        <v>2.509594471794652E-2</v>
      </c>
      <c r="O45" s="22">
        <f>ABS(DEGREES(N45))</f>
        <v>1.4378917152319668</v>
      </c>
      <c r="P45" s="24" t="str">
        <f>TEXT(INT(O45),"00")</f>
        <v>01</v>
      </c>
      <c r="Q45" s="25" t="str">
        <f>TEXT((O45-P45)*60,"00")</f>
        <v>26</v>
      </c>
      <c r="R45" s="23" t="str">
        <f>IF(L45="",IF(F45&gt;0,"S","N"),"")</f>
        <v>S</v>
      </c>
      <c r="S45" s="25" t="str">
        <f>IF(L45="",IF(INT(Q45)=60,INT(P45+1),P45),"due")</f>
        <v>01</v>
      </c>
      <c r="T45" s="25" t="str">
        <f>IF(L45="",IF(INT(Q45)=60,"00",Q45),L45)</f>
        <v>26</v>
      </c>
      <c r="U45" s="24" t="str">
        <f>IF(L45="",IF(G45&gt;0,"W","E"),"")</f>
        <v>W</v>
      </c>
      <c r="V45" s="44"/>
      <c r="W45" s="22">
        <f>IF(S45="due",90*(I45+K45),S45+T45/60)</f>
        <v>1.4333333333333333</v>
      </c>
      <c r="X45" s="22">
        <f>IF(R45="",W45,IF(R45="N",IF(U45="E",180+W45,180-W45),IF(U45="E",360-W45,W45)))</f>
        <v>1.4333333333333333</v>
      </c>
      <c r="Y45" s="22">
        <f>RADIANS(X45)</f>
        <v>2.5016385945252056E-2</v>
      </c>
      <c r="Z45" s="64"/>
      <c r="AA45" s="58">
        <f>-M45*COS(Y45)</f>
        <v>-24.700049248221912</v>
      </c>
      <c r="AB45" s="58">
        <f>-M45*SIN(Y45)</f>
        <v>-0.61803489634969133</v>
      </c>
      <c r="AC45" s="64"/>
      <c r="AD45" s="82">
        <f>$AA$40/$M$40*M45</f>
        <v>1.3567484047523996E-3</v>
      </c>
      <c r="AE45" s="82">
        <f>$AB$40/$M$40*M45</f>
        <v>-2.9313045146740519E-4</v>
      </c>
      <c r="AF45" s="22">
        <f>AA45-AD45</f>
        <v>-24.701405996626665</v>
      </c>
      <c r="AG45" s="22">
        <f>AB45-AE45</f>
        <v>-0.61774176589822394</v>
      </c>
      <c r="AH45" s="64"/>
      <c r="AI45" s="25">
        <f>A45</f>
        <v>4</v>
      </c>
      <c r="AJ45" s="82">
        <f t="shared" ref="AJ45" si="2">AJ44+AF44</f>
        <v>721338.9904644239</v>
      </c>
      <c r="AK45" s="82">
        <f t="shared" ref="AK45" si="3">AK44+AG44</f>
        <v>461600.05757143506</v>
      </c>
      <c r="AL45" s="66"/>
      <c r="AM45" s="9" t="str">
        <f>IF(A46=0,A45&amp;" - 1",A45&amp;" - "&amp;A46)</f>
        <v>4 - 1</v>
      </c>
      <c r="AN45" s="18">
        <f>AN44+F44+F45</f>
        <v>-24.699999999953434</v>
      </c>
      <c r="AO45" s="18">
        <f>AN45*G45</f>
        <v>-15.31399999985611</v>
      </c>
      <c r="AP45" s="9" t="str">
        <f>D45&amp;","&amp;C45</f>
        <v>461600.07,721339.09</v>
      </c>
    </row>
    <row r="46" spans="1:44" s="46" customFormat="1">
      <c r="A46" s="28"/>
      <c r="B46" s="28"/>
      <c r="F46" s="47"/>
      <c r="G46" s="47"/>
      <c r="H46" s="47"/>
      <c r="I46" s="48"/>
      <c r="J46" s="48"/>
      <c r="K46" s="48"/>
      <c r="L46" s="28"/>
      <c r="M46" s="50"/>
      <c r="N46" s="48"/>
      <c r="O46" s="49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I46" s="47"/>
      <c r="AJ46" s="47"/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40:L40"/>
    <mergeCell ref="A28:B28"/>
    <mergeCell ref="A29:B29"/>
    <mergeCell ref="B32:C32"/>
    <mergeCell ref="B33:C33"/>
    <mergeCell ref="AP38:AP39"/>
    <mergeCell ref="N39:Q39"/>
    <mergeCell ref="M38:U38"/>
    <mergeCell ref="B34:C34"/>
    <mergeCell ref="B35:C35"/>
    <mergeCell ref="AM38:AO38"/>
    <mergeCell ref="R39:U39"/>
    <mergeCell ref="V38:V39"/>
    <mergeCell ref="AA38:AA39"/>
    <mergeCell ref="AB38:AB39"/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</mergeCells>
  <phoneticPr fontId="6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3516</vt:lpstr>
      <vt:lpstr>3517</vt:lpstr>
      <vt:lpstr>3518</vt:lpstr>
      <vt:lpstr>3519</vt:lpstr>
      <vt:lpstr>3520</vt:lpstr>
      <vt:lpstr>3521</vt:lpstr>
      <vt:lpstr>3522</vt:lpstr>
      <vt:lpstr>3523</vt:lpstr>
      <vt:lpstr>3524</vt:lpstr>
      <vt:lpstr>3525</vt:lpstr>
      <vt:lpstr>'3516'!Print_Area</vt:lpstr>
    </vt:vector>
  </TitlesOfParts>
  <Company>Mapping Department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Cartography Division</dc:creator>
  <cp:lastModifiedBy>neo DENR</cp:lastModifiedBy>
  <dcterms:created xsi:type="dcterms:W3CDTF">2005-04-12T06:38:40Z</dcterms:created>
  <dcterms:modified xsi:type="dcterms:W3CDTF">2007-05-17T02:06:37Z</dcterms:modified>
</cp:coreProperties>
</file>