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-30" yWindow="-45" windowWidth="7620" windowHeight="8385" activeTab="9"/>
  </bookViews>
  <sheets>
    <sheet name="3526" sheetId="2" r:id="rId1"/>
    <sheet name="3527" sheetId="4" r:id="rId2"/>
    <sheet name="3528" sheetId="5" r:id="rId3"/>
    <sheet name="3529" sheetId="6" r:id="rId4"/>
    <sheet name="3530" sheetId="7" r:id="rId5"/>
    <sheet name="3531" sheetId="8" r:id="rId6"/>
    <sheet name="3532" sheetId="9" r:id="rId7"/>
    <sheet name="3533" sheetId="10" r:id="rId8"/>
    <sheet name="3534" sheetId="11" r:id="rId9"/>
    <sheet name="3535" sheetId="3" r:id="rId10"/>
  </sheets>
  <definedNames>
    <definedName name="_xlnm.Print_Area" localSheetId="0">'3526'!$A$1:$AJ$43</definedName>
  </definedNames>
  <calcPr calcId="124519"/>
</workbook>
</file>

<file path=xl/calcChain.xml><?xml version="1.0" encoding="utf-8"?>
<calcChain xmlns="http://schemas.openxmlformats.org/spreadsheetml/2006/main">
  <c r="AP45" i="3"/>
  <c r="G45"/>
  <c r="F45"/>
  <c r="N45" s="1"/>
  <c r="O45" s="1"/>
  <c r="A45"/>
  <c r="AM45" s="1"/>
  <c r="AP45" i="11"/>
  <c r="G45"/>
  <c r="F45"/>
  <c r="N45" s="1"/>
  <c r="O45" s="1"/>
  <c r="A45"/>
  <c r="AM45" s="1"/>
  <c r="AP45" i="10"/>
  <c r="G45"/>
  <c r="F45"/>
  <c r="N45" s="1"/>
  <c r="O45" s="1"/>
  <c r="A45"/>
  <c r="AM45" s="1"/>
  <c r="AP46" i="9"/>
  <c r="G46"/>
  <c r="F46"/>
  <c r="N46" s="1"/>
  <c r="O46" s="1"/>
  <c r="AP45"/>
  <c r="G45"/>
  <c r="F45"/>
  <c r="N45" s="1"/>
  <c r="O45" s="1"/>
  <c r="A45"/>
  <c r="A46" s="1"/>
  <c r="AP46" i="8"/>
  <c r="G46"/>
  <c r="F46"/>
  <c r="N46" s="1"/>
  <c r="O46" s="1"/>
  <c r="AP45"/>
  <c r="G45"/>
  <c r="F45"/>
  <c r="N45" s="1"/>
  <c r="O45" s="1"/>
  <c r="A45"/>
  <c r="A46" s="1"/>
  <c r="AP47" i="7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5" i="6"/>
  <c r="G45"/>
  <c r="F45"/>
  <c r="N45" s="1"/>
  <c r="O45" s="1"/>
  <c r="A45"/>
  <c r="AM45" s="1"/>
  <c r="AP45" i="5"/>
  <c r="G45"/>
  <c r="F45"/>
  <c r="N45" s="1"/>
  <c r="O45" s="1"/>
  <c r="A45"/>
  <c r="AM45" s="1"/>
  <c r="AP47" i="4"/>
  <c r="G47"/>
  <c r="F47"/>
  <c r="N47" s="1"/>
  <c r="O47" s="1"/>
  <c r="AP46"/>
  <c r="G46"/>
  <c r="F46"/>
  <c r="N46" s="1"/>
  <c r="O46" s="1"/>
  <c r="AP45"/>
  <c r="G45"/>
  <c r="F45"/>
  <c r="N45" s="1"/>
  <c r="O45" s="1"/>
  <c r="A45"/>
  <c r="A46" s="1"/>
  <c r="AP46" i="2"/>
  <c r="G46"/>
  <c r="F46"/>
  <c r="N46" s="1"/>
  <c r="O46" s="1"/>
  <c r="AP45"/>
  <c r="G45"/>
  <c r="F45"/>
  <c r="N45" s="1"/>
  <c r="O45" s="1"/>
  <c r="A45"/>
  <c r="A46" s="1"/>
  <c r="AP44"/>
  <c r="AP43"/>
  <c r="AP42"/>
  <c r="AP44" i="11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10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9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8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7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6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5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4" i="4"/>
  <c r="F42"/>
  <c r="AN42"/>
  <c r="F43"/>
  <c r="AN43"/>
  <c r="F44"/>
  <c r="AN44"/>
  <c r="AN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P43"/>
  <c r="AO43"/>
  <c r="AM43"/>
  <c r="AI43"/>
  <c r="U43"/>
  <c r="N43"/>
  <c r="O43"/>
  <c r="P43"/>
  <c r="Q43"/>
  <c r="S43" s="1"/>
  <c r="AP42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AP43" i="3"/>
  <c r="AP44"/>
  <c r="AP42"/>
  <c r="F42"/>
  <c r="AN42"/>
  <c r="F43"/>
  <c r="AN43"/>
  <c r="F44"/>
  <c r="AN44"/>
  <c r="AN45" s="1"/>
  <c r="AO45" s="1"/>
  <c r="G44"/>
  <c r="AO44"/>
  <c r="A43"/>
  <c r="A44"/>
  <c r="AM44"/>
  <c r="D41"/>
  <c r="AK41"/>
  <c r="C41"/>
  <c r="F41"/>
  <c r="G41"/>
  <c r="M41"/>
  <c r="H41"/>
  <c r="J41"/>
  <c r="L41"/>
  <c r="R41"/>
  <c r="I41"/>
  <c r="K41"/>
  <c r="G42"/>
  <c r="M42"/>
  <c r="H42"/>
  <c r="J42"/>
  <c r="L42"/>
  <c r="R42"/>
  <c r="I42"/>
  <c r="K42"/>
  <c r="G43"/>
  <c r="M43"/>
  <c r="H43"/>
  <c r="J43"/>
  <c r="L43"/>
  <c r="R43"/>
  <c r="I43"/>
  <c r="K43"/>
  <c r="M44"/>
  <c r="H44"/>
  <c r="J44"/>
  <c r="L44"/>
  <c r="R44"/>
  <c r="I44"/>
  <c r="K44"/>
  <c r="AJ41"/>
  <c r="AI44"/>
  <c r="U44"/>
  <c r="N44"/>
  <c r="O44"/>
  <c r="P44"/>
  <c r="Q44"/>
  <c r="S44" s="1"/>
  <c r="AO43"/>
  <c r="AM43"/>
  <c r="AI43"/>
  <c r="U43"/>
  <c r="N43"/>
  <c r="O43"/>
  <c r="P43"/>
  <c r="Q43"/>
  <c r="S43" s="1"/>
  <c r="AO42"/>
  <c r="AM42"/>
  <c r="AI42"/>
  <c r="U42"/>
  <c r="N42"/>
  <c r="O42"/>
  <c r="P42"/>
  <c r="Q42"/>
  <c r="S42" s="1"/>
  <c r="A41"/>
  <c r="AM41"/>
  <c r="AI41"/>
  <c r="U41"/>
  <c r="N41"/>
  <c r="O41"/>
  <c r="P41"/>
  <c r="Q41"/>
  <c r="S41" s="1"/>
  <c r="G44" i="2"/>
  <c r="F44"/>
  <c r="M44" s="1"/>
  <c r="H44"/>
  <c r="J44"/>
  <c r="L44"/>
  <c r="R44" s="1"/>
  <c r="K44"/>
  <c r="I44"/>
  <c r="G43"/>
  <c r="F43"/>
  <c r="M43" s="1"/>
  <c r="H43"/>
  <c r="J43"/>
  <c r="L43"/>
  <c r="R43" s="1"/>
  <c r="K43"/>
  <c r="I43"/>
  <c r="G42"/>
  <c r="F42"/>
  <c r="AN42" s="1"/>
  <c r="H42"/>
  <c r="J42"/>
  <c r="L42"/>
  <c r="R42" s="1"/>
  <c r="K42"/>
  <c r="I42"/>
  <c r="D41"/>
  <c r="G41"/>
  <c r="C41"/>
  <c r="F41"/>
  <c r="N41" s="1"/>
  <c r="O41" s="1"/>
  <c r="H41"/>
  <c r="J41"/>
  <c r="L41"/>
  <c r="U41" s="1"/>
  <c r="K41"/>
  <c r="I41"/>
  <c r="M41"/>
  <c r="AK41"/>
  <c r="AJ41"/>
  <c r="A43"/>
  <c r="A44"/>
  <c r="AI44"/>
  <c r="AM44"/>
  <c r="AM43"/>
  <c r="A41"/>
  <c r="AM42"/>
  <c r="AI42"/>
  <c r="AI43"/>
  <c r="AI41"/>
  <c r="AM41"/>
  <c r="T42" i="3" l="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1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10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9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8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AN46"/>
  <c r="AO46" s="1"/>
  <c r="AO45"/>
  <c r="C28" s="1"/>
  <c r="C29" s="1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T42" i="7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T42" i="6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5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C28"/>
  <c r="C29" s="1"/>
  <c r="H45"/>
  <c r="P45"/>
  <c r="Q45" s="1"/>
  <c r="I45"/>
  <c r="J45"/>
  <c r="K45" s="1"/>
  <c r="M45"/>
  <c r="AI45"/>
  <c r="T42" i="4"/>
  <c r="W42" s="1"/>
  <c r="X42" s="1"/>
  <c r="Y42" s="1"/>
  <c r="T41"/>
  <c r="W41" s="1"/>
  <c r="X41" s="1"/>
  <c r="Y41" s="1"/>
  <c r="T43"/>
  <c r="W43" s="1"/>
  <c r="X43" s="1"/>
  <c r="Y43" s="1"/>
  <c r="T44"/>
  <c r="W44" s="1"/>
  <c r="X44" s="1"/>
  <c r="Y44" s="1"/>
  <c r="H45"/>
  <c r="H46"/>
  <c r="H47"/>
  <c r="AN46"/>
  <c r="AO45"/>
  <c r="A47"/>
  <c r="AI46"/>
  <c r="AM45"/>
  <c r="P45"/>
  <c r="Q45" s="1"/>
  <c r="I45"/>
  <c r="P46"/>
  <c r="Q46" s="1"/>
  <c r="I46"/>
  <c r="P47"/>
  <c r="Q47" s="1"/>
  <c r="I47"/>
  <c r="J45"/>
  <c r="K45" s="1"/>
  <c r="M45"/>
  <c r="AI45"/>
  <c r="J46"/>
  <c r="K46" s="1"/>
  <c r="M46"/>
  <c r="J47"/>
  <c r="K47" s="1"/>
  <c r="M47"/>
  <c r="H45" i="2"/>
  <c r="H46"/>
  <c r="AM46"/>
  <c r="AI46"/>
  <c r="AM45"/>
  <c r="P45"/>
  <c r="Q45" s="1"/>
  <c r="I45"/>
  <c r="P46"/>
  <c r="Q46" s="1"/>
  <c r="I46"/>
  <c r="J45"/>
  <c r="K45" s="1"/>
  <c r="M45"/>
  <c r="AI45"/>
  <c r="J46"/>
  <c r="K46" s="1"/>
  <c r="M46"/>
  <c r="P41"/>
  <c r="Q41"/>
  <c r="AN43"/>
  <c r="AO42"/>
  <c r="R41"/>
  <c r="S41"/>
  <c r="T41"/>
  <c r="U44"/>
  <c r="N44"/>
  <c r="O44" s="1"/>
  <c r="U43"/>
  <c r="N43"/>
  <c r="O43" s="1"/>
  <c r="U42"/>
  <c r="N42"/>
  <c r="O42" s="1"/>
  <c r="M42"/>
  <c r="AB42" i="3" l="1"/>
  <c r="AA42"/>
  <c r="AB44"/>
  <c r="AA44"/>
  <c r="AB43"/>
  <c r="AA43"/>
  <c r="AB41"/>
  <c r="AG41" s="1"/>
  <c r="AK42" s="1"/>
  <c r="AA41"/>
  <c r="AF41" s="1"/>
  <c r="AJ42" s="1"/>
  <c r="M40"/>
  <c r="L45"/>
  <c r="AB42" i="11"/>
  <c r="AA42"/>
  <c r="AB44"/>
  <c r="AA44"/>
  <c r="AB43"/>
  <c r="AA43"/>
  <c r="AB41"/>
  <c r="AG41" s="1"/>
  <c r="AK42" s="1"/>
  <c r="AA41"/>
  <c r="AF41" s="1"/>
  <c r="AJ42" s="1"/>
  <c r="M40"/>
  <c r="L45"/>
  <c r="AB42" i="10"/>
  <c r="AA42"/>
  <c r="AB44"/>
  <c r="AA44"/>
  <c r="AB43"/>
  <c r="AA43"/>
  <c r="AB41"/>
  <c r="AG41" s="1"/>
  <c r="AK42" s="1"/>
  <c r="AA41"/>
  <c r="AF41" s="1"/>
  <c r="AJ42" s="1"/>
  <c r="M40"/>
  <c r="L45"/>
  <c r="AB42" i="9"/>
  <c r="AA42"/>
  <c r="AB44"/>
  <c r="AA44"/>
  <c r="AB43"/>
  <c r="AA43"/>
  <c r="AB41"/>
  <c r="AG41" s="1"/>
  <c r="AK42" s="1"/>
  <c r="AA41"/>
  <c r="AF41" s="1"/>
  <c r="AJ42" s="1"/>
  <c r="M40"/>
  <c r="L46"/>
  <c r="L45"/>
  <c r="AB42" i="8"/>
  <c r="AA42"/>
  <c r="AB44"/>
  <c r="AA44"/>
  <c r="AB43"/>
  <c r="AA43"/>
  <c r="AB41"/>
  <c r="AG41" s="1"/>
  <c r="AK42" s="1"/>
  <c r="AA41"/>
  <c r="AF41" s="1"/>
  <c r="AJ42" s="1"/>
  <c r="M40"/>
  <c r="L46"/>
  <c r="L45"/>
  <c r="AB42" i="7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AB42" i="6"/>
  <c r="AA42"/>
  <c r="AB44"/>
  <c r="AA44"/>
  <c r="AB43"/>
  <c r="AA43"/>
  <c r="AB41"/>
  <c r="AG41" s="1"/>
  <c r="AK42" s="1"/>
  <c r="AA41"/>
  <c r="AF41" s="1"/>
  <c r="AJ42" s="1"/>
  <c r="M40"/>
  <c r="L45"/>
  <c r="AB42" i="5"/>
  <c r="AA42"/>
  <c r="AB44"/>
  <c r="AA44"/>
  <c r="AB43"/>
  <c r="AA43"/>
  <c r="AB41"/>
  <c r="AG41" s="1"/>
  <c r="AK42" s="1"/>
  <c r="AA41"/>
  <c r="AF41" s="1"/>
  <c r="AJ42" s="1"/>
  <c r="M40"/>
  <c r="L45"/>
  <c r="AB42" i="4"/>
  <c r="AA42"/>
  <c r="AB44"/>
  <c r="AA44"/>
  <c r="AB43"/>
  <c r="AA43"/>
  <c r="AB41"/>
  <c r="AG41" s="1"/>
  <c r="AK42" s="1"/>
  <c r="AA41"/>
  <c r="AF41" s="1"/>
  <c r="AJ42" s="1"/>
  <c r="M40"/>
  <c r="AM47"/>
  <c r="AI47"/>
  <c r="AM46"/>
  <c r="AN47"/>
  <c r="AO47" s="1"/>
  <c r="AO46"/>
  <c r="L47"/>
  <c r="L46"/>
  <c r="L45"/>
  <c r="C28"/>
  <c r="C29" s="1"/>
  <c r="W41" i="2"/>
  <c r="L46"/>
  <c r="L45"/>
  <c r="M40"/>
  <c r="P42"/>
  <c r="Q42"/>
  <c r="P43"/>
  <c r="Q43"/>
  <c r="P44"/>
  <c r="Q44"/>
  <c r="AN44"/>
  <c r="AO43"/>
  <c r="X41"/>
  <c r="Y41" s="1"/>
  <c r="U45" i="3" l="1"/>
  <c r="T45"/>
  <c r="S45"/>
  <c r="W45" s="1"/>
  <c r="R45"/>
  <c r="X45" s="1"/>
  <c r="Y45" s="1"/>
  <c r="U45" i="11"/>
  <c r="T45"/>
  <c r="S45"/>
  <c r="W45" s="1"/>
  <c r="R45"/>
  <c r="X45" s="1"/>
  <c r="Y45" s="1"/>
  <c r="U45" i="10"/>
  <c r="T45"/>
  <c r="S45"/>
  <c r="W45" s="1"/>
  <c r="R45"/>
  <c r="X45" s="1"/>
  <c r="Y45" s="1"/>
  <c r="U45" i="9"/>
  <c r="T45"/>
  <c r="S45"/>
  <c r="W45" s="1"/>
  <c r="R45"/>
  <c r="X45" s="1"/>
  <c r="Y45" s="1"/>
  <c r="U46"/>
  <c r="T46"/>
  <c r="S46"/>
  <c r="W46" s="1"/>
  <c r="R46"/>
  <c r="X46" s="1"/>
  <c r="Y46" s="1"/>
  <c r="U45" i="8"/>
  <c r="T45"/>
  <c r="S45"/>
  <c r="W45" s="1"/>
  <c r="R45"/>
  <c r="X45" s="1"/>
  <c r="Y45" s="1"/>
  <c r="U46"/>
  <c r="T46"/>
  <c r="S46"/>
  <c r="W46" s="1"/>
  <c r="R46"/>
  <c r="X46" s="1"/>
  <c r="Y46" s="1"/>
  <c r="U45" i="7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U45" i="6"/>
  <c r="T45"/>
  <c r="S45"/>
  <c r="W45" s="1"/>
  <c r="R45"/>
  <c r="X45" s="1"/>
  <c r="Y45" s="1"/>
  <c r="U45" i="5"/>
  <c r="T45"/>
  <c r="S45"/>
  <c r="W45" s="1"/>
  <c r="R45"/>
  <c r="X45" s="1"/>
  <c r="Y45" s="1"/>
  <c r="U45" i="4"/>
  <c r="T45"/>
  <c r="S45"/>
  <c r="W45" s="1"/>
  <c r="R45"/>
  <c r="X45" s="1"/>
  <c r="Y45" s="1"/>
  <c r="U46"/>
  <c r="T46"/>
  <c r="S46"/>
  <c r="W46" s="1"/>
  <c r="R46"/>
  <c r="X46" s="1"/>
  <c r="Y46" s="1"/>
  <c r="U47"/>
  <c r="T47"/>
  <c r="S47"/>
  <c r="W47" s="1"/>
  <c r="R47"/>
  <c r="X47" s="1"/>
  <c r="Y47" s="1"/>
  <c r="T42" i="2"/>
  <c r="S42"/>
  <c r="W42" s="1"/>
  <c r="X42" s="1"/>
  <c r="Y42" s="1"/>
  <c r="T44"/>
  <c r="S44"/>
  <c r="W44" s="1"/>
  <c r="X44" s="1"/>
  <c r="Y44" s="1"/>
  <c r="T43"/>
  <c r="S43"/>
  <c r="W43" s="1"/>
  <c r="X43" s="1"/>
  <c r="Y43" s="1"/>
  <c r="AO44"/>
  <c r="AN45"/>
  <c r="U45"/>
  <c r="T45"/>
  <c r="S45"/>
  <c r="W45" s="1"/>
  <c r="R45"/>
  <c r="X45" s="1"/>
  <c r="Y45" s="1"/>
  <c r="U46"/>
  <c r="T46"/>
  <c r="S46"/>
  <c r="W46" s="1"/>
  <c r="R46"/>
  <c r="X46" s="1"/>
  <c r="Y46" s="1"/>
  <c r="AB41"/>
  <c r="AG41" s="1"/>
  <c r="AK42" s="1"/>
  <c r="AA41"/>
  <c r="AF41" s="1"/>
  <c r="AJ42" s="1"/>
  <c r="AB45" i="3" l="1"/>
  <c r="AA45"/>
  <c r="AB45" i="11"/>
  <c r="AA45"/>
  <c r="AB45" i="10"/>
  <c r="AA45"/>
  <c r="AB46" i="9"/>
  <c r="AA46"/>
  <c r="AB45"/>
  <c r="AA45"/>
  <c r="AB46" i="8"/>
  <c r="AA46"/>
  <c r="AB45"/>
  <c r="AA45"/>
  <c r="AB47" i="7"/>
  <c r="AA47"/>
  <c r="AB46"/>
  <c r="AA46"/>
  <c r="AB45"/>
  <c r="AA45"/>
  <c r="AB45" i="6"/>
  <c r="AA45"/>
  <c r="AB45" i="5"/>
  <c r="AA45"/>
  <c r="AB47" i="4"/>
  <c r="AA47"/>
  <c r="AB46"/>
  <c r="AA46"/>
  <c r="AB45"/>
  <c r="AA45"/>
  <c r="AB42" i="2"/>
  <c r="AA42"/>
  <c r="AB43"/>
  <c r="AA43"/>
  <c r="AB44"/>
  <c r="AA44"/>
  <c r="AB46"/>
  <c r="AA46"/>
  <c r="AB45"/>
  <c r="AA45"/>
  <c r="AN46"/>
  <c r="AO46" s="1"/>
  <c r="AO45"/>
  <c r="C28"/>
  <c r="C29" s="1"/>
  <c r="AA40" i="3" l="1"/>
  <c r="AB40"/>
  <c r="AA40" i="11"/>
  <c r="AB40"/>
  <c r="AA40" i="10"/>
  <c r="AB40"/>
  <c r="AA40" i="9"/>
  <c r="AB40"/>
  <c r="AA40" i="8"/>
  <c r="AB40"/>
  <c r="AA40" i="7"/>
  <c r="AB40"/>
  <c r="AA40" i="6"/>
  <c r="AB40"/>
  <c r="AA40" i="5"/>
  <c r="AB40"/>
  <c r="AA40" i="4"/>
  <c r="AB40"/>
  <c r="AA40" i="2"/>
  <c r="AB40"/>
  <c r="AE45" i="3" l="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1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10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6" i="9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6" i="8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E47" i="7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5" i="6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5" i="5"/>
  <c r="AG45" s="1"/>
  <c r="AE42"/>
  <c r="AE43"/>
  <c r="AG43" s="1"/>
  <c r="AE44"/>
  <c r="AG44" s="1"/>
  <c r="AD45"/>
  <c r="AF45" s="1"/>
  <c r="AD42"/>
  <c r="AD43"/>
  <c r="AF43" s="1"/>
  <c r="AD44"/>
  <c r="AF44" s="1"/>
  <c r="B32"/>
  <c r="B33" s="1"/>
  <c r="B35" s="1"/>
  <c r="B34" s="1"/>
  <c r="AE47" i="4"/>
  <c r="AG47" s="1"/>
  <c r="AE46"/>
  <c r="AG46" s="1"/>
  <c r="AE45"/>
  <c r="AG45" s="1"/>
  <c r="AE42"/>
  <c r="AE43"/>
  <c r="AG43" s="1"/>
  <c r="AE44"/>
  <c r="AG44" s="1"/>
  <c r="AD47"/>
  <c r="AF47" s="1"/>
  <c r="AD46"/>
  <c r="AF46" s="1"/>
  <c r="AD45"/>
  <c r="AF45" s="1"/>
  <c r="AD42"/>
  <c r="AD43"/>
  <c r="AF43" s="1"/>
  <c r="AD44"/>
  <c r="AF44" s="1"/>
  <c r="B32"/>
  <c r="B33" s="1"/>
  <c r="B35" s="1"/>
  <c r="B34" s="1"/>
  <c r="AE46" i="2"/>
  <c r="AG46" s="1"/>
  <c r="AE45"/>
  <c r="AG45" s="1"/>
  <c r="AE42"/>
  <c r="AE43"/>
  <c r="AG43" s="1"/>
  <c r="AE44"/>
  <c r="AG44" s="1"/>
  <c r="AD46"/>
  <c r="AF46" s="1"/>
  <c r="AD45"/>
  <c r="AF45" s="1"/>
  <c r="AD42"/>
  <c r="AD43"/>
  <c r="AF43" s="1"/>
  <c r="AD44"/>
  <c r="AF44" s="1"/>
  <c r="B32"/>
  <c r="B33" s="1"/>
  <c r="B35" s="1"/>
  <c r="B34" s="1"/>
  <c r="AF42" i="3" l="1"/>
  <c r="AD40"/>
  <c r="AG42"/>
  <c r="AE40"/>
  <c r="AF42" i="11"/>
  <c r="AD40"/>
  <c r="AG42"/>
  <c r="AE40"/>
  <c r="AF42" i="10"/>
  <c r="AD40"/>
  <c r="AG42"/>
  <c r="AE40"/>
  <c r="AF42" i="9"/>
  <c r="AD40"/>
  <c r="AG42"/>
  <c r="AE40"/>
  <c r="AF42" i="8"/>
  <c r="AD40"/>
  <c r="AG42"/>
  <c r="AE40"/>
  <c r="AF42" i="7"/>
  <c r="AD40"/>
  <c r="AG42"/>
  <c r="AE40"/>
  <c r="AF42" i="6"/>
  <c r="AD40"/>
  <c r="AG42"/>
  <c r="AE40"/>
  <c r="AF42" i="5"/>
  <c r="AD40"/>
  <c r="AG42"/>
  <c r="AE40"/>
  <c r="AF42" i="4"/>
  <c r="AD40"/>
  <c r="AG42"/>
  <c r="AE40"/>
  <c r="AD40" i="2"/>
  <c r="AF42"/>
  <c r="AE40"/>
  <c r="AG42"/>
  <c r="AK43" i="3" l="1"/>
  <c r="AK44" s="1"/>
  <c r="AG40"/>
  <c r="AJ43"/>
  <c r="AJ44" s="1"/>
  <c r="AF40"/>
  <c r="AK43" i="11"/>
  <c r="AK44" s="1"/>
  <c r="AG40"/>
  <c r="AJ43"/>
  <c r="AJ44" s="1"/>
  <c r="AF40"/>
  <c r="AK43" i="10"/>
  <c r="AK44" s="1"/>
  <c r="AG40"/>
  <c r="AJ43"/>
  <c r="AJ44" s="1"/>
  <c r="AF40"/>
  <c r="AK43" i="9"/>
  <c r="AK44" s="1"/>
  <c r="AG40"/>
  <c r="AJ43"/>
  <c r="AJ44" s="1"/>
  <c r="AF40"/>
  <c r="AK43" i="8"/>
  <c r="AK44" s="1"/>
  <c r="AG40"/>
  <c r="AJ43"/>
  <c r="AJ44" s="1"/>
  <c r="AF40"/>
  <c r="AK43" i="7"/>
  <c r="AK44" s="1"/>
  <c r="AG40"/>
  <c r="AJ43"/>
  <c r="AJ44" s="1"/>
  <c r="AF40"/>
  <c r="AK43" i="6"/>
  <c r="AK44" s="1"/>
  <c r="AG40"/>
  <c r="AJ43"/>
  <c r="AJ44" s="1"/>
  <c r="AF40"/>
  <c r="AK43" i="5"/>
  <c r="AK44" s="1"/>
  <c r="AG40"/>
  <c r="AJ43"/>
  <c r="AJ44" s="1"/>
  <c r="AF40"/>
  <c r="AK43" i="4"/>
  <c r="AK44" s="1"/>
  <c r="AG40"/>
  <c r="AJ43"/>
  <c r="AJ44" s="1"/>
  <c r="AF40"/>
  <c r="AG40" i="2"/>
  <c r="AK43"/>
  <c r="AK44" s="1"/>
  <c r="AF40"/>
  <c r="AJ43"/>
  <c r="AJ44" s="1"/>
  <c r="AJ45" i="3" l="1"/>
  <c r="AJ40"/>
  <c r="AK45"/>
  <c r="AK40"/>
  <c r="AJ45" i="11"/>
  <c r="AJ40"/>
  <c r="AK45"/>
  <c r="AK40"/>
  <c r="AJ45" i="10"/>
  <c r="AJ40"/>
  <c r="AK45"/>
  <c r="AK40"/>
  <c r="AJ45" i="9"/>
  <c r="AJ46" s="1"/>
  <c r="AJ40"/>
  <c r="AK45"/>
  <c r="AK46" s="1"/>
  <c r="AK40"/>
  <c r="AJ45" i="8"/>
  <c r="AJ46" s="1"/>
  <c r="AJ40"/>
  <c r="AK45"/>
  <c r="AK46" s="1"/>
  <c r="AK40"/>
  <c r="AJ45" i="7"/>
  <c r="AJ46" s="1"/>
  <c r="AJ47" s="1"/>
  <c r="AJ40"/>
  <c r="AK45"/>
  <c r="AK46" s="1"/>
  <c r="AK47" s="1"/>
  <c r="AK40"/>
  <c r="AJ45" i="6"/>
  <c r="AJ40"/>
  <c r="AK45"/>
  <c r="AK40"/>
  <c r="AJ45" i="5"/>
  <c r="AJ40"/>
  <c r="AK45"/>
  <c r="AK40"/>
  <c r="AJ45" i="4"/>
  <c r="AJ46" s="1"/>
  <c r="AJ47" s="1"/>
  <c r="AJ40"/>
  <c r="AK45"/>
  <c r="AK46" s="1"/>
  <c r="AK47" s="1"/>
  <c r="AK40"/>
  <c r="AJ40" i="2"/>
  <c r="AJ45"/>
  <c r="AJ46" s="1"/>
  <c r="AK40"/>
  <c r="AK45"/>
  <c r="AK46" s="1"/>
</calcChain>
</file>

<file path=xl/sharedStrings.xml><?xml version="1.0" encoding="utf-8"?>
<sst xmlns="http://schemas.openxmlformats.org/spreadsheetml/2006/main" count="930" uniqueCount="99">
  <si>
    <t>Lot No.</t>
  </si>
  <si>
    <t>=</t>
  </si>
  <si>
    <t>Owner</t>
  </si>
  <si>
    <t>Barrio</t>
  </si>
  <si>
    <t>Mun / City</t>
  </si>
  <si>
    <t>Province</t>
  </si>
  <si>
    <t>Island</t>
  </si>
  <si>
    <t>COORDINATES</t>
  </si>
  <si>
    <t>TECHNICAL DESCRIPTION</t>
  </si>
  <si>
    <t>STATIONS</t>
  </si>
  <si>
    <t>NORTHINGS</t>
  </si>
  <si>
    <t>EASTINGS</t>
  </si>
  <si>
    <t>DISTANCES</t>
  </si>
  <si>
    <t>LINE</t>
  </si>
  <si>
    <t>DMD</t>
  </si>
  <si>
    <t>DPA</t>
  </si>
  <si>
    <t>DOUBLE AREA</t>
  </si>
  <si>
    <t>AREA</t>
  </si>
  <si>
    <t>AREA COMPUTATION</t>
  </si>
  <si>
    <t>INSTRUCTIONS:</t>
  </si>
  <si>
    <t>1.  Enter required data in the yellow colored cells.</t>
  </si>
  <si>
    <t>COMPUTATIONS</t>
  </si>
  <si>
    <t>ERROR CHECKING:</t>
  </si>
  <si>
    <t>2.  Compare declared area with computed area for error checking.</t>
  </si>
  <si>
    <t>BEARINGS</t>
  </si>
  <si>
    <t>ERROR CHECK</t>
  </si>
  <si>
    <t>N/S</t>
  </si>
  <si>
    <t>DEG</t>
  </si>
  <si>
    <t>MIN</t>
  </si>
  <si>
    <t>E/W</t>
  </si>
  <si>
    <t>LAT</t>
  </si>
  <si>
    <t>DEP</t>
  </si>
  <si>
    <t>CORR</t>
  </si>
  <si>
    <t>AZIMUTH</t>
  </si>
  <si>
    <t>RAD</t>
  </si>
  <si>
    <t>STA</t>
  </si>
  <si>
    <t>NO</t>
  </si>
  <si>
    <t>ADJ</t>
  </si>
  <si>
    <t>TIE POINT DATA:</t>
  </si>
  <si>
    <t>N</t>
  </si>
  <si>
    <t>E</t>
  </si>
  <si>
    <t>ACCURACY STANDARDS:</t>
  </si>
  <si>
    <t>L.E.C.</t>
  </si>
  <si>
    <t>R.E.C.</t>
  </si>
  <si>
    <t>ACC</t>
  </si>
  <si>
    <t>NO.OF CORNERS:</t>
  </si>
  <si>
    <t>CHANGE IN</t>
  </si>
  <si>
    <t>Cad Survey No.</t>
  </si>
  <si>
    <t>LOT DATA COMPUTATION</t>
  </si>
  <si>
    <t>Geodetic Engr.</t>
  </si>
  <si>
    <t>Date Surveyed</t>
  </si>
  <si>
    <t>CM Quadrangle</t>
  </si>
  <si>
    <t>Declared Area</t>
  </si>
  <si>
    <t>Surv. Sym. &amp; No.</t>
  </si>
  <si>
    <t>L.R.C. No.</t>
  </si>
  <si>
    <t>COORDINATES FROM TD</t>
  </si>
  <si>
    <t>For Plotting</t>
  </si>
  <si>
    <t>3526</t>
  </si>
  <si>
    <t>Besuen, Salustiana</t>
  </si>
  <si>
    <t>409 C-4</t>
  </si>
  <si>
    <t>6 31 N. 124 39 E.</t>
  </si>
  <si>
    <t>Poblacion</t>
  </si>
  <si>
    <t>Norala</t>
  </si>
  <si>
    <t>South Cotabato</t>
  </si>
  <si>
    <t>Mindanao</t>
  </si>
  <si>
    <t>M.R. Malate</t>
  </si>
  <si>
    <t>June 25, 1970</t>
  </si>
  <si>
    <t>666.70</t>
  </si>
  <si>
    <t>BLLM 1</t>
  </si>
  <si>
    <t>3527</t>
  </si>
  <si>
    <t>Laude, Juan</t>
  </si>
  <si>
    <t>409 c-4</t>
  </si>
  <si>
    <t>1,367.92</t>
  </si>
  <si>
    <t>3528</t>
  </si>
  <si>
    <t>Belgira, Simon</t>
  </si>
  <si>
    <t>1,401.05</t>
  </si>
  <si>
    <t>3529</t>
  </si>
  <si>
    <t>Silva, Perfecto</t>
  </si>
  <si>
    <t>1,386.97</t>
  </si>
  <si>
    <t>3530</t>
  </si>
  <si>
    <t>Crusada, Andres</t>
  </si>
  <si>
    <t>1,351</t>
  </si>
  <si>
    <t>3531</t>
  </si>
  <si>
    <t>Venser, Jose</t>
  </si>
  <si>
    <t>654.02</t>
  </si>
  <si>
    <t>3532</t>
  </si>
  <si>
    <t>Gaton, Arentin</t>
  </si>
  <si>
    <t>661.82</t>
  </si>
  <si>
    <t>3533</t>
  </si>
  <si>
    <t>Gaton, Bety</t>
  </si>
  <si>
    <t>672</t>
  </si>
  <si>
    <t>3534</t>
  </si>
  <si>
    <t>Silva, Uldarico</t>
  </si>
  <si>
    <t>6 31 N. 124 29 E.</t>
  </si>
  <si>
    <t>653.13</t>
  </si>
  <si>
    <t>3535</t>
  </si>
  <si>
    <t>Facinabao,Benedicto</t>
  </si>
  <si>
    <t>6 31 N. 124 31 E.</t>
  </si>
  <si>
    <t>607.45</t>
  </si>
</sst>
</file>

<file path=xl/styles.xml><?xml version="1.0" encoding="utf-8"?>
<styleSheet xmlns="http://schemas.openxmlformats.org/spreadsheetml/2006/main">
  <numFmts count="2">
    <numFmt numFmtId="164" formatCode="#,##0.000"/>
    <numFmt numFmtId="165" formatCode="00"/>
  </numFmts>
  <fonts count="8">
    <font>
      <sz val="10"/>
      <name val="Arial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sz val="8"/>
      <name val="Arial"/>
    </font>
    <font>
      <b/>
      <i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0">
    <xf numFmtId="0" fontId="0" fillId="0" borderId="0" xfId="0"/>
    <xf numFmtId="0" fontId="1" fillId="0" borderId="0" xfId="0" applyFont="1" applyFill="1" applyAlignment="1"/>
    <xf numFmtId="0" fontId="1" fillId="0" borderId="0" xfId="0" applyFont="1" applyFill="1" applyAlignment="1">
      <alignment horizontal="center"/>
    </xf>
    <xf numFmtId="0" fontId="2" fillId="0" borderId="0" xfId="0" applyFont="1"/>
    <xf numFmtId="2" fontId="2" fillId="0" borderId="0" xfId="0" applyNumberFormat="1" applyFont="1"/>
    <xf numFmtId="4" fontId="0" fillId="0" borderId="0" xfId="0" applyNumberFormat="1"/>
    <xf numFmtId="2" fontId="0" fillId="0" borderId="0" xfId="0" applyNumberFormat="1"/>
    <xf numFmtId="2" fontId="0" fillId="0" borderId="0" xfId="0" applyNumberFormat="1" applyAlignment="1">
      <alignment horizontal="center"/>
    </xf>
    <xf numFmtId="4" fontId="0" fillId="0" borderId="0" xfId="0" applyNumberFormat="1" applyFill="1"/>
    <xf numFmtId="0" fontId="0" fillId="2" borderId="1" xfId="0" applyFill="1" applyBorder="1"/>
    <xf numFmtId="49" fontId="0" fillId="0" borderId="0" xfId="0" applyNumberFormat="1" applyFill="1" applyBorder="1" applyAlignment="1"/>
    <xf numFmtId="0" fontId="3" fillId="0" borderId="0" xfId="0" applyFont="1"/>
    <xf numFmtId="2" fontId="3" fillId="0" borderId="0" xfId="0" applyNumberFormat="1" applyFont="1"/>
    <xf numFmtId="2" fontId="3" fillId="0" borderId="0" xfId="0" applyNumberFormat="1" applyFont="1" applyAlignment="1">
      <alignment horizontal="center"/>
    </xf>
    <xf numFmtId="4" fontId="3" fillId="0" borderId="0" xfId="0" applyNumberFormat="1" applyFont="1"/>
    <xf numFmtId="4" fontId="3" fillId="0" borderId="0" xfId="0" applyNumberFormat="1" applyFont="1" applyFill="1"/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4" fontId="0" fillId="2" borderId="1" xfId="0" applyNumberFormat="1" applyFill="1" applyBorder="1"/>
    <xf numFmtId="0" fontId="3" fillId="2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/>
    <xf numFmtId="2" fontId="0" fillId="4" borderId="1" xfId="0" applyNumberFormat="1" applyFill="1" applyBorder="1"/>
    <xf numFmtId="2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/>
    <xf numFmtId="0" fontId="0" fillId="0" borderId="0" xfId="0" applyNumberFormat="1" applyAlignment="1">
      <alignment horizontal="center"/>
    </xf>
    <xf numFmtId="0" fontId="4" fillId="0" borderId="0" xfId="0" applyFont="1"/>
    <xf numFmtId="0" fontId="3" fillId="5" borderId="1" xfId="0" applyFont="1" applyFill="1" applyBorder="1" applyAlignment="1">
      <alignment horizontal="center"/>
    </xf>
    <xf numFmtId="4" fontId="3" fillId="5" borderId="1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4" fontId="0" fillId="3" borderId="2" xfId="0" applyNumberFormat="1" applyFill="1" applyBorder="1"/>
    <xf numFmtId="2" fontId="0" fillId="4" borderId="2" xfId="0" applyNumberFormat="1" applyFill="1" applyBorder="1"/>
    <xf numFmtId="0" fontId="0" fillId="4" borderId="2" xfId="0" applyFill="1" applyBorder="1" applyAlignment="1">
      <alignment horizontal="center"/>
    </xf>
    <xf numFmtId="1" fontId="0" fillId="4" borderId="2" xfId="0" applyNumberFormat="1" applyFill="1" applyBorder="1" applyAlignment="1">
      <alignment horizontal="center"/>
    </xf>
    <xf numFmtId="2" fontId="0" fillId="4" borderId="2" xfId="0" applyNumberForma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2" borderId="2" xfId="0" applyFill="1" applyBorder="1"/>
    <xf numFmtId="4" fontId="0" fillId="2" borderId="2" xfId="0" applyNumberFormat="1" applyFill="1" applyBorder="1"/>
    <xf numFmtId="0" fontId="0" fillId="6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0" fontId="0" fillId="0" borderId="0" xfId="0" applyFill="1" applyBorder="1"/>
    <xf numFmtId="4" fontId="0" fillId="0" borderId="0" xfId="0" applyNumberFormat="1" applyFill="1" applyBorder="1"/>
    <xf numFmtId="2" fontId="0" fillId="0" borderId="0" xfId="0" applyNumberFormat="1" applyFill="1" applyBorder="1"/>
    <xf numFmtId="1" fontId="0" fillId="0" borderId="0" xfId="0" applyNumberFormat="1" applyFill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2" fontId="3" fillId="5" borderId="2" xfId="0" applyNumberFormat="1" applyFont="1" applyFill="1" applyBorder="1" applyAlignment="1">
      <alignment horizontal="center"/>
    </xf>
    <xf numFmtId="4" fontId="3" fillId="5" borderId="2" xfId="0" applyNumberFormat="1" applyFont="1" applyFill="1" applyBorder="1" applyAlignment="1">
      <alignment horizontal="center"/>
    </xf>
    <xf numFmtId="2" fontId="3" fillId="5" borderId="1" xfId="0" applyNumberFormat="1" applyFont="1" applyFill="1" applyBorder="1" applyAlignment="1">
      <alignment horizontal="center"/>
    </xf>
    <xf numFmtId="2" fontId="3" fillId="5" borderId="3" xfId="0" applyNumberFormat="1" applyFont="1" applyFill="1" applyBorder="1" applyAlignment="1">
      <alignment horizontal="center"/>
    </xf>
    <xf numFmtId="2" fontId="3" fillId="5" borderId="5" xfId="0" applyNumberFormat="1" applyFont="1" applyFill="1" applyBorder="1" applyAlignment="1">
      <alignment horizontal="center"/>
    </xf>
    <xf numFmtId="2" fontId="3" fillId="5" borderId="6" xfId="0" applyNumberFormat="1" applyFont="1" applyFill="1" applyBorder="1" applyAlignment="1">
      <alignment horizontal="center"/>
    </xf>
    <xf numFmtId="0" fontId="3" fillId="5" borderId="2" xfId="0" applyFont="1" applyFill="1" applyBorder="1" applyAlignment="1">
      <alignment horizontal="center"/>
    </xf>
    <xf numFmtId="2" fontId="0" fillId="2" borderId="1" xfId="0" applyNumberFormat="1" applyFill="1" applyBorder="1"/>
    <xf numFmtId="2" fontId="3" fillId="2" borderId="1" xfId="0" applyNumberFormat="1" applyFont="1" applyFill="1" applyBorder="1" applyAlignment="1">
      <alignment horizontal="center" vertical="center"/>
    </xf>
    <xf numFmtId="164" fontId="0" fillId="3" borderId="1" xfId="0" applyNumberFormat="1" applyFill="1" applyBorder="1"/>
    <xf numFmtId="2" fontId="3" fillId="6" borderId="4" xfId="0" applyNumberFormat="1" applyFont="1" applyFill="1" applyBorder="1" applyAlignment="1">
      <alignment horizontal="center"/>
    </xf>
    <xf numFmtId="2" fontId="3" fillId="6" borderId="1" xfId="0" applyNumberFormat="1" applyFont="1" applyFill="1" applyBorder="1" applyAlignment="1">
      <alignment horizontal="center"/>
    </xf>
    <xf numFmtId="2" fontId="0" fillId="6" borderId="2" xfId="0" applyNumberFormat="1" applyFill="1" applyBorder="1"/>
    <xf numFmtId="2" fontId="0" fillId="6" borderId="1" xfId="0" applyNumberFormat="1" applyFill="1" applyBorder="1"/>
    <xf numFmtId="2" fontId="3" fillId="6" borderId="7" xfId="0" applyNumberFormat="1" applyFont="1" applyFill="1" applyBorder="1" applyAlignment="1">
      <alignment horizontal="center"/>
    </xf>
    <xf numFmtId="2" fontId="4" fillId="6" borderId="1" xfId="0" applyNumberFormat="1" applyFont="1" applyFill="1" applyBorder="1"/>
    <xf numFmtId="0" fontId="3" fillId="3" borderId="1" xfId="0" applyFont="1" applyFill="1" applyBorder="1" applyAlignment="1">
      <alignment horizontal="center"/>
    </xf>
    <xf numFmtId="164" fontId="3" fillId="3" borderId="1" xfId="0" applyNumberFormat="1" applyFont="1" applyFill="1" applyBorder="1" applyAlignment="1"/>
    <xf numFmtId="0" fontId="3" fillId="0" borderId="1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4" fontId="3" fillId="5" borderId="1" xfId="0" applyNumberFormat="1" applyFont="1" applyFill="1" applyBorder="1"/>
    <xf numFmtId="4" fontId="0" fillId="4" borderId="1" xfId="0" applyNumberFormat="1" applyFill="1" applyBorder="1"/>
    <xf numFmtId="0" fontId="3" fillId="3" borderId="1" xfId="0" applyFont="1" applyFill="1" applyBorder="1"/>
    <xf numFmtId="0" fontId="3" fillId="6" borderId="1" xfId="0" applyFont="1" applyFill="1" applyBorder="1" applyAlignment="1">
      <alignment horizontal="center"/>
    </xf>
    <xf numFmtId="4" fontId="0" fillId="6" borderId="2" xfId="0" applyNumberFormat="1" applyFill="1" applyBorder="1"/>
    <xf numFmtId="4" fontId="0" fillId="6" borderId="1" xfId="0" applyNumberFormat="1" applyFill="1" applyBorder="1"/>
    <xf numFmtId="4" fontId="3" fillId="6" borderId="1" xfId="0" applyNumberFormat="1" applyFont="1" applyFill="1" applyBorder="1" applyAlignment="1">
      <alignment horizontal="center"/>
    </xf>
    <xf numFmtId="164" fontId="0" fillId="6" borderId="2" xfId="0" applyNumberFormat="1" applyFill="1" applyBorder="1"/>
    <xf numFmtId="164" fontId="0" fillId="6" borderId="1" xfId="0" applyNumberFormat="1" applyFill="1" applyBorder="1"/>
    <xf numFmtId="2" fontId="3" fillId="6" borderId="2" xfId="0" applyNumberFormat="1" applyFont="1" applyFill="1" applyBorder="1" applyAlignment="1">
      <alignment horizontal="center" vertical="center"/>
    </xf>
    <xf numFmtId="2" fontId="3" fillId="6" borderId="8" xfId="0" applyNumberFormat="1" applyFont="1" applyFill="1" applyBorder="1" applyAlignment="1">
      <alignment horizontal="center" vertical="center"/>
    </xf>
    <xf numFmtId="2" fontId="4" fillId="4" borderId="1" xfId="0" applyNumberFormat="1" applyFont="1" applyFill="1" applyBorder="1"/>
    <xf numFmtId="0" fontId="0" fillId="0" borderId="1" xfId="0" applyFill="1" applyBorder="1" applyAlignment="1">
      <alignment horizontal="center"/>
    </xf>
    <xf numFmtId="0" fontId="0" fillId="0" borderId="1" xfId="0" quotePrefix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2" fontId="3" fillId="5" borderId="1" xfId="0" applyNumberFormat="1" applyFont="1" applyFill="1" applyBorder="1"/>
    <xf numFmtId="0" fontId="0" fillId="6" borderId="1" xfId="0" applyFill="1" applyBorder="1"/>
    <xf numFmtId="0" fontId="0" fillId="6" borderId="2" xfId="0" applyFill="1" applyBorder="1" applyAlignment="1">
      <alignment horizontal="center"/>
    </xf>
    <xf numFmtId="2" fontId="3" fillId="5" borderId="9" xfId="0" applyNumberFormat="1" applyFont="1" applyFill="1" applyBorder="1" applyAlignment="1">
      <alignment horizontal="center"/>
    </xf>
    <xf numFmtId="2" fontId="7" fillId="5" borderId="1" xfId="0" applyNumberFormat="1" applyFont="1" applyFill="1" applyBorder="1"/>
    <xf numFmtId="2" fontId="7" fillId="5" borderId="2" xfId="0" applyNumberFormat="1" applyFont="1" applyFill="1" applyBorder="1"/>
    <xf numFmtId="1" fontId="7" fillId="5" borderId="2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3" fillId="5" borderId="1" xfId="0" applyFont="1" applyFill="1" applyBorder="1"/>
    <xf numFmtId="3" fontId="3" fillId="0" borderId="5" xfId="0" applyNumberFormat="1" applyFont="1" applyBorder="1" applyAlignment="1">
      <alignment horizont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4" xfId="0" applyNumberFormat="1" applyFont="1" applyFill="1" applyBorder="1" applyAlignment="1">
      <alignment horizontal="center"/>
    </xf>
    <xf numFmtId="49" fontId="3" fillId="3" borderId="7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3" fillId="2" borderId="10" xfId="0" applyNumberFormat="1" applyFont="1" applyFill="1" applyBorder="1" applyAlignment="1">
      <alignment horizontal="center"/>
    </xf>
    <xf numFmtId="2" fontId="3" fillId="2" borderId="7" xfId="0" applyNumberFormat="1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8" xfId="0" applyNumberFormat="1" applyFont="1" applyFill="1" applyBorder="1" applyAlignment="1">
      <alignment horizontal="center" vertical="center"/>
    </xf>
    <xf numFmtId="3" fontId="3" fillId="0" borderId="5" xfId="0" applyNumberFormat="1" applyFont="1" applyBorder="1" applyAlignment="1">
      <alignment horizontal="center"/>
    </xf>
    <xf numFmtId="3" fontId="3" fillId="5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2" fontId="3" fillId="5" borderId="4" xfId="0" applyNumberFormat="1" applyFont="1" applyFill="1" applyBorder="1" applyAlignment="1">
      <alignment horizontal="center"/>
    </xf>
    <xf numFmtId="2" fontId="3" fillId="5" borderId="10" xfId="0" applyNumberFormat="1" applyFont="1" applyFill="1" applyBorder="1" applyAlignment="1">
      <alignment horizontal="center"/>
    </xf>
    <xf numFmtId="2" fontId="3" fillId="5" borderId="7" xfId="0" applyNumberFormat="1" applyFont="1" applyFill="1" applyBorder="1" applyAlignment="1">
      <alignment horizontal="center"/>
    </xf>
    <xf numFmtId="4" fontId="3" fillId="2" borderId="1" xfId="0" applyNumberFormat="1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2" fontId="3" fillId="6" borderId="2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AS47"/>
  <sheetViews>
    <sheetView workbookViewId="0">
      <selection activeCell="D18" sqref="D18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57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58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67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1333.3936000026044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666.69680000130222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3.6369815767727139E-3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28052.315611060021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28000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28000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102.02575506323889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3.5183241527114717E-3</v>
      </c>
      <c r="AB40" s="91">
        <f>SUM(AB42:AB65536)</f>
        <v>-9.2142831855290819E-4</v>
      </c>
      <c r="AC40" s="91"/>
      <c r="AD40" s="91">
        <f>SUM(AD42:AD65536)</f>
        <v>3.5183241527114717E-3</v>
      </c>
      <c r="AE40" s="91">
        <f>SUM(AE42:AE65536)</f>
        <v>-9.214283185529083E-4</v>
      </c>
      <c r="AF40" s="91">
        <f>SUM(AF42:AF65536)</f>
        <v>0</v>
      </c>
      <c r="AG40" s="91">
        <f>SUM(AG42:AG65536)</f>
        <v>4.1078251911130792E-15</v>
      </c>
      <c r="AH40" s="92"/>
      <c r="AI40" s="93">
        <v>1</v>
      </c>
      <c r="AJ40" s="92">
        <f>AJ44+AF44</f>
        <v>721288.97066855163</v>
      </c>
      <c r="AK40" s="92">
        <f>AK44+AG44</f>
        <v>461622.58141082176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-85.770000000018626</v>
      </c>
      <c r="G41" s="72">
        <f>IF(D42=0,D41-$D$41,D41-D42)</f>
        <v>850.76999999996042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855.08250233526348</v>
      </c>
      <c r="N41" s="36">
        <f>IF(F41=0,,ATAN(G41/F41))</f>
        <v>-1.4703212482036865</v>
      </c>
      <c r="O41" s="36">
        <f>ABS(DEGREES(N41))</f>
        <v>84.243202050478402</v>
      </c>
      <c r="P41" s="37" t="str">
        <f>TEXT(INT(O41),"00")</f>
        <v>84</v>
      </c>
      <c r="Q41" s="38" t="str">
        <f>TEXT((O41-P41)*60,"00")</f>
        <v>15</v>
      </c>
      <c r="R41" s="39" t="str">
        <f>IF(L41="",IF(F41&gt;0,"S","N"),"")</f>
        <v>N</v>
      </c>
      <c r="S41" s="25" t="str">
        <f>IF(L41="",IF(INT(Q41)=60,INT(P41+1),P41),"due")</f>
        <v>84</v>
      </c>
      <c r="T41" s="38" t="str">
        <f>IF(L41="",IF(INT(Q41)=60,"00",Q41),L41)</f>
        <v>15</v>
      </c>
      <c r="U41" s="40" t="str">
        <f>IF(L41="",IF(G41&gt;0,"W","E"),"")</f>
        <v>W</v>
      </c>
      <c r="V41" s="41"/>
      <c r="W41" s="22">
        <f>IF(S41="due",90*(I41+K41),S41+T41/60)</f>
        <v>84.25</v>
      </c>
      <c r="X41" s="22">
        <f>IF(R41="",W41,IF(R41="N",IF(U41="E",180+W41,180-W41),IF(U41="E",360-W41,W41)))</f>
        <v>95.75</v>
      </c>
      <c r="Y41" s="22">
        <f>RADIANS(X41)</f>
        <v>1.6711527587845705</v>
      </c>
      <c r="Z41" s="64"/>
      <c r="AA41" s="58">
        <f>-M41*COS(Y41)</f>
        <v>85.66905842737367</v>
      </c>
      <c r="AB41" s="58">
        <f>-M41*SIN(Y41)</f>
        <v>-850.78017033079891</v>
      </c>
      <c r="AC41" s="64"/>
      <c r="AD41" s="22">
        <v>0</v>
      </c>
      <c r="AE41" s="22">
        <v>0</v>
      </c>
      <c r="AF41" s="22">
        <f t="shared" ref="AF41:AG43" si="0">AA41-AD41</f>
        <v>85.66905842737367</v>
      </c>
      <c r="AG41" s="22">
        <f t="shared" si="0"/>
        <v>-850.78017033079891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721314.39</v>
      </c>
      <c r="D42" s="60">
        <v>461599.45</v>
      </c>
      <c r="E42" s="79"/>
      <c r="F42" s="72">
        <f>IF(C43=0,C42-$C$42,C42-C43)</f>
        <v>0.48999999999068677</v>
      </c>
      <c r="G42" s="72">
        <f>IF(D43=0,D42-$D$42,D42-D43)</f>
        <v>-26.979999999981374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26.984449225414732</v>
      </c>
      <c r="N42" s="36">
        <f>IF(F42=0,,ATAN(G42/F42))</f>
        <v>-1.5526367220443333</v>
      </c>
      <c r="O42" s="36">
        <f>ABS(DEGREES(N42))</f>
        <v>88.959531290167007</v>
      </c>
      <c r="P42" s="37" t="str">
        <f>TEXT(INT(O42),"00")</f>
        <v>88</v>
      </c>
      <c r="Q42" s="38" t="str">
        <f>TEXT((O42-P42)*60,"00")</f>
        <v>58</v>
      </c>
      <c r="R42" s="39" t="str">
        <f>IF(L42="",IF(F42&gt;0,"S","N"),"")</f>
        <v>S</v>
      </c>
      <c r="S42" s="25" t="str">
        <f>IF(L42="",IF(INT(Q42)=60,INT(P42+1),P42),"due")</f>
        <v>88</v>
      </c>
      <c r="T42" s="38" t="str">
        <f>IF(L42="",IF(INT(Q42)=60,"00",Q42),L42)</f>
        <v>58</v>
      </c>
      <c r="U42" s="40" t="str">
        <f>IF(L42="",IF(G42&gt;0,"W","E"),"")</f>
        <v>E</v>
      </c>
      <c r="V42" s="44"/>
      <c r="W42" s="22">
        <f>IF(S42="due",90*(I42+K42),S42+T42/60)</f>
        <v>88.966666666666669</v>
      </c>
      <c r="X42" s="22">
        <f>IF(R42="",W42,IF(R42="N",IF(U42="E",180+W42,180-W42),IF(U42="E",360-W42,W42)))</f>
        <v>271.0333333333333</v>
      </c>
      <c r="Y42" s="22">
        <f>RADIANS(X42)</f>
        <v>4.7304240493219636</v>
      </c>
      <c r="Z42" s="64"/>
      <c r="AA42" s="58">
        <f>-M42*COS(Y42)</f>
        <v>-0.48664001995707457</v>
      </c>
      <c r="AB42" s="58">
        <f>-M42*SIN(Y42)</f>
        <v>26.980060813311038</v>
      </c>
      <c r="AC42" s="64"/>
      <c r="AD42" s="82">
        <f>$AA$40/$M$40*M42</f>
        <v>9.3054973617736107E-4</v>
      </c>
      <c r="AE42" s="82">
        <f>$AB$40/$M$40*M42</f>
        <v>-2.43705480654748E-4</v>
      </c>
      <c r="AF42" s="22">
        <f t="shared" si="0"/>
        <v>-0.48757056969325191</v>
      </c>
      <c r="AG42" s="22">
        <f t="shared" si="0"/>
        <v>26.980304518791694</v>
      </c>
      <c r="AH42" s="63"/>
      <c r="AI42" s="38">
        <f>A42</f>
        <v>1</v>
      </c>
      <c r="AJ42" s="82">
        <f t="shared" ref="AJ42:AK44" si="1">AJ41+AF41</f>
        <v>721314.28905842733</v>
      </c>
      <c r="AK42" s="82">
        <f t="shared" si="1"/>
        <v>461599.43982966919</v>
      </c>
      <c r="AL42" s="66"/>
      <c r="AM42" s="9" t="str">
        <f>IF(A43=0,A42&amp;" - 1",A42&amp;" - "&amp;A43)</f>
        <v>1 - 2</v>
      </c>
      <c r="AN42" s="18">
        <f>F42</f>
        <v>0.48999999999068677</v>
      </c>
      <c r="AO42" s="18">
        <f>AN42*G42</f>
        <v>-13.220199999739602</v>
      </c>
      <c r="AP42" s="9" t="str">
        <f>D42&amp;","&amp;C42</f>
        <v>461599.45,721314.39</v>
      </c>
    </row>
    <row r="43" spans="1:44">
      <c r="A43" s="20">
        <f>A42+1</f>
        <v>2</v>
      </c>
      <c r="B43" s="44"/>
      <c r="C43" s="60">
        <v>721313.9</v>
      </c>
      <c r="D43" s="60">
        <v>461626.43</v>
      </c>
      <c r="E43" s="79"/>
      <c r="F43" s="72">
        <f>IF(C44=0,C43-$C$42,C43-C44)</f>
        <v>21.960000000079162</v>
      </c>
      <c r="G43" s="72">
        <f>IF(D44=0,D43-$D$42,D43-D44)</f>
        <v>0.79999999998835847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21.974567117544279</v>
      </c>
      <c r="N43" s="36">
        <f>IF(F43=0,,ATAN(G43/F43))</f>
        <v>3.6413769521653726E-2</v>
      </c>
      <c r="O43" s="36">
        <f>ABS(DEGREES(N43))</f>
        <v>2.0863553097528689</v>
      </c>
      <c r="P43" s="37" t="str">
        <f>TEXT(INT(O43),"00")</f>
        <v>02</v>
      </c>
      <c r="Q43" s="38" t="str">
        <f>TEXT((O43-P43)*60,"00")</f>
        <v>05</v>
      </c>
      <c r="R43" s="39" t="str">
        <f>IF(L43="",IF(F43&gt;0,"S","N"),"")</f>
        <v>S</v>
      </c>
      <c r="S43" s="25" t="str">
        <f>IF(L43="",IF(INT(Q43)=60,INT(P43+1),P43),"due")</f>
        <v>02</v>
      </c>
      <c r="T43" s="38" t="str">
        <f>IF(L43="",IF(INT(Q43)=60,"00",Q43),L43)</f>
        <v>05</v>
      </c>
      <c r="U43" s="40" t="str">
        <f>IF(L43="",IF(G43&gt;0,"W","E"),"")</f>
        <v>W</v>
      </c>
      <c r="V43" s="44"/>
      <c r="W43" s="22">
        <f>IF(S43="due",90*(I43+K43),S43+T43/60)</f>
        <v>2.0833333333333335</v>
      </c>
      <c r="X43" s="22">
        <f>IF(R43="",W43,IF(R43="N",IF(U43="E",180+W43,180-W43),IF(U43="E",360-W43,W43)))</f>
        <v>2.0833333333333335</v>
      </c>
      <c r="Y43" s="22">
        <f>RADIANS(X43)</f>
        <v>3.6361026083215203E-2</v>
      </c>
      <c r="Z43" s="64"/>
      <c r="AA43" s="58">
        <f>-M43*COS(Y43)</f>
        <v>-21.960042164284957</v>
      </c>
      <c r="AB43" s="58">
        <f>-M43*SIN(Y43)</f>
        <v>-0.79884175296803328</v>
      </c>
      <c r="AC43" s="64"/>
      <c r="AD43" s="82">
        <f>$AA$40/$M$40*M43</f>
        <v>7.5778562174927118E-4</v>
      </c>
      <c r="AE43" s="82">
        <f>$AB$40/$M$40*M43</f>
        <v>-1.9845957932383338E-4</v>
      </c>
      <c r="AF43" s="22">
        <f t="shared" si="0"/>
        <v>-21.960799949906708</v>
      </c>
      <c r="AG43" s="22">
        <f t="shared" si="0"/>
        <v>-0.79864329338870943</v>
      </c>
      <c r="AH43" s="64"/>
      <c r="AI43" s="25">
        <f>A43</f>
        <v>2</v>
      </c>
      <c r="AJ43" s="82">
        <f t="shared" si="1"/>
        <v>721313.80148785759</v>
      </c>
      <c r="AK43" s="82">
        <f t="shared" si="1"/>
        <v>461626.42013418797</v>
      </c>
      <c r="AL43" s="66"/>
      <c r="AM43" s="9" t="str">
        <f>IF(A44=0,A43&amp;" - 1",A43&amp;" - "&amp;A44)</f>
        <v>2 - 3</v>
      </c>
      <c r="AN43" s="18">
        <f>AN42+F42+F43</f>
        <v>22.940000000060536</v>
      </c>
      <c r="AO43" s="18">
        <f>AN43*G43</f>
        <v>18.351999999781373</v>
      </c>
      <c r="AP43" s="9" t="str">
        <f>D43&amp;","&amp;C43</f>
        <v>461626.43,721313.9</v>
      </c>
    </row>
    <row r="44" spans="1:44" s="46" customFormat="1">
      <c r="A44" s="20">
        <f>A43+1</f>
        <v>3</v>
      </c>
      <c r="B44" s="44"/>
      <c r="C44" s="60">
        <v>721291.94</v>
      </c>
      <c r="D44" s="60">
        <v>461625.63</v>
      </c>
      <c r="E44" s="79"/>
      <c r="F44" s="72">
        <f>IF(C45=0,C44-$C$42,C44-C45)</f>
        <v>2.8699999999953434</v>
      </c>
      <c r="G44" s="72">
        <f>IF(D45=0,D44-$D$42,D44-D45)</f>
        <v>3.0399999999790452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4.1807296013789106</v>
      </c>
      <c r="N44" s="22">
        <f>IF(F44=0,,ATAN(G44/F44))</f>
        <v>0.81415503927773847</v>
      </c>
      <c r="O44" s="22">
        <f>ABS(DEGREES(N44))</f>
        <v>46.647647619922182</v>
      </c>
      <c r="P44" s="24" t="str">
        <f>TEXT(INT(O44),"00")</f>
        <v>46</v>
      </c>
      <c r="Q44" s="25" t="str">
        <f>TEXT((O44-P44)*60,"00")</f>
        <v>39</v>
      </c>
      <c r="R44" s="23" t="str">
        <f>IF(L44="",IF(F44&gt;0,"S","N"),"")</f>
        <v>S</v>
      </c>
      <c r="S44" s="25" t="str">
        <f>IF(L44="",IF(INT(Q44)=60,INT(P44+1),P44),"due")</f>
        <v>46</v>
      </c>
      <c r="T44" s="25" t="str">
        <f>IF(L44="",IF(INT(Q44)=60,"00",Q44),L44)</f>
        <v>39</v>
      </c>
      <c r="U44" s="24" t="str">
        <f>IF(L44="",IF(G44&gt;0,"W","E"),"")</f>
        <v>W</v>
      </c>
      <c r="V44" s="44"/>
      <c r="W44" s="22">
        <f>IF(S44="due",90*(I44+K44),S44+T44/60)</f>
        <v>46.65</v>
      </c>
      <c r="X44" s="22">
        <f>IF(R44="",W44,IF(R44="N",IF(U44="E",180+W44,180-W44),IF(U44="E",360-W44,W44)))</f>
        <v>46.65</v>
      </c>
      <c r="Y44" s="22">
        <f>RADIANS(X44)</f>
        <v>0.8141960960553547</v>
      </c>
      <c r="Z44" s="64"/>
      <c r="AA44" s="58">
        <f>-M44*COS(Y44)</f>
        <v>-2.8698751849725048</v>
      </c>
      <c r="AB44" s="58">
        <f>-M44*SIN(Y44)</f>
        <v>-3.040117830368569</v>
      </c>
      <c r="AC44" s="64"/>
      <c r="AD44" s="82">
        <f>$AA$40/$M$40*M44</f>
        <v>1.4417106664263356E-4</v>
      </c>
      <c r="AE44" s="82">
        <f>$AB$40/$M$40*M44</f>
        <v>-3.7757550968725441E-5</v>
      </c>
      <c r="AF44" s="22">
        <f>AA44-AD44</f>
        <v>-2.8700193560391476</v>
      </c>
      <c r="AG44" s="22">
        <f>AB44-AE44</f>
        <v>-3.0400800728176001</v>
      </c>
      <c r="AH44" s="64"/>
      <c r="AI44" s="25">
        <f>A44</f>
        <v>3</v>
      </c>
      <c r="AJ44" s="82">
        <f t="shared" si="1"/>
        <v>721291.84068790765</v>
      </c>
      <c r="AK44" s="82">
        <f t="shared" si="1"/>
        <v>461625.62149089458</v>
      </c>
      <c r="AL44" s="66"/>
      <c r="AM44" s="9" t="str">
        <f>IF(A45=0,A44&amp;" - 1",A44&amp;" - "&amp;A45)</f>
        <v>3 - 4</v>
      </c>
      <c r="AN44" s="18">
        <f>AN43+F43+F44</f>
        <v>47.770000000135042</v>
      </c>
      <c r="AO44" s="18">
        <f>AN44*G44</f>
        <v>145.22079999940951</v>
      </c>
      <c r="AP44" s="9" t="str">
        <f>D44&amp;","&amp;C44</f>
        <v>461625.63,721291.94</v>
      </c>
    </row>
    <row r="45" spans="1:44" s="46" customFormat="1">
      <c r="A45" s="20">
        <f t="shared" ref="A45:A46" si="2">A44+1</f>
        <v>4</v>
      </c>
      <c r="B45" s="44"/>
      <c r="C45" s="60">
        <v>721289.07</v>
      </c>
      <c r="D45" s="60">
        <v>461622.59</v>
      </c>
      <c r="E45" s="79"/>
      <c r="F45" s="72">
        <f t="shared" ref="F45:F46" si="3">IF(C46=0,C45-$C$42,C45-C46)</f>
        <v>-0.39000000001396984</v>
      </c>
      <c r="G45" s="72">
        <f t="shared" ref="G45:G46" si="4">IF(D46=0,D45-$D$42,D45-D46)</f>
        <v>23.940000000002328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23.943176480996048</v>
      </c>
      <c r="N45" s="22">
        <f t="shared" ref="N45:N46" si="11">IF(F45=0,,ATAN(G45/F45))</f>
        <v>-1.554507040867785</v>
      </c>
      <c r="O45" s="22">
        <f t="shared" ref="O45:O46" si="12">ABS(DEGREES(N45))</f>
        <v>89.066692665094664</v>
      </c>
      <c r="P45" s="24" t="str">
        <f t="shared" ref="P45:P46" si="13">TEXT(INT(O45),"00")</f>
        <v>89</v>
      </c>
      <c r="Q45" s="25" t="str">
        <f t="shared" ref="Q45:Q46" si="14">TEXT((O45-P45)*60,"00")</f>
        <v>04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89</v>
      </c>
      <c r="T45" s="25" t="str">
        <f t="shared" ref="T45:T46" si="17">IF(L45="",IF(INT(Q45)=60,"00",Q45),L45)</f>
        <v>04</v>
      </c>
      <c r="U45" s="24" t="str">
        <f t="shared" ref="U45:U46" si="18">IF(L45="",IF(G45&gt;0,"W","E"),"")</f>
        <v>W</v>
      </c>
      <c r="V45" s="44"/>
      <c r="W45" s="22">
        <f t="shared" ref="W45:W46" si="19">IF(S45="due",90*(I45+K45),S45+T45/60)</f>
        <v>89.066666666666663</v>
      </c>
      <c r="X45" s="22">
        <f t="shared" ref="X45:X46" si="20">IF(R45="",W45,IF(R45="N",IF(U45="E",180+W45,180-W45),IF(U45="E",360-W45,W45)))</f>
        <v>90.933333333333337</v>
      </c>
      <c r="Y45" s="22">
        <f t="shared" ref="Y45:Y46" si="21">RADIANS(X45)</f>
        <v>1.5870860664801771</v>
      </c>
      <c r="Z45" s="64"/>
      <c r="AA45" s="58">
        <f t="shared" ref="AA45:AA46" si="22">-M45*COS(Y45)</f>
        <v>0.39001086298449522</v>
      </c>
      <c r="AB45" s="58">
        <f t="shared" ref="AB45:AB46" si="23">-M45*SIN(Y45)</f>
        <v>-23.939999823034178</v>
      </c>
      <c r="AC45" s="64"/>
      <c r="AD45" s="82">
        <f t="shared" ref="AD45:AD46" si="24">$AA$40/$M$40*M45</f>
        <v>8.2567245940504965E-4</v>
      </c>
      <c r="AE45" s="82">
        <f t="shared" ref="AE45:AE46" si="25">$AB$40/$M$40*M45</f>
        <v>-2.1623874120828637E-4</v>
      </c>
      <c r="AF45" s="22">
        <f t="shared" ref="AF45:AF46" si="26">AA45-AD45</f>
        <v>0.38918519052509015</v>
      </c>
      <c r="AG45" s="22">
        <f t="shared" ref="AG45:AG46" si="27">AB45-AE45</f>
        <v>-23.939783584292968</v>
      </c>
      <c r="AH45" s="64"/>
      <c r="AI45" s="25">
        <f t="shared" ref="AI45:AI46" si="28">A45</f>
        <v>4</v>
      </c>
      <c r="AJ45" s="82">
        <f t="shared" ref="AJ45:AJ46" si="29">AJ44+AF44</f>
        <v>721288.97066855163</v>
      </c>
      <c r="AK45" s="82">
        <f t="shared" ref="AK45:AK46" si="30">AK44+AG44</f>
        <v>461622.58141082176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50.250000000116415</v>
      </c>
      <c r="AO45" s="18">
        <f t="shared" ref="AO45:AO46" si="33">AN45*G45</f>
        <v>1202.9850000029039</v>
      </c>
      <c r="AP45" s="9" t="str">
        <f t="shared" ref="AP45:AP46" si="34">D45&amp;","&amp;C45</f>
        <v>461622.59,721289.07</v>
      </c>
    </row>
    <row r="46" spans="1:44" s="46" customFormat="1">
      <c r="A46" s="20">
        <f t="shared" si="2"/>
        <v>5</v>
      </c>
      <c r="B46" s="44"/>
      <c r="C46" s="60">
        <v>721289.46</v>
      </c>
      <c r="D46" s="60">
        <v>461598.65</v>
      </c>
      <c r="E46" s="79"/>
      <c r="F46" s="72">
        <f t="shared" si="3"/>
        <v>-24.930000000051223</v>
      </c>
      <c r="G46" s="72">
        <f t="shared" si="4"/>
        <v>-0.79999999998835847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24.942832637904928</v>
      </c>
      <c r="N46" s="22">
        <f t="shared" si="11"/>
        <v>3.2078843451258679E-2</v>
      </c>
      <c r="O46" s="22">
        <f t="shared" si="12"/>
        <v>1.8379823414180021</v>
      </c>
      <c r="P46" s="24" t="str">
        <f t="shared" si="13"/>
        <v>01</v>
      </c>
      <c r="Q46" s="25" t="str">
        <f t="shared" si="14"/>
        <v>50</v>
      </c>
      <c r="R46" s="23" t="str">
        <f t="shared" si="15"/>
        <v>N</v>
      </c>
      <c r="S46" s="25" t="str">
        <f t="shared" si="16"/>
        <v>01</v>
      </c>
      <c r="T46" s="25" t="str">
        <f t="shared" si="17"/>
        <v>50</v>
      </c>
      <c r="U46" s="24" t="str">
        <f t="shared" si="18"/>
        <v>E</v>
      </c>
      <c r="V46" s="44"/>
      <c r="W46" s="22">
        <f t="shared" si="19"/>
        <v>1.8333333333333335</v>
      </c>
      <c r="X46" s="22">
        <f t="shared" si="20"/>
        <v>181.83333333333334</v>
      </c>
      <c r="Y46" s="22">
        <f t="shared" si="21"/>
        <v>3.1735903565430226</v>
      </c>
      <c r="Z46" s="64"/>
      <c r="AA46" s="58">
        <f t="shared" si="22"/>
        <v>24.930064830382751</v>
      </c>
      <c r="AB46" s="58">
        <f t="shared" si="23"/>
        <v>0.79797716474119007</v>
      </c>
      <c r="AC46" s="64"/>
      <c r="AD46" s="82">
        <f t="shared" si="24"/>
        <v>8.6014526873715621E-4</v>
      </c>
      <c r="AE46" s="82">
        <f t="shared" si="25"/>
        <v>-2.2526696639731513E-4</v>
      </c>
      <c r="AF46" s="22">
        <f t="shared" si="26"/>
        <v>24.929204685114012</v>
      </c>
      <c r="AG46" s="22">
        <f t="shared" si="27"/>
        <v>0.79820243170758742</v>
      </c>
      <c r="AH46" s="64"/>
      <c r="AI46" s="25">
        <f t="shared" si="28"/>
        <v>5</v>
      </c>
      <c r="AJ46" s="82">
        <f t="shared" si="29"/>
        <v>721289.35985374218</v>
      </c>
      <c r="AK46" s="82">
        <f t="shared" si="30"/>
        <v>461598.64162723749</v>
      </c>
      <c r="AL46" s="66"/>
      <c r="AM46" s="9" t="str">
        <f t="shared" si="31"/>
        <v>5 - 1</v>
      </c>
      <c r="AN46" s="18">
        <f t="shared" si="32"/>
        <v>24.930000000051223</v>
      </c>
      <c r="AO46" s="18">
        <f t="shared" si="33"/>
        <v>-19.943999999750755</v>
      </c>
      <c r="AP46" s="9" t="str">
        <f t="shared" si="34"/>
        <v>461598.65,721289.46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P38:AP39"/>
    <mergeCell ref="A40:L40"/>
    <mergeCell ref="AJ38:AK38"/>
    <mergeCell ref="AA38:AA39"/>
    <mergeCell ref="AB38:AB39"/>
    <mergeCell ref="C38:D38"/>
    <mergeCell ref="AM38:AO38"/>
    <mergeCell ref="M38:U38"/>
    <mergeCell ref="V38:V39"/>
    <mergeCell ref="A28:B28"/>
    <mergeCell ref="N39:Q39"/>
    <mergeCell ref="R39:U39"/>
    <mergeCell ref="C7:D7"/>
    <mergeCell ref="C8:D8"/>
    <mergeCell ref="C9:D9"/>
    <mergeCell ref="C13:D13"/>
    <mergeCell ref="C14:D14"/>
    <mergeCell ref="C15:D15"/>
    <mergeCell ref="C16:D16"/>
    <mergeCell ref="A29:B29"/>
    <mergeCell ref="A38:A39"/>
    <mergeCell ref="B35:C35"/>
    <mergeCell ref="B32:C32"/>
    <mergeCell ref="B33:C33"/>
    <mergeCell ref="B34:C34"/>
    <mergeCell ref="C19:D19"/>
    <mergeCell ref="A1:AJ1"/>
    <mergeCell ref="C10:D10"/>
    <mergeCell ref="C11:D11"/>
    <mergeCell ref="C12:D12"/>
  </mergeCells>
  <phoneticPr fontId="0" type="noConversion"/>
  <printOptions verticalCentered="1"/>
  <pageMargins left="0.75" right="0.75" top="1" bottom="1" header="0.5" footer="0.5"/>
  <pageSetup orientation="landscape" horizontalDpi="4294967293" verticalDpi="2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10"/>
  <dimension ref="A1:AS47"/>
  <sheetViews>
    <sheetView tabSelected="1"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94" t="s">
        <v>48</v>
      </c>
      <c r="B1" s="94"/>
      <c r="C1" s="94"/>
      <c r="D1" s="94"/>
      <c r="E1" s="94"/>
      <c r="F1" s="94"/>
      <c r="G1" s="94"/>
      <c r="H1" s="94"/>
      <c r="I1" s="94"/>
      <c r="J1" s="94"/>
      <c r="K1" s="94"/>
      <c r="L1" s="94"/>
      <c r="M1" s="94"/>
      <c r="N1" s="94"/>
      <c r="O1" s="94"/>
      <c r="P1" s="94"/>
      <c r="Q1" s="94"/>
      <c r="R1" s="94"/>
      <c r="S1" s="94"/>
      <c r="T1" s="94"/>
      <c r="U1" s="94"/>
      <c r="V1" s="94"/>
      <c r="W1" s="94"/>
      <c r="X1" s="94"/>
      <c r="Y1" s="94"/>
      <c r="Z1" s="94"/>
      <c r="AA1" s="94"/>
      <c r="AB1" s="94"/>
      <c r="AC1" s="94"/>
      <c r="AD1" s="94"/>
      <c r="AE1" s="94"/>
      <c r="AF1" s="94"/>
      <c r="AG1" s="94"/>
      <c r="AH1" s="94"/>
      <c r="AI1" s="94"/>
      <c r="AJ1" s="94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09" t="s">
        <v>96</v>
      </c>
      <c r="D8" s="86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09" t="s">
        <v>59</v>
      </c>
      <c r="D9" s="86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09" t="s">
        <v>97</v>
      </c>
      <c r="D10" s="86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09" t="s">
        <v>61</v>
      </c>
      <c r="D11" s="86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09" t="s">
        <v>62</v>
      </c>
      <c r="D12" s="86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09" t="s">
        <v>63</v>
      </c>
      <c r="D13" s="86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09" t="s">
        <v>64</v>
      </c>
      <c r="D14" s="86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09" t="s">
        <v>65</v>
      </c>
      <c r="D15" s="86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09" t="s">
        <v>66</v>
      </c>
      <c r="D16" s="86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09" t="s">
        <v>98</v>
      </c>
      <c r="D19" s="86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95" t="s">
        <v>16</v>
      </c>
      <c r="B28" s="95"/>
      <c r="C28" s="33">
        <f>ABS(SUM(AO42:AO65536))</f>
        <v>1214.9068000014045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32" t="s">
        <v>17</v>
      </c>
      <c r="B29" s="32"/>
      <c r="C29" s="32">
        <f>ABS(C28/2)</f>
        <v>607.45340000070223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32">
        <f>SQRT(AA40^2+AB40^2)</f>
        <v>4.3391987243586077E-3</v>
      </c>
      <c r="C32" s="32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08">
        <f>M40/B32</f>
        <v>22761.592892639219</v>
      </c>
      <c r="C33" s="108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32" t="str">
        <f>"1 : "&amp;TEXT(B35,"00")</f>
        <v>1 : 23000</v>
      </c>
      <c r="C34" s="32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t="12.75" hidden="1" customHeight="1">
      <c r="A35" s="70"/>
      <c r="B35" s="104">
        <f>ROUND(B33,2-LEN(INT(B33)))</f>
        <v>23000</v>
      </c>
      <c r="C35" s="104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00" t="s">
        <v>9</v>
      </c>
      <c r="B38" s="88"/>
      <c r="C38" s="16" t="s">
        <v>7</v>
      </c>
      <c r="D38" s="1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7" t="s">
        <v>8</v>
      </c>
      <c r="N38" s="17"/>
      <c r="O38" s="17"/>
      <c r="P38" s="17"/>
      <c r="Q38" s="17"/>
      <c r="R38" s="17"/>
      <c r="S38" s="17"/>
      <c r="T38" s="17"/>
      <c r="U38" s="17"/>
      <c r="V38" s="98"/>
      <c r="W38" s="59"/>
      <c r="X38" s="59" t="s">
        <v>33</v>
      </c>
      <c r="Y38" s="59" t="s">
        <v>34</v>
      </c>
      <c r="Z38" s="80"/>
      <c r="AA38" s="100" t="s">
        <v>30</v>
      </c>
      <c r="AB38" s="100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45" t="s">
        <v>55</v>
      </c>
      <c r="AK38" s="97"/>
      <c r="AL38" s="65"/>
      <c r="AM38" s="45" t="s">
        <v>18</v>
      </c>
      <c r="AN38" s="96"/>
      <c r="AO38" s="97"/>
      <c r="AP38" s="102" t="s">
        <v>56</v>
      </c>
    </row>
    <row r="39" spans="1:44">
      <c r="A39" s="101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45" t="s">
        <v>21</v>
      </c>
      <c r="O39" s="96"/>
      <c r="P39" s="96"/>
      <c r="Q39" s="97"/>
      <c r="R39" s="45" t="s">
        <v>24</v>
      </c>
      <c r="S39" s="96"/>
      <c r="T39" s="96"/>
      <c r="U39" s="97"/>
      <c r="V39" s="99"/>
      <c r="W39" s="59"/>
      <c r="X39" s="59"/>
      <c r="Y39" s="59"/>
      <c r="Z39" s="81"/>
      <c r="AA39" s="101"/>
      <c r="AB39" s="101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02"/>
    </row>
    <row r="40" spans="1:44" s="11" customFormat="1">
      <c r="A40" s="105" t="s">
        <v>25</v>
      </c>
      <c r="B40" s="106"/>
      <c r="C40" s="106"/>
      <c r="D40" s="106"/>
      <c r="E40" s="106"/>
      <c r="F40" s="106"/>
      <c r="G40" s="106"/>
      <c r="H40" s="106"/>
      <c r="I40" s="106"/>
      <c r="J40" s="106"/>
      <c r="K40" s="106"/>
      <c r="L40" s="107"/>
      <c r="M40" s="51">
        <f>SUM(M42:M65536)</f>
        <v>98.767074844110056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-2.0900166498190043E-3</v>
      </c>
      <c r="AB40" s="91">
        <f>SUM(AB42:AB65536)</f>
        <v>-3.8026932525454527E-3</v>
      </c>
      <c r="AC40" s="91"/>
      <c r="AD40" s="91">
        <f>SUM(AD42:AD65536)</f>
        <v>-2.0900166498190043E-3</v>
      </c>
      <c r="AE40" s="91">
        <f>SUM(AE42:AE65536)</f>
        <v>-3.8026932525454518E-3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721231.77508537134</v>
      </c>
      <c r="AK40" s="92">
        <f>AK44+AG44</f>
        <v>461603.87876950915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-1.8399999999674037</v>
      </c>
      <c r="G41" s="72">
        <f>IF(D42=0,D41-$D$41,D41-D42)</f>
        <v>870.68999999994412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870.69194420294411</v>
      </c>
      <c r="N41" s="36">
        <f>IF(F41=0,,ATAN(G41/F41))</f>
        <v>-1.5686830634510056</v>
      </c>
      <c r="O41" s="36">
        <f>ABS(DEGREES(N41))</f>
        <v>89.87891892939534</v>
      </c>
      <c r="P41" s="37" t="str">
        <f>TEXT(INT(O41),"00")</f>
        <v>89</v>
      </c>
      <c r="Q41" s="38" t="str">
        <f>TEXT((O41-P41)*60,"00")</f>
        <v>53</v>
      </c>
      <c r="R41" s="39" t="str">
        <f>IF(L41="",IF(F41&gt;0,"S","N"),"")</f>
        <v>N</v>
      </c>
      <c r="S41" s="25" t="str">
        <f>IF(L41="",IF(INT(Q41)=60,INT(P41+1),P41),"due")</f>
        <v>89</v>
      </c>
      <c r="T41" s="38" t="str">
        <f>IF(L41="",IF(INT(Q41)=60,"00",Q41),L41)</f>
        <v>53</v>
      </c>
      <c r="U41" s="40" t="str">
        <f>IF(L41="",IF(G41&gt;0,"W","E"),"")</f>
        <v>W</v>
      </c>
      <c r="V41" s="41"/>
      <c r="W41" s="22">
        <f>IF(S41="due",90*(I41+K41),S41+T41/60)</f>
        <v>89.88333333333334</v>
      </c>
      <c r="X41" s="22">
        <f>IF(R41="",W41,IF(R41="N",IF(U41="E",180+W41,180-W41),IF(U41="E",360-W41,W41)))</f>
        <v>90.11666666666666</v>
      </c>
      <c r="Y41" s="22">
        <f>RADIANS(X41)</f>
        <v>1.5728325442555566</v>
      </c>
      <c r="Z41" s="64"/>
      <c r="AA41" s="58">
        <f>-M41*COS(Y41)</f>
        <v>1.7729169145022219</v>
      </c>
      <c r="AB41" s="58">
        <f>-M41*SIN(Y41)</f>
        <v>-870.69013918013161</v>
      </c>
      <c r="AC41" s="64"/>
      <c r="AD41" s="22">
        <v>0</v>
      </c>
      <c r="AE41" s="22">
        <v>0</v>
      </c>
      <c r="AF41" s="22">
        <f t="shared" ref="AF41:AG43" si="0">AA41-AD41</f>
        <v>1.7729169145022219</v>
      </c>
      <c r="AG41" s="22">
        <f t="shared" si="0"/>
        <v>-870.69013918013161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721230.46</v>
      </c>
      <c r="D42" s="60">
        <v>461579.53</v>
      </c>
      <c r="E42" s="79"/>
      <c r="F42" s="72">
        <f>IF(C43=0,C42-$C$42,C42-C43)</f>
        <v>-25.75</v>
      </c>
      <c r="G42" s="72">
        <f>IF(D43=0,D42-$D$42,D42-D43)</f>
        <v>-1.2299999999813735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25.779359961022191</v>
      </c>
      <c r="N42" s="36">
        <f>IF(F42=0,,ATAN(G42/F42))</f>
        <v>4.773071019795435E-2</v>
      </c>
      <c r="O42" s="36">
        <f>ABS(DEGREES(N42))</f>
        <v>2.7347682475048223</v>
      </c>
      <c r="P42" s="37" t="str">
        <f>TEXT(INT(O42),"00")</f>
        <v>02</v>
      </c>
      <c r="Q42" s="38" t="str">
        <f>TEXT((O42-P42)*60,"00")</f>
        <v>44</v>
      </c>
      <c r="R42" s="39" t="str">
        <f>IF(L42="",IF(F42&gt;0,"S","N"),"")</f>
        <v>N</v>
      </c>
      <c r="S42" s="25" t="str">
        <f>IF(L42="",IF(INT(Q42)=60,INT(P42+1),P42),"due")</f>
        <v>02</v>
      </c>
      <c r="T42" s="38" t="str">
        <f>IF(L42="",IF(INT(Q42)=60,"00",Q42),L42)</f>
        <v>44</v>
      </c>
      <c r="U42" s="40" t="str">
        <f>IF(L42="",IF(G42&gt;0,"W","E"),"")</f>
        <v>E</v>
      </c>
      <c r="V42" s="44"/>
      <c r="W42" s="22">
        <f>IF(S42="due",90*(I42+K42),S42+T42/60)</f>
        <v>2.7333333333333334</v>
      </c>
      <c r="X42" s="22">
        <f>IF(R42="",W42,IF(R42="N",IF(U42="E",180+W42,180-W42),IF(U42="E",360-W42,W42)))</f>
        <v>182.73333333333332</v>
      </c>
      <c r="Y42" s="22">
        <f>RADIANS(X42)</f>
        <v>3.1892983198109714</v>
      </c>
      <c r="Z42" s="64"/>
      <c r="AA42" s="58">
        <f>-M42*COS(Y42)</f>
        <v>25.750030796016219</v>
      </c>
      <c r="AB42" s="58">
        <f>-M42*SIN(Y42)</f>
        <v>1.2293551171937267</v>
      </c>
      <c r="AC42" s="64"/>
      <c r="AD42" s="82">
        <f>$AA$40/$M$40*M42</f>
        <v>-5.4551875334219087E-4</v>
      </c>
      <c r="AE42" s="82">
        <f>$AB$40/$M$40*M42</f>
        <v>-9.9254734772137002E-4</v>
      </c>
      <c r="AF42" s="22">
        <f t="shared" si="0"/>
        <v>25.75057631476956</v>
      </c>
      <c r="AG42" s="22">
        <f t="shared" si="0"/>
        <v>1.2303476645414482</v>
      </c>
      <c r="AH42" s="63"/>
      <c r="AI42" s="38">
        <f>A42</f>
        <v>1</v>
      </c>
      <c r="AJ42" s="82">
        <f t="shared" ref="AJ42:AK44" si="1">AJ41+AF41</f>
        <v>721230.39291691454</v>
      </c>
      <c r="AK42" s="82">
        <f t="shared" si="1"/>
        <v>461579.52986081986</v>
      </c>
      <c r="AL42" s="66"/>
      <c r="AM42" s="9" t="str">
        <f>IF(A43=0,A42&amp;" - 1",A42&amp;" - "&amp;A43)</f>
        <v>1 - 2</v>
      </c>
      <c r="AN42" s="18">
        <f>F42</f>
        <v>-25.75</v>
      </c>
      <c r="AO42" s="18">
        <f>AN42*G42</f>
        <v>31.672499999520369</v>
      </c>
      <c r="AP42" s="9" t="str">
        <f>D42&amp;","&amp;C42</f>
        <v>461579.53,721230.46</v>
      </c>
    </row>
    <row r="43" spans="1:44">
      <c r="A43" s="20">
        <f>A42+1</f>
        <v>2</v>
      </c>
      <c r="B43" s="44"/>
      <c r="C43" s="60">
        <v>721256.21</v>
      </c>
      <c r="D43" s="60">
        <v>461580.76</v>
      </c>
      <c r="E43" s="79"/>
      <c r="F43" s="72">
        <f>IF(C44=0,C43-$C$42,C43-C44)</f>
        <v>0.64999999990686774</v>
      </c>
      <c r="G43" s="72">
        <f>IF(D44=0,D43-$D$42,D43-D44)</f>
        <v>-24.809999999997672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24.818513251195434</v>
      </c>
      <c r="N43" s="36">
        <f>IF(F43=0,,ATAN(G43/F43))</f>
        <v>-1.5446032053710643</v>
      </c>
      <c r="O43" s="36">
        <f>ABS(DEGREES(N43))</f>
        <v>88.499244690140713</v>
      </c>
      <c r="P43" s="37" t="str">
        <f>TEXT(INT(O43),"00")</f>
        <v>88</v>
      </c>
      <c r="Q43" s="38" t="str">
        <f>TEXT((O43-P43)*60,"00")</f>
        <v>30</v>
      </c>
      <c r="R43" s="39" t="str">
        <f>IF(L43="",IF(F43&gt;0,"S","N"),"")</f>
        <v>S</v>
      </c>
      <c r="S43" s="25" t="str">
        <f>IF(L43="",IF(INT(Q43)=60,INT(P43+1),P43),"due")</f>
        <v>88</v>
      </c>
      <c r="T43" s="38" t="str">
        <f>IF(L43="",IF(INT(Q43)=60,"00",Q43),L43)</f>
        <v>30</v>
      </c>
      <c r="U43" s="40" t="str">
        <f>IF(L43="",IF(G43&gt;0,"W","E"),"")</f>
        <v>E</v>
      </c>
      <c r="V43" s="44"/>
      <c r="W43" s="22">
        <f>IF(S43="due",90*(I43+K43),S43+T43/60)</f>
        <v>88.5</v>
      </c>
      <c r="X43" s="22">
        <f>IF(R43="",W43,IF(R43="N",IF(U43="E",180+W43,180-W43),IF(U43="E",360-W43,W43)))</f>
        <v>271.5</v>
      </c>
      <c r="Y43" s="22">
        <f>RADIANS(X43)</f>
        <v>4.7385689191646048</v>
      </c>
      <c r="Z43" s="64"/>
      <c r="AA43" s="58">
        <f>-M43*COS(Y43)</f>
        <v>-0.64967293845480678</v>
      </c>
      <c r="AB43" s="58">
        <f>-M43*SIN(Y43)</f>
        <v>24.810008566560448</v>
      </c>
      <c r="AC43" s="64"/>
      <c r="AD43" s="82">
        <f>$AA$40/$M$40*M43</f>
        <v>-5.2518621211191372E-4</v>
      </c>
      <c r="AE43" s="82">
        <f>$AB$40/$M$40*M43</f>
        <v>-9.5555318437335419E-4</v>
      </c>
      <c r="AF43" s="22">
        <f t="shared" si="0"/>
        <v>-0.64914775224269483</v>
      </c>
      <c r="AG43" s="22">
        <f t="shared" si="0"/>
        <v>24.810964119744821</v>
      </c>
      <c r="AH43" s="64"/>
      <c r="AI43" s="25">
        <f>A43</f>
        <v>2</v>
      </c>
      <c r="AJ43" s="82">
        <f t="shared" si="1"/>
        <v>721256.14349322929</v>
      </c>
      <c r="AK43" s="82">
        <f t="shared" si="1"/>
        <v>461580.76020848443</v>
      </c>
      <c r="AL43" s="66"/>
      <c r="AM43" s="9" t="str">
        <f>IF(A44=0,A43&amp;" - 1",A43&amp;" - "&amp;A44)</f>
        <v>2 - 3</v>
      </c>
      <c r="AN43" s="18">
        <f>AN42+F42+F43</f>
        <v>-50.850000000093132</v>
      </c>
      <c r="AO43" s="18">
        <f>AN43*G43</f>
        <v>1261.5885000021922</v>
      </c>
      <c r="AP43" s="9" t="str">
        <f>D43&amp;","&amp;C43</f>
        <v>461580.76,721256.21</v>
      </c>
    </row>
    <row r="44" spans="1:44" s="46" customFormat="1">
      <c r="A44" s="20">
        <f>A43+1</f>
        <v>3</v>
      </c>
      <c r="B44" s="44"/>
      <c r="C44" s="60">
        <v>721255.56</v>
      </c>
      <c r="D44" s="60">
        <v>461605.57</v>
      </c>
      <c r="E44" s="79"/>
      <c r="F44" s="72">
        <f>IF(C45=0,C44-$C$42,C44-C45)</f>
        <v>23.720000000088476</v>
      </c>
      <c r="G44" s="72">
        <f>IF(D45=0,D44-$D$42,D44-D45)</f>
        <v>1.6900000000023283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23.780128258783741</v>
      </c>
      <c r="N44" s="22">
        <f>IF(F44=0,,ATAN(G44/F44))</f>
        <v>7.1127700278566075E-2</v>
      </c>
      <c r="O44" s="22">
        <f>ABS(DEGREES(N44))</f>
        <v>4.0753170324333263</v>
      </c>
      <c r="P44" s="24" t="str">
        <f>TEXT(INT(O44),"00")</f>
        <v>04</v>
      </c>
      <c r="Q44" s="25" t="str">
        <f>TEXT((O44-P44)*60,"00")</f>
        <v>05</v>
      </c>
      <c r="R44" s="23" t="str">
        <f>IF(L44="",IF(F44&gt;0,"S","N"),"")</f>
        <v>S</v>
      </c>
      <c r="S44" s="25" t="str">
        <f>IF(L44="",IF(INT(Q44)=60,INT(P44+1),P44),"due")</f>
        <v>04</v>
      </c>
      <c r="T44" s="25" t="str">
        <f>IF(L44="",IF(INT(Q44)=60,"00",Q44),L44)</f>
        <v>05</v>
      </c>
      <c r="U44" s="24" t="str">
        <f>IF(L44="",IF(G44&gt;0,"W","E"),"")</f>
        <v>W</v>
      </c>
      <c r="V44" s="44"/>
      <c r="W44" s="22">
        <f>IF(S44="due",90*(I44+K44),S44+T44/60)</f>
        <v>4.083333333333333</v>
      </c>
      <c r="X44" s="22">
        <f>IF(R44="",W44,IF(R44="N",IF(U44="E",180+W44,180-W44),IF(U44="E",360-W44,W44)))</f>
        <v>4.083333333333333</v>
      </c>
      <c r="Y44" s="22">
        <f>RADIANS(X44)</f>
        <v>7.1267611123101787E-2</v>
      </c>
      <c r="Z44" s="64"/>
      <c r="AA44" s="58">
        <f>-M44*COS(Y44)</f>
        <v>-23.719763318601952</v>
      </c>
      <c r="AB44" s="58">
        <f>-M44*SIN(Y44)</f>
        <v>-1.6933186686829875</v>
      </c>
      <c r="AC44" s="64"/>
      <c r="AD44" s="82">
        <f>$AA$40/$M$40*M44</f>
        <v>-5.0321287811889992E-4</v>
      </c>
      <c r="AE44" s="82">
        <f>$AB$40/$M$40*M44</f>
        <v>-9.1557367085206372E-4</v>
      </c>
      <c r="AF44" s="22">
        <f>AA44-AD44</f>
        <v>-23.719260105723833</v>
      </c>
      <c r="AG44" s="22">
        <f>AB44-AE44</f>
        <v>-1.6924030950121354</v>
      </c>
      <c r="AH44" s="64"/>
      <c r="AI44" s="25">
        <f>A44</f>
        <v>3</v>
      </c>
      <c r="AJ44" s="82">
        <f t="shared" si="1"/>
        <v>721255.49434547708</v>
      </c>
      <c r="AK44" s="82">
        <f t="shared" si="1"/>
        <v>461605.57117260416</v>
      </c>
      <c r="AL44" s="66"/>
      <c r="AM44" s="9" t="str">
        <f>IF(A45=0,A44&amp;" - 1",A44&amp;" - "&amp;A45)</f>
        <v>3 - 4</v>
      </c>
      <c r="AN44" s="18">
        <f>AN43+F43+F44</f>
        <v>-26.480000000097789</v>
      </c>
      <c r="AO44" s="18">
        <f>AN44*G44</f>
        <v>-44.751200000226916</v>
      </c>
      <c r="AP44" s="9" t="str">
        <f>D44&amp;","&amp;C44</f>
        <v>461605.57,721255.56</v>
      </c>
    </row>
    <row r="45" spans="1:44" s="46" customFormat="1">
      <c r="A45" s="20">
        <f>A44+1</f>
        <v>4</v>
      </c>
      <c r="B45" s="44"/>
      <c r="C45" s="60">
        <v>721231.84</v>
      </c>
      <c r="D45" s="60">
        <v>461603.88</v>
      </c>
      <c r="E45" s="79"/>
      <c r="F45" s="72">
        <f>IF(C46=0,C45-$C$42,C45-C46)</f>
        <v>1.3800000000046566</v>
      </c>
      <c r="G45" s="72">
        <f>IF(D46=0,D45-$D$42,D45-D46)</f>
        <v>24.349999999976717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24.389073373108683</v>
      </c>
      <c r="N45" s="22">
        <f>IF(F45=0,,ATAN(G45/F45))</f>
        <v>1.5141833751398615</v>
      </c>
      <c r="O45" s="22">
        <f>ABS(DEGREES(N45))</f>
        <v>86.756316804388319</v>
      </c>
      <c r="P45" s="24" t="str">
        <f>TEXT(INT(O45),"00")</f>
        <v>86</v>
      </c>
      <c r="Q45" s="25" t="str">
        <f>TEXT((O45-P45)*60,"00")</f>
        <v>45</v>
      </c>
      <c r="R45" s="23" t="str">
        <f>IF(L45="",IF(F45&gt;0,"S","N"),"")</f>
        <v>S</v>
      </c>
      <c r="S45" s="25" t="str">
        <f>IF(L45="",IF(INT(Q45)=60,INT(P45+1),P45),"due")</f>
        <v>86</v>
      </c>
      <c r="T45" s="25" t="str">
        <f>IF(L45="",IF(INT(Q45)=60,"00",Q45),L45)</f>
        <v>45</v>
      </c>
      <c r="U45" s="24" t="str">
        <f>IF(L45="",IF(G45&gt;0,"W","E"),"")</f>
        <v>W</v>
      </c>
      <c r="V45" s="44"/>
      <c r="W45" s="22">
        <f>IF(S45="due",90*(I45+K45),S45+T45/60)</f>
        <v>86.75</v>
      </c>
      <c r="X45" s="22">
        <f>IF(R45="",W45,IF(R45="N",IF(U45="E",180+W45,180-W45),IF(U45="E",360-W45,W45)))</f>
        <v>86.75</v>
      </c>
      <c r="Y45" s="22">
        <f>RADIANS(X45)</f>
        <v>1.5140731261050808</v>
      </c>
      <c r="Z45" s="64"/>
      <c r="AA45" s="58">
        <f>-M45*COS(Y45)</f>
        <v>-1.3826845556092795</v>
      </c>
      <c r="AB45" s="58">
        <f>-M45*SIN(Y45)</f>
        <v>-24.349847708323733</v>
      </c>
      <c r="AC45" s="64"/>
      <c r="AD45" s="82">
        <f>$AA$40/$M$40*M45</f>
        <v>-5.1609880624599953E-4</v>
      </c>
      <c r="AE45" s="82">
        <f>$AB$40/$M$40*M45</f>
        <v>-9.3901904959866407E-4</v>
      </c>
      <c r="AF45" s="22">
        <f>AA45-AD45</f>
        <v>-1.3821684568030335</v>
      </c>
      <c r="AG45" s="22">
        <f>AB45-AE45</f>
        <v>-24.348908689274133</v>
      </c>
      <c r="AH45" s="64"/>
      <c r="AI45" s="25">
        <f>A45</f>
        <v>4</v>
      </c>
      <c r="AJ45" s="82">
        <f t="shared" ref="AJ45" si="2">AJ44+AF44</f>
        <v>721231.77508537134</v>
      </c>
      <c r="AK45" s="82">
        <f t="shared" ref="AK45" si="3">AK44+AG44</f>
        <v>461603.87876950915</v>
      </c>
      <c r="AL45" s="66"/>
      <c r="AM45" s="9" t="str">
        <f>IF(A46=0,A45&amp;" - 1",A45&amp;" - "&amp;A46)</f>
        <v>4 - 1</v>
      </c>
      <c r="AN45" s="18">
        <f>AN44+F44+F45</f>
        <v>-1.3800000000046566</v>
      </c>
      <c r="AO45" s="18">
        <f>AN45*G45</f>
        <v>-33.603000000081259</v>
      </c>
      <c r="AP45" s="9" t="str">
        <f>D45&amp;","&amp;C45</f>
        <v>461603.88,721231.84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1">
    <mergeCell ref="C7:D7"/>
  </mergeCells>
  <phoneticPr fontId="6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AS47"/>
  <sheetViews>
    <sheetView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69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71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72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2735.8336000026884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1367.9168000013442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7.5496268843704686E-3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20762.688425526649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156.75055072916354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-7.2209418082245236E-3</v>
      </c>
      <c r="AB40" s="91">
        <f>SUM(AB42:AB65536)</f>
        <v>-2.2033759314843415E-3</v>
      </c>
      <c r="AC40" s="91"/>
      <c r="AD40" s="91">
        <f>SUM(AD42:AD65536)</f>
        <v>-7.2209418082245236E-3</v>
      </c>
      <c r="AE40" s="91">
        <f>SUM(AE42:AE65536)</f>
        <v>-2.2033759314843411E-3</v>
      </c>
      <c r="AF40" s="91">
        <f>SUM(AF42:AF65536)</f>
        <v>0</v>
      </c>
      <c r="AG40" s="91">
        <f>SUM(AG42:AG65536)</f>
        <v>-3.0531133177191805E-15</v>
      </c>
      <c r="AH40" s="92"/>
      <c r="AI40" s="93">
        <v>1</v>
      </c>
      <c r="AJ40" s="92">
        <f>AJ44+AF44</f>
        <v>721388.27497477503</v>
      </c>
      <c r="AK40" s="92">
        <f>AK44+AG44</f>
        <v>461641.58047405264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-133.71999999997206</v>
      </c>
      <c r="G41" s="72">
        <f>IF(D42=0,D41-$D$41,D41-D42)</f>
        <v>757.09999999997672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768.81821544494983</v>
      </c>
      <c r="N41" s="36">
        <f>IF(F41=0,,ATAN(G41/F41))</f>
        <v>-1.3959779538528017</v>
      </c>
      <c r="O41" s="36">
        <f>ABS(DEGREES(N41))</f>
        <v>79.983645049073928</v>
      </c>
      <c r="P41" s="37" t="str">
        <f>TEXT(INT(O41),"00")</f>
        <v>79</v>
      </c>
      <c r="Q41" s="38" t="str">
        <f>TEXT((O41-P41)*60,"00")</f>
        <v>59</v>
      </c>
      <c r="R41" s="39" t="str">
        <f>IF(L41="",IF(F41&gt;0,"S","N"),"")</f>
        <v>N</v>
      </c>
      <c r="S41" s="25" t="str">
        <f>IF(L41="",IF(INT(Q41)=60,INT(P41+1),P41),"due")</f>
        <v>79</v>
      </c>
      <c r="T41" s="38" t="str">
        <f>IF(L41="",IF(INT(Q41)=60,"00",Q41),L41)</f>
        <v>59</v>
      </c>
      <c r="U41" s="40" t="str">
        <f>IF(L41="",IF(G41&gt;0,"W","E"),"")</f>
        <v>W</v>
      </c>
      <c r="V41" s="41"/>
      <c r="W41" s="22">
        <f>IF(S41="due",90*(I41+K41),S41+T41/60)</f>
        <v>79.983333333333334</v>
      </c>
      <c r="X41" s="22">
        <f>IF(R41="",W41,IF(R41="N",IF(U41="E",180+W41,180-W41),IF(U41="E",360-W41,W41)))</f>
        <v>100.01666666666667</v>
      </c>
      <c r="Y41" s="22">
        <f>RADIANS(X41)</f>
        <v>1.7456201402029952</v>
      </c>
      <c r="Z41" s="64"/>
      <c r="AA41" s="58">
        <f>-M41*COS(Y41)</f>
        <v>133.72411897480433</v>
      </c>
      <c r="AB41" s="58">
        <f>-M41*SIN(Y41)</f>
        <v>-757.09927248965823</v>
      </c>
      <c r="AC41" s="64"/>
      <c r="AD41" s="22">
        <v>0</v>
      </c>
      <c r="AE41" s="22">
        <v>0</v>
      </c>
      <c r="AF41" s="22">
        <f t="shared" ref="AF41:AG43" si="0">AA41-AD41</f>
        <v>133.72411897480433</v>
      </c>
      <c r="AG41" s="22">
        <f t="shared" si="0"/>
        <v>-757.09927248965823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721362.34</v>
      </c>
      <c r="D42" s="60">
        <v>461693.12</v>
      </c>
      <c r="E42" s="79"/>
      <c r="F42" s="72">
        <f>IF(C43=0,C42-$C$42,C42-C43)</f>
        <v>-1.0300000000279397</v>
      </c>
      <c r="G42" s="72">
        <f>IF(D43=0,D42-$D$42,D42-D43)</f>
        <v>55.179999999993015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55.189612247227167</v>
      </c>
      <c r="N42" s="36">
        <f>IF(F42=0,,ATAN(G42/F42))</f>
        <v>-1.5521323108718779</v>
      </c>
      <c r="O42" s="36">
        <f>ABS(DEGREES(N42))</f>
        <v>88.930630658846056</v>
      </c>
      <c r="P42" s="37" t="str">
        <f>TEXT(INT(O42),"00")</f>
        <v>88</v>
      </c>
      <c r="Q42" s="38" t="str">
        <f>TEXT((O42-P42)*60,"00")</f>
        <v>56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56</v>
      </c>
      <c r="U42" s="40" t="str">
        <f>IF(L42="",IF(G42&gt;0,"W","E"),"")</f>
        <v>W</v>
      </c>
      <c r="V42" s="44"/>
      <c r="W42" s="22">
        <f>IF(S42="due",90*(I42+K42),S42+T42/60)</f>
        <v>88.933333333333337</v>
      </c>
      <c r="X42" s="22">
        <f>IF(R42="",W42,IF(R42="N",IF(U42="E",180+W42,180-W42),IF(U42="E",360-W42,W42)))</f>
        <v>91.066666666666663</v>
      </c>
      <c r="Y42" s="22">
        <f>RADIANS(X42)</f>
        <v>1.5894131721495026</v>
      </c>
      <c r="Z42" s="64"/>
      <c r="AA42" s="58">
        <f>-M42*COS(Y42)</f>
        <v>1.0273971269179871</v>
      </c>
      <c r="AB42" s="58">
        <f>-M42*SIN(Y42)</f>
        <v>-55.180048524288992</v>
      </c>
      <c r="AC42" s="64"/>
      <c r="AD42" s="82">
        <f>$AA$40/$M$40*M42</f>
        <v>-2.5423896541472107E-3</v>
      </c>
      <c r="AE42" s="82">
        <f>$AB$40/$M$40*M42</f>
        <v>-7.7577694450083599E-4</v>
      </c>
      <c r="AF42" s="22">
        <f t="shared" si="0"/>
        <v>1.0299395165721343</v>
      </c>
      <c r="AG42" s="22">
        <f t="shared" si="0"/>
        <v>-55.179272747344491</v>
      </c>
      <c r="AH42" s="63"/>
      <c r="AI42" s="38">
        <f>A42</f>
        <v>1</v>
      </c>
      <c r="AJ42" s="82">
        <f t="shared" ref="AJ42:AK44" si="1">AJ41+AF41</f>
        <v>721362.34411897475</v>
      </c>
      <c r="AK42" s="82">
        <f t="shared" si="1"/>
        <v>461693.12072751031</v>
      </c>
      <c r="AL42" s="66"/>
      <c r="AM42" s="9" t="str">
        <f>IF(A43=0,A42&amp;" - 1",A42&amp;" - "&amp;A43)</f>
        <v>1 - 2</v>
      </c>
      <c r="AN42" s="18">
        <f>F42</f>
        <v>-1.0300000000279397</v>
      </c>
      <c r="AO42" s="18">
        <f>AN42*G42</f>
        <v>-56.835400001534516</v>
      </c>
      <c r="AP42" s="9" t="str">
        <f>D42&amp;","&amp;C42</f>
        <v>461693.12,721362.34</v>
      </c>
    </row>
    <row r="43" spans="1:44">
      <c r="A43" s="20">
        <f>A42+1</f>
        <v>2</v>
      </c>
      <c r="B43" s="44"/>
      <c r="C43" s="60">
        <v>721363.37</v>
      </c>
      <c r="D43" s="60">
        <v>461637.94</v>
      </c>
      <c r="E43" s="79"/>
      <c r="F43" s="72">
        <f>IF(C44=0,C43-$C$42,C43-C44)</f>
        <v>-22.160000000032596</v>
      </c>
      <c r="G43" s="72">
        <f>IF(D44=0,D43-$D$42,D43-D44)</f>
        <v>-0.64000000001396984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22.169239950919891</v>
      </c>
      <c r="N43" s="36">
        <f>IF(F43=0,,ATAN(G43/F43))</f>
        <v>2.8872840556487082E-2</v>
      </c>
      <c r="O43" s="36">
        <f>ABS(DEGREES(N43))</f>
        <v>1.654291906440865</v>
      </c>
      <c r="P43" s="37" t="str">
        <f>TEXT(INT(O43),"00")</f>
        <v>01</v>
      </c>
      <c r="Q43" s="38" t="str">
        <f>TEXT((O43-P43)*60,"00")</f>
        <v>39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39</v>
      </c>
      <c r="U43" s="40" t="str">
        <f>IF(L43="",IF(G43&gt;0,"W","E"),"")</f>
        <v>E</v>
      </c>
      <c r="V43" s="44"/>
      <c r="W43" s="22">
        <f>IF(S43="due",90*(I43+K43),S43+T43/60)</f>
        <v>1.65</v>
      </c>
      <c r="X43" s="22">
        <f>IF(R43="",W43,IF(R43="N",IF(U43="E",180+W43,180-W43),IF(U43="E",360-W43,W43)))</f>
        <v>181.65</v>
      </c>
      <c r="Y43" s="22">
        <f>RADIANS(X43)</f>
        <v>3.1703905862476995</v>
      </c>
      <c r="Z43" s="64"/>
      <c r="AA43" s="58">
        <f>-M43*COS(Y43)</f>
        <v>22.160047878915623</v>
      </c>
      <c r="AB43" s="58">
        <f>-M43*SIN(Y43)</f>
        <v>0.6383400391873878</v>
      </c>
      <c r="AC43" s="64"/>
      <c r="AD43" s="82">
        <f>$AA$40/$M$40*M43</f>
        <v>-1.0212582403921044E-3</v>
      </c>
      <c r="AE43" s="82">
        <f>$AB$40/$M$40*M43</f>
        <v>-3.1162359238888433E-4</v>
      </c>
      <c r="AF43" s="22">
        <f t="shared" si="0"/>
        <v>22.161069137156016</v>
      </c>
      <c r="AG43" s="22">
        <f t="shared" si="0"/>
        <v>0.6386516627797767</v>
      </c>
      <c r="AH43" s="64"/>
      <c r="AI43" s="25">
        <f>A43</f>
        <v>2</v>
      </c>
      <c r="AJ43" s="82">
        <f t="shared" si="1"/>
        <v>721363.37405849132</v>
      </c>
      <c r="AK43" s="82">
        <f t="shared" si="1"/>
        <v>461637.94145476294</v>
      </c>
      <c r="AL43" s="66"/>
      <c r="AM43" s="9" t="str">
        <f>IF(A44=0,A43&amp;" - 1",A43&amp;" - "&amp;A44)</f>
        <v>2 - 3</v>
      </c>
      <c r="AN43" s="18">
        <f>AN42+F42+F43</f>
        <v>-24.220000000088476</v>
      </c>
      <c r="AO43" s="18">
        <f>AN43*G43</f>
        <v>15.500800000394975</v>
      </c>
      <c r="AP43" s="9" t="str">
        <f>D43&amp;","&amp;C43</f>
        <v>461637.94,721363.37</v>
      </c>
    </row>
    <row r="44" spans="1:44" s="46" customFormat="1">
      <c r="A44" s="20">
        <f>A43+1</f>
        <v>3</v>
      </c>
      <c r="B44" s="44"/>
      <c r="C44" s="60">
        <v>721385.53</v>
      </c>
      <c r="D44" s="60">
        <v>461638.58</v>
      </c>
      <c r="E44" s="79"/>
      <c r="F44" s="72">
        <f>IF(C45=0,C44-$C$42,C44-C45)</f>
        <v>-2.7399999999906868</v>
      </c>
      <c r="G44" s="72">
        <f>IF(D45=0,D44-$D$42,D44-D45)</f>
        <v>-3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4.0629545899442396</v>
      </c>
      <c r="N44" s="22">
        <f>IF(F44=0,,ATAN(G44/F44))</f>
        <v>0.83066339003240219</v>
      </c>
      <c r="O44" s="22">
        <f>ABS(DEGREES(N44))</f>
        <v>47.593506444886017</v>
      </c>
      <c r="P44" s="24" t="str">
        <f>TEXT(INT(O44),"00")</f>
        <v>47</v>
      </c>
      <c r="Q44" s="25" t="str">
        <f>TEXT((O44-P44)*60,"00")</f>
        <v>36</v>
      </c>
      <c r="R44" s="23" t="str">
        <f>IF(L44="",IF(F44&gt;0,"S","N"),"")</f>
        <v>N</v>
      </c>
      <c r="S44" s="25" t="str">
        <f>IF(L44="",IF(INT(Q44)=60,INT(P44+1),P44),"due")</f>
        <v>47</v>
      </c>
      <c r="T44" s="25" t="str">
        <f>IF(L44="",IF(INT(Q44)=60,"00",Q44),L44)</f>
        <v>36</v>
      </c>
      <c r="U44" s="24" t="str">
        <f>IF(L44="",IF(G44&gt;0,"W","E"),"")</f>
        <v>E</v>
      </c>
      <c r="V44" s="44"/>
      <c r="W44" s="22">
        <f>IF(S44="due",90*(I44+K44),S44+T44/60)</f>
        <v>47.6</v>
      </c>
      <c r="X44" s="22">
        <f>IF(R44="",W44,IF(R44="N",IF(U44="E",180+W44,180-W44),IF(U44="E",360-W44,W44)))</f>
        <v>227.6</v>
      </c>
      <c r="Y44" s="22">
        <f>RADIANS(X44)</f>
        <v>3.9723693775390938</v>
      </c>
      <c r="Z44" s="64"/>
      <c r="AA44" s="58">
        <f>-M44*COS(Y44)</f>
        <v>2.7396599806436495</v>
      </c>
      <c r="AB44" s="58">
        <f>-M44*SIN(Y44)</f>
        <v>3.0003105156647707</v>
      </c>
      <c r="AC44" s="64"/>
      <c r="AD44" s="82">
        <f>$AA$40/$M$40*M44</f>
        <v>-1.8716590485310281E-4</v>
      </c>
      <c r="AE44" s="82">
        <f>$AB$40/$M$40*M44</f>
        <v>-5.7111227441010859E-5</v>
      </c>
      <c r="AF44" s="22">
        <f>AA44-AD44</f>
        <v>2.7398471465485024</v>
      </c>
      <c r="AG44" s="22">
        <f>AB44-AE44</f>
        <v>3.0003676268922117</v>
      </c>
      <c r="AH44" s="64"/>
      <c r="AI44" s="25">
        <f>A44</f>
        <v>3</v>
      </c>
      <c r="AJ44" s="82">
        <f t="shared" si="1"/>
        <v>721385.53512762848</v>
      </c>
      <c r="AK44" s="82">
        <f t="shared" si="1"/>
        <v>461638.58010642574</v>
      </c>
      <c r="AL44" s="66"/>
      <c r="AM44" s="9" t="str">
        <f>IF(A45=0,A44&amp;" - 1",A44&amp;" - "&amp;A45)</f>
        <v>3 - 4</v>
      </c>
      <c r="AN44" s="18">
        <f>AN43+F43+F44</f>
        <v>-49.120000000111759</v>
      </c>
      <c r="AO44" s="18">
        <f>AN44*G44</f>
        <v>147.36000000033528</v>
      </c>
      <c r="AP44" s="9" t="str">
        <f>D44&amp;","&amp;C44</f>
        <v>461638.58,721385.53</v>
      </c>
    </row>
    <row r="45" spans="1:44" s="46" customFormat="1">
      <c r="A45" s="20">
        <f t="shared" ref="A45:A47" si="2">A44+1</f>
        <v>4</v>
      </c>
      <c r="B45" s="44"/>
      <c r="C45" s="60">
        <v>721388.27</v>
      </c>
      <c r="D45" s="60">
        <v>461641.58</v>
      </c>
      <c r="E45" s="79"/>
      <c r="F45" s="72">
        <f t="shared" ref="F45:F47" si="3">IF(C46=0,C45-$C$42,C45-C46)</f>
        <v>0.88000000000465661</v>
      </c>
      <c r="G45" s="72">
        <f t="shared" ref="G45:G47" si="4">IF(D46=0,D45-$D$42,D45-D46)</f>
        <v>-49.039999999979045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49.047894959905797</v>
      </c>
      <c r="N45" s="22">
        <f t="shared" ref="N45:N47" si="11">IF(F45=0,,ATAN(G45/F45))</f>
        <v>-1.5528537174340247</v>
      </c>
      <c r="O45" s="22">
        <f t="shared" ref="O45:O47" si="12">ABS(DEGREES(N45))</f>
        <v>88.971964210170114</v>
      </c>
      <c r="P45" s="24" t="str">
        <f t="shared" ref="P45:P47" si="13">TEXT(INT(O45),"00")</f>
        <v>88</v>
      </c>
      <c r="Q45" s="25" t="str">
        <f t="shared" ref="Q45:Q47" si="14">TEXT((O45-P45)*60,"00")</f>
        <v>58</v>
      </c>
      <c r="R45" s="23" t="str">
        <f t="shared" ref="R45:R47" si="15">IF(L45="",IF(F45&gt;0,"S","N"),"")</f>
        <v>S</v>
      </c>
      <c r="S45" s="25" t="str">
        <f t="shared" ref="S45:S47" si="16">IF(L45="",IF(INT(Q45)=60,INT(P45+1),P45),"due")</f>
        <v>88</v>
      </c>
      <c r="T45" s="25" t="str">
        <f t="shared" ref="T45:T47" si="17">IF(L45="",IF(INT(Q45)=60,"00",Q45),L45)</f>
        <v>58</v>
      </c>
      <c r="U45" s="24" t="str">
        <f t="shared" ref="U45:U47" si="18">IF(L45="",IF(G45&gt;0,"W","E"),"")</f>
        <v>E</v>
      </c>
      <c r="V45" s="44"/>
      <c r="W45" s="22">
        <f t="shared" ref="W45:W47" si="19">IF(S45="due",90*(I45+K45),S45+T45/60)</f>
        <v>88.966666666666669</v>
      </c>
      <c r="X45" s="22">
        <f t="shared" ref="X45:X47" si="20">IF(R45="",W45,IF(R45="N",IF(U45="E",180+W45,180-W45),IF(U45="E",360-W45,W45)))</f>
        <v>271.0333333333333</v>
      </c>
      <c r="Y45" s="22">
        <f t="shared" ref="Y45:Y47" si="21">RADIANS(X45)</f>
        <v>4.7304240493219636</v>
      </c>
      <c r="Z45" s="64"/>
      <c r="AA45" s="58">
        <f t="shared" ref="AA45:AA47" si="22">-M45*COS(Y45)</f>
        <v>-0.88453421386347419</v>
      </c>
      <c r="AB45" s="58">
        <f t="shared" ref="AB45:AB47" si="23">-M45*SIN(Y45)</f>
        <v>49.039918425936001</v>
      </c>
      <c r="AC45" s="64"/>
      <c r="AD45" s="82">
        <f t="shared" ref="AD45:AD47" si="24">$AA$40/$M$40*M45</f>
        <v>-2.2594625261210949E-3</v>
      </c>
      <c r="AE45" s="82">
        <f t="shared" ref="AE45:AE47" si="25">$AB$40/$M$40*M45</f>
        <v>-6.8944543251625015E-4</v>
      </c>
      <c r="AF45" s="22">
        <f t="shared" ref="AF45:AF47" si="26">AA45-AD45</f>
        <v>-0.88227475133735311</v>
      </c>
      <c r="AG45" s="22">
        <f t="shared" ref="AG45:AG47" si="27">AB45-AE45</f>
        <v>49.040607871368515</v>
      </c>
      <c r="AH45" s="64"/>
      <c r="AI45" s="25">
        <f t="shared" ref="AI45:AI47" si="28">A45</f>
        <v>4</v>
      </c>
      <c r="AJ45" s="82">
        <f t="shared" ref="AJ45:AJ47" si="29">AJ44+AF44</f>
        <v>721388.27497477503</v>
      </c>
      <c r="AK45" s="82">
        <f t="shared" ref="AK45:AK47" si="30">AK44+AG44</f>
        <v>461641.58047405264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-50.980000000097789</v>
      </c>
      <c r="AO45" s="18">
        <f t="shared" ref="AO45:AO47" si="33">AN45*G45</f>
        <v>2500.0592000037273</v>
      </c>
      <c r="AP45" s="9" t="str">
        <f t="shared" ref="AP45:AP47" si="34">D45&amp;","&amp;C45</f>
        <v>461641.58,721388.27</v>
      </c>
    </row>
    <row r="46" spans="1:44" s="46" customFormat="1">
      <c r="A46" s="20">
        <f t="shared" si="2"/>
        <v>5</v>
      </c>
      <c r="B46" s="44"/>
      <c r="C46" s="60">
        <v>721387.39</v>
      </c>
      <c r="D46" s="60">
        <v>461690.62</v>
      </c>
      <c r="E46" s="79"/>
      <c r="F46" s="72">
        <f t="shared" si="3"/>
        <v>3.0100000000093132</v>
      </c>
      <c r="G46" s="72">
        <f t="shared" si="4"/>
        <v>-2.9799999999813735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4.2356227405123148</v>
      </c>
      <c r="N46" s="22">
        <f t="shared" si="11"/>
        <v>-0.78038985802243344</v>
      </c>
      <c r="O46" s="22">
        <f t="shared" si="12"/>
        <v>44.713045239498967</v>
      </c>
      <c r="P46" s="24" t="str">
        <f t="shared" si="13"/>
        <v>44</v>
      </c>
      <c r="Q46" s="25" t="str">
        <f t="shared" si="14"/>
        <v>43</v>
      </c>
      <c r="R46" s="23" t="str">
        <f t="shared" si="15"/>
        <v>S</v>
      </c>
      <c r="S46" s="25" t="str">
        <f t="shared" si="16"/>
        <v>44</v>
      </c>
      <c r="T46" s="25" t="str">
        <f t="shared" si="17"/>
        <v>43</v>
      </c>
      <c r="U46" s="24" t="str">
        <f t="shared" si="18"/>
        <v>E</v>
      </c>
      <c r="V46" s="44"/>
      <c r="W46" s="22">
        <f t="shared" si="19"/>
        <v>44.716666666666669</v>
      </c>
      <c r="X46" s="22">
        <f t="shared" si="20"/>
        <v>315.2833333333333</v>
      </c>
      <c r="Y46" s="22">
        <f t="shared" si="21"/>
        <v>5.5027322433294552</v>
      </c>
      <c r="Z46" s="64"/>
      <c r="AA46" s="58">
        <f t="shared" si="22"/>
        <v>-3.0098116406304602</v>
      </c>
      <c r="AB46" s="58">
        <f t="shared" si="23"/>
        <v>2.9801902435701031</v>
      </c>
      <c r="AC46" s="64"/>
      <c r="AD46" s="82">
        <f t="shared" si="24"/>
        <v>-1.951201140191051E-4</v>
      </c>
      <c r="AE46" s="82">
        <f t="shared" si="25"/>
        <v>-5.9538350314428797E-5</v>
      </c>
      <c r="AF46" s="22">
        <f t="shared" si="26"/>
        <v>-3.0096165205164414</v>
      </c>
      <c r="AG46" s="22">
        <f t="shared" si="27"/>
        <v>2.9802497819204175</v>
      </c>
      <c r="AH46" s="64"/>
      <c r="AI46" s="25">
        <f t="shared" si="28"/>
        <v>5</v>
      </c>
      <c r="AJ46" s="82">
        <f t="shared" si="29"/>
        <v>721387.39270002372</v>
      </c>
      <c r="AK46" s="82">
        <f t="shared" si="30"/>
        <v>461690.62108192401</v>
      </c>
      <c r="AL46" s="66"/>
      <c r="AM46" s="9" t="str">
        <f t="shared" si="31"/>
        <v>5 - 6</v>
      </c>
      <c r="AN46" s="18">
        <f t="shared" si="32"/>
        <v>-47.090000000083819</v>
      </c>
      <c r="AO46" s="18">
        <f t="shared" si="33"/>
        <v>140.32819999937266</v>
      </c>
      <c r="AP46" s="9" t="str">
        <f t="shared" si="34"/>
        <v>461690.62,721387.39</v>
      </c>
    </row>
    <row r="47" spans="1:44" s="46" customFormat="1">
      <c r="A47" s="20">
        <f t="shared" si="2"/>
        <v>6</v>
      </c>
      <c r="B47" s="44"/>
      <c r="C47" s="60">
        <v>721384.38</v>
      </c>
      <c r="D47" s="60">
        <v>461693.6</v>
      </c>
      <c r="E47" s="79"/>
      <c r="F47" s="72">
        <f t="shared" si="3"/>
        <v>22.040000000037253</v>
      </c>
      <c r="G47" s="72">
        <f t="shared" si="4"/>
        <v>0.47999999998137355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22.045226240654102</v>
      </c>
      <c r="N47" s="22">
        <f t="shared" si="11"/>
        <v>2.1775142127585245E-2</v>
      </c>
      <c r="O47" s="22">
        <f t="shared" si="12"/>
        <v>1.2476237422081544</v>
      </c>
      <c r="P47" s="24" t="str">
        <f t="shared" si="13"/>
        <v>01</v>
      </c>
      <c r="Q47" s="25" t="str">
        <f t="shared" si="14"/>
        <v>15</v>
      </c>
      <c r="R47" s="23" t="str">
        <f t="shared" si="15"/>
        <v>S</v>
      </c>
      <c r="S47" s="25" t="str">
        <f t="shared" si="16"/>
        <v>01</v>
      </c>
      <c r="T47" s="25" t="str">
        <f t="shared" si="17"/>
        <v>15</v>
      </c>
      <c r="U47" s="24" t="str">
        <f t="shared" si="18"/>
        <v>W</v>
      </c>
      <c r="V47" s="44"/>
      <c r="W47" s="22">
        <f t="shared" si="19"/>
        <v>1.25</v>
      </c>
      <c r="X47" s="22">
        <f t="shared" si="20"/>
        <v>1.25</v>
      </c>
      <c r="Y47" s="22">
        <f t="shared" si="21"/>
        <v>2.1816615649929118E-2</v>
      </c>
      <c r="Z47" s="64"/>
      <c r="AA47" s="58">
        <f t="shared" si="22"/>
        <v>-22.039980073791551</v>
      </c>
      <c r="AB47" s="58">
        <f t="shared" si="23"/>
        <v>-0.48091407600075931</v>
      </c>
      <c r="AC47" s="64"/>
      <c r="AD47" s="82">
        <f t="shared" si="24"/>
        <v>-1.0155453686919052E-3</v>
      </c>
      <c r="AE47" s="82">
        <f t="shared" si="25"/>
        <v>-3.0988038432293096E-4</v>
      </c>
      <c r="AF47" s="22">
        <f t="shared" si="26"/>
        <v>-22.038964528422859</v>
      </c>
      <c r="AG47" s="22">
        <f t="shared" si="27"/>
        <v>-0.48060419561643636</v>
      </c>
      <c r="AH47" s="64"/>
      <c r="AI47" s="25">
        <f t="shared" si="28"/>
        <v>6</v>
      </c>
      <c r="AJ47" s="82">
        <f t="shared" si="29"/>
        <v>721384.38308350323</v>
      </c>
      <c r="AK47" s="82">
        <f t="shared" si="30"/>
        <v>461693.60133170593</v>
      </c>
      <c r="AL47" s="66"/>
      <c r="AM47" s="9" t="str">
        <f t="shared" si="31"/>
        <v>6 - 1</v>
      </c>
      <c r="AN47" s="18">
        <f t="shared" si="32"/>
        <v>-22.040000000037253</v>
      </c>
      <c r="AO47" s="18">
        <f t="shared" si="33"/>
        <v>-10.579199999607354</v>
      </c>
      <c r="AP47" s="9" t="str">
        <f t="shared" si="34"/>
        <v>461693.6,721384.38</v>
      </c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73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74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75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2802.0903999972898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1401.0451999986449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1.4540462178571369E-3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111318.96050634704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110000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110000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161.86291350004191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-1.008341776892907E-3</v>
      </c>
      <c r="AB40" s="91">
        <f>SUM(AB42:AB65536)</f>
        <v>1.0476150364695513E-3</v>
      </c>
      <c r="AC40" s="91"/>
      <c r="AD40" s="91">
        <f>SUM(AD42:AD65536)</f>
        <v>-1.008341776892907E-3</v>
      </c>
      <c r="AE40" s="91">
        <f>SUM(AE42:AE65536)</f>
        <v>1.0476150364695513E-3</v>
      </c>
      <c r="AF40" s="91">
        <f>SUM(AF42:AF65536)</f>
        <v>2.6645352591003757E-15</v>
      </c>
      <c r="AG40" s="91">
        <f>SUM(AG42:AG65536)</f>
        <v>0</v>
      </c>
      <c r="AH40" s="92"/>
      <c r="AI40" s="93">
        <v>1</v>
      </c>
      <c r="AJ40" s="92">
        <f>AJ44+AF44</f>
        <v>721363.37117229227</v>
      </c>
      <c r="AK40" s="92">
        <f>AK44+AG44</f>
        <v>461637.94103618624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-133.71999999997206</v>
      </c>
      <c r="G41" s="72">
        <f>IF(D42=0,D41-$D$41,D41-D42)</f>
        <v>757.09999999997672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768.81821544494983</v>
      </c>
      <c r="N41" s="36">
        <f>IF(F41=0,,ATAN(G41/F41))</f>
        <v>-1.3959779538528017</v>
      </c>
      <c r="O41" s="36">
        <f>ABS(DEGREES(N41))</f>
        <v>79.983645049073928</v>
      </c>
      <c r="P41" s="37" t="str">
        <f>TEXT(INT(O41),"00")</f>
        <v>79</v>
      </c>
      <c r="Q41" s="38" t="str">
        <f>TEXT((O41-P41)*60,"00")</f>
        <v>59</v>
      </c>
      <c r="R41" s="39" t="str">
        <f>IF(L41="",IF(F41&gt;0,"S","N"),"")</f>
        <v>N</v>
      </c>
      <c r="S41" s="25" t="str">
        <f>IF(L41="",IF(INT(Q41)=60,INT(P41+1),P41),"due")</f>
        <v>79</v>
      </c>
      <c r="T41" s="38" t="str">
        <f>IF(L41="",IF(INT(Q41)=60,"00",Q41),L41)</f>
        <v>59</v>
      </c>
      <c r="U41" s="40" t="str">
        <f>IF(L41="",IF(G41&gt;0,"W","E"),"")</f>
        <v>W</v>
      </c>
      <c r="V41" s="41"/>
      <c r="W41" s="22">
        <f>IF(S41="due",90*(I41+K41),S41+T41/60)</f>
        <v>79.983333333333334</v>
      </c>
      <c r="X41" s="22">
        <f>IF(R41="",W41,IF(R41="N",IF(U41="E",180+W41,180-W41),IF(U41="E",360-W41,W41)))</f>
        <v>100.01666666666667</v>
      </c>
      <c r="Y41" s="22">
        <f>RADIANS(X41)</f>
        <v>1.7456201402029952</v>
      </c>
      <c r="Z41" s="64"/>
      <c r="AA41" s="58">
        <f>-M41*COS(Y41)</f>
        <v>133.72411897480433</v>
      </c>
      <c r="AB41" s="58">
        <f>-M41*SIN(Y41)</f>
        <v>-757.09927248965823</v>
      </c>
      <c r="AC41" s="64"/>
      <c r="AD41" s="22">
        <v>0</v>
      </c>
      <c r="AE41" s="22">
        <v>0</v>
      </c>
      <c r="AF41" s="22">
        <f t="shared" ref="AF41:AG43" si="0">AA41-AD41</f>
        <v>133.72411897480433</v>
      </c>
      <c r="AG41" s="22">
        <f t="shared" si="0"/>
        <v>-757.09927248965823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721362.34</v>
      </c>
      <c r="D42" s="60">
        <v>461693.12</v>
      </c>
      <c r="E42" s="79"/>
      <c r="F42" s="72">
        <f>IF(C43=0,C42-$C$42,C42-C43)</f>
        <v>25.260000000009313</v>
      </c>
      <c r="G42" s="72">
        <f>IF(D43=0,D42-$D$42,D42-D43)</f>
        <v>-0.45000000001164153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25.264007995575067</v>
      </c>
      <c r="N42" s="36">
        <f>IF(F42=0,,ATAN(G42/F42))</f>
        <v>-1.7812842612841464E-2</v>
      </c>
      <c r="O42" s="36">
        <f>ABS(DEGREES(N42))</f>
        <v>1.0206007028466018</v>
      </c>
      <c r="P42" s="37" t="str">
        <f>TEXT(INT(O42),"00")</f>
        <v>01</v>
      </c>
      <c r="Q42" s="38" t="str">
        <f>TEXT((O42-P42)*60,"00")</f>
        <v>01</v>
      </c>
      <c r="R42" s="39" t="str">
        <f>IF(L42="",IF(F42&gt;0,"S","N"),"")</f>
        <v>S</v>
      </c>
      <c r="S42" s="25" t="str">
        <f>IF(L42="",IF(INT(Q42)=60,INT(P42+1),P42),"due")</f>
        <v>01</v>
      </c>
      <c r="T42" s="38" t="str">
        <f>IF(L42="",IF(INT(Q42)=60,"00",Q42),L42)</f>
        <v>01</v>
      </c>
      <c r="U42" s="40" t="str">
        <f>IF(L42="",IF(G42&gt;0,"W","E"),"")</f>
        <v>E</v>
      </c>
      <c r="V42" s="44"/>
      <c r="W42" s="22">
        <f>IF(S42="due",90*(I42+K42),S42+T42/60)</f>
        <v>1.0166666666666666</v>
      </c>
      <c r="X42" s="22">
        <f>IF(R42="",W42,IF(R42="N",IF(U42="E",180+W42,180-W42),IF(U42="E",360-W42,W42)))</f>
        <v>358.98333333333335</v>
      </c>
      <c r="Y42" s="22">
        <f>RADIANS(X42)</f>
        <v>6.2654411264509777</v>
      </c>
      <c r="Z42" s="64"/>
      <c r="AA42" s="58">
        <f>-M42*COS(Y42)</f>
        <v>-25.260030838313632</v>
      </c>
      <c r="AB42" s="58">
        <f>-M42*SIN(Y42)</f>
        <v>0.44826559975653313</v>
      </c>
      <c r="AC42" s="64"/>
      <c r="AD42" s="82">
        <f>$AA$40/$M$40*M42</f>
        <v>-1.5738475332515364E-4</v>
      </c>
      <c r="AE42" s="82">
        <f>$AB$40/$M$40*M42</f>
        <v>1.6351463151961958E-4</v>
      </c>
      <c r="AF42" s="22">
        <f t="shared" si="0"/>
        <v>-25.259873453560306</v>
      </c>
      <c r="AG42" s="22">
        <f t="shared" si="0"/>
        <v>0.44810208512501348</v>
      </c>
      <c r="AH42" s="63"/>
      <c r="AI42" s="38">
        <f>A42</f>
        <v>1</v>
      </c>
      <c r="AJ42" s="82">
        <f t="shared" ref="AJ42:AK44" si="1">AJ41+AF41</f>
        <v>721362.34411897475</v>
      </c>
      <c r="AK42" s="82">
        <f t="shared" si="1"/>
        <v>461693.12072751031</v>
      </c>
      <c r="AL42" s="66"/>
      <c r="AM42" s="9" t="str">
        <f>IF(A43=0,A42&amp;" - 1",A42&amp;" - "&amp;A43)</f>
        <v>1 - 2</v>
      </c>
      <c r="AN42" s="18">
        <f>F42</f>
        <v>25.260000000009313</v>
      </c>
      <c r="AO42" s="18">
        <f>AN42*G42</f>
        <v>-11.367000000298257</v>
      </c>
      <c r="AP42" s="9" t="str">
        <f>D42&amp;","&amp;C42</f>
        <v>461693.12,721362.34</v>
      </c>
    </row>
    <row r="43" spans="1:44">
      <c r="A43" s="20">
        <f>A42+1</f>
        <v>2</v>
      </c>
      <c r="B43" s="44"/>
      <c r="C43" s="60">
        <v>721337.08</v>
      </c>
      <c r="D43" s="60">
        <v>461693.57</v>
      </c>
      <c r="E43" s="79"/>
      <c r="F43" s="72">
        <f>IF(C44=0,C43-$C$42,C43-C44)</f>
        <v>-1.3500000000931323</v>
      </c>
      <c r="G43" s="72">
        <f>IF(D44=0,D43-$D$42,D43-D44)</f>
        <v>56.440000000002328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56.456143155554948</v>
      </c>
      <c r="N43" s="36">
        <f>IF(F43=0,,ATAN(G43/F43))</f>
        <v>-1.546881680610557</v>
      </c>
      <c r="O43" s="36">
        <f>ABS(DEGREES(N43))</f>
        <v>88.629791705088707</v>
      </c>
      <c r="P43" s="37" t="str">
        <f>TEXT(INT(O43),"00")</f>
        <v>88</v>
      </c>
      <c r="Q43" s="38" t="str">
        <f>TEXT((O43-P43)*60,"00")</f>
        <v>38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38</v>
      </c>
      <c r="U43" s="40" t="str">
        <f>IF(L43="",IF(G43&gt;0,"W","E"),"")</f>
        <v>W</v>
      </c>
      <c r="V43" s="44"/>
      <c r="W43" s="22">
        <f>IF(S43="due",90*(I43+K43),S43+T43/60)</f>
        <v>88.63333333333334</v>
      </c>
      <c r="X43" s="22">
        <f>IF(R43="",W43,IF(R43="N",IF(U43="E",180+W43,180-W43),IF(U43="E",360-W43,W43)))</f>
        <v>91.36666666666666</v>
      </c>
      <c r="Y43" s="22">
        <f>RADIANS(X43)</f>
        <v>1.5946491599054857</v>
      </c>
      <c r="Z43" s="64"/>
      <c r="AA43" s="58">
        <f>-M43*COS(Y43)</f>
        <v>1.3465112676337974</v>
      </c>
      <c r="AB43" s="58">
        <f>-M43*SIN(Y43)</f>
        <v>-56.440083339827282</v>
      </c>
      <c r="AC43" s="64"/>
      <c r="AD43" s="82">
        <f>$AA$40/$M$40*M43</f>
        <v>-3.5169938854447884E-4</v>
      </c>
      <c r="AE43" s="82">
        <f>$AB$40/$M$40*M43</f>
        <v>3.6539750330653469E-4</v>
      </c>
      <c r="AF43" s="22">
        <f t="shared" si="0"/>
        <v>1.3468629670223418</v>
      </c>
      <c r="AG43" s="22">
        <f t="shared" si="0"/>
        <v>-56.440448737330591</v>
      </c>
      <c r="AH43" s="64"/>
      <c r="AI43" s="25">
        <f>A43</f>
        <v>2</v>
      </c>
      <c r="AJ43" s="82">
        <f t="shared" si="1"/>
        <v>721337.08424552123</v>
      </c>
      <c r="AK43" s="82">
        <f t="shared" si="1"/>
        <v>461693.56882959546</v>
      </c>
      <c r="AL43" s="66"/>
      <c r="AM43" s="9" t="str">
        <f>IF(A44=0,A43&amp;" - 1",A43&amp;" - "&amp;A44)</f>
        <v>2 - 3</v>
      </c>
      <c r="AN43" s="18">
        <f>AN42+F42+F43</f>
        <v>49.169999999925494</v>
      </c>
      <c r="AO43" s="18">
        <f>AN43*G43</f>
        <v>2775.1547999959093</v>
      </c>
      <c r="AP43" s="9" t="str">
        <f>D43&amp;","&amp;C43</f>
        <v>461693.57,721337.08</v>
      </c>
    </row>
    <row r="44" spans="1:44" s="46" customFormat="1">
      <c r="A44" s="20">
        <f>A43+1</f>
        <v>3</v>
      </c>
      <c r="B44" s="44"/>
      <c r="C44" s="60">
        <v>721338.43</v>
      </c>
      <c r="D44" s="60">
        <v>461637.13</v>
      </c>
      <c r="E44" s="79"/>
      <c r="F44" s="72">
        <f>IF(C45=0,C44-$C$42,C44-C45)</f>
        <v>-24.939999999944121</v>
      </c>
      <c r="G44" s="72">
        <f>IF(D45=0,D44-$D$42,D44-D45)</f>
        <v>-0.80999999999767169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24.953150101684734</v>
      </c>
      <c r="N44" s="22">
        <f>IF(F44=0,,ATAN(G44/F44))</f>
        <v>3.2466534864028486E-2</v>
      </c>
      <c r="O44" s="22">
        <f>ABS(DEGREES(N44))</f>
        <v>1.8601954231231763</v>
      </c>
      <c r="P44" s="24" t="str">
        <f>TEXT(INT(O44),"00")</f>
        <v>01</v>
      </c>
      <c r="Q44" s="25" t="str">
        <f>TEXT((O44-P44)*60,"00")</f>
        <v>52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52</v>
      </c>
      <c r="U44" s="24" t="str">
        <f>IF(L44="",IF(G44&gt;0,"W","E"),"")</f>
        <v>E</v>
      </c>
      <c r="V44" s="44"/>
      <c r="W44" s="22">
        <f>IF(S44="due",90*(I44+K44),S44+T44/60)</f>
        <v>1.8666666666666667</v>
      </c>
      <c r="X44" s="22">
        <f>IF(R44="",W44,IF(R44="N",IF(U44="E",180+W44,180-W44),IF(U44="E",360-W44,W44)))</f>
        <v>181.86666666666667</v>
      </c>
      <c r="Y44" s="22">
        <f>RADIANS(X44)</f>
        <v>3.1741721329603543</v>
      </c>
      <c r="Z44" s="64"/>
      <c r="AA44" s="58">
        <f>-M44*COS(Y44)</f>
        <v>24.939908355820947</v>
      </c>
      <c r="AB44" s="58">
        <f>-M44*SIN(Y44)</f>
        <v>0.81281683081823131</v>
      </c>
      <c r="AC44" s="64"/>
      <c r="AD44" s="82">
        <f>$AA$40/$M$40*M44</f>
        <v>-1.5544823189285849E-4</v>
      </c>
      <c r="AE44" s="82">
        <f>$AB$40/$M$40*M44</f>
        <v>1.6150268575142057E-4</v>
      </c>
      <c r="AF44" s="22">
        <f>AA44-AD44</f>
        <v>24.940063804052841</v>
      </c>
      <c r="AG44" s="22">
        <f>AB44-AE44</f>
        <v>0.81265532813247987</v>
      </c>
      <c r="AH44" s="64"/>
      <c r="AI44" s="25">
        <f>A44</f>
        <v>3</v>
      </c>
      <c r="AJ44" s="82">
        <f t="shared" si="1"/>
        <v>721338.43110848824</v>
      </c>
      <c r="AK44" s="82">
        <f t="shared" si="1"/>
        <v>461637.12838085811</v>
      </c>
      <c r="AL44" s="66"/>
      <c r="AM44" s="9" t="str">
        <f>IF(A45=0,A44&amp;" - 1",A44&amp;" - "&amp;A45)</f>
        <v>3 - 4</v>
      </c>
      <c r="AN44" s="18">
        <f>AN43+F43+F44</f>
        <v>22.879999999888241</v>
      </c>
      <c r="AO44" s="18">
        <f>AN44*G44</f>
        <v>-18.532799999856202</v>
      </c>
      <c r="AP44" s="9" t="str">
        <f>D44&amp;","&amp;C44</f>
        <v>461637.13,721338.43</v>
      </c>
    </row>
    <row r="45" spans="1:44" s="46" customFormat="1">
      <c r="A45" s="20">
        <f>A44+1</f>
        <v>4</v>
      </c>
      <c r="B45" s="44"/>
      <c r="C45" s="60">
        <v>721363.37</v>
      </c>
      <c r="D45" s="60">
        <v>461637.94</v>
      </c>
      <c r="E45" s="79"/>
      <c r="F45" s="72">
        <f>IF(C46=0,C45-$C$42,C45-C46)</f>
        <v>1.0300000000279397</v>
      </c>
      <c r="G45" s="72">
        <f>IF(D46=0,D45-$D$42,D45-D46)</f>
        <v>-55.179999999993015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55.189612247227167</v>
      </c>
      <c r="N45" s="22">
        <f>IF(F45=0,,ATAN(G45/F45))</f>
        <v>-1.5521323108718779</v>
      </c>
      <c r="O45" s="22">
        <f>ABS(DEGREES(N45))</f>
        <v>88.930630658846056</v>
      </c>
      <c r="P45" s="24" t="str">
        <f>TEXT(INT(O45),"00")</f>
        <v>88</v>
      </c>
      <c r="Q45" s="25" t="str">
        <f>TEXT((O45-P45)*60,"00")</f>
        <v>56</v>
      </c>
      <c r="R45" s="23" t="str">
        <f>IF(L45="",IF(F45&gt;0,"S","N"),"")</f>
        <v>S</v>
      </c>
      <c r="S45" s="25" t="str">
        <f>IF(L45="",IF(INT(Q45)=60,INT(P45+1),P45),"due")</f>
        <v>88</v>
      </c>
      <c r="T45" s="25" t="str">
        <f>IF(L45="",IF(INT(Q45)=60,"00",Q45),L45)</f>
        <v>56</v>
      </c>
      <c r="U45" s="24" t="str">
        <f>IF(L45="",IF(G45&gt;0,"W","E"),"")</f>
        <v>E</v>
      </c>
      <c r="V45" s="44"/>
      <c r="W45" s="22">
        <f>IF(S45="due",90*(I45+K45),S45+T45/60)</f>
        <v>88.933333333333337</v>
      </c>
      <c r="X45" s="22">
        <f>IF(R45="",W45,IF(R45="N",IF(U45="E",180+W45,180-W45),IF(U45="E",360-W45,W45)))</f>
        <v>271.06666666666666</v>
      </c>
      <c r="Y45" s="22">
        <f>RADIANS(X45)</f>
        <v>4.7310058257392962</v>
      </c>
      <c r="Z45" s="64"/>
      <c r="AA45" s="58">
        <f>-M45*COS(Y45)</f>
        <v>-1.0273971269180049</v>
      </c>
      <c r="AB45" s="58">
        <f>-M45*SIN(Y45)</f>
        <v>55.180048524288992</v>
      </c>
      <c r="AC45" s="64"/>
      <c r="AD45" s="82">
        <f>$AA$40/$M$40*M45</f>
        <v>-3.4380940313041613E-4</v>
      </c>
      <c r="AE45" s="82">
        <f>$AB$40/$M$40*M45</f>
        <v>3.5720021589197645E-4</v>
      </c>
      <c r="AF45" s="22">
        <f>AA45-AD45</f>
        <v>-1.0270533175148744</v>
      </c>
      <c r="AG45" s="22">
        <f>AB45-AE45</f>
        <v>55.179691324073097</v>
      </c>
      <c r="AH45" s="64"/>
      <c r="AI45" s="25">
        <f>A45</f>
        <v>4</v>
      </c>
      <c r="AJ45" s="82">
        <f t="shared" ref="AJ45" si="2">AJ44+AF44</f>
        <v>721363.37117229227</v>
      </c>
      <c r="AK45" s="82">
        <f t="shared" ref="AK45" si="3">AK44+AG44</f>
        <v>461637.94103618624</v>
      </c>
      <c r="AL45" s="66"/>
      <c r="AM45" s="9" t="str">
        <f>IF(A46=0,A45&amp;" - 1",A45&amp;" - "&amp;A46)</f>
        <v>4 - 1</v>
      </c>
      <c r="AN45" s="18">
        <f>AN44+F44+F45</f>
        <v>-1.0300000000279397</v>
      </c>
      <c r="AO45" s="18">
        <f>AN45*G45</f>
        <v>56.835400001534516</v>
      </c>
      <c r="AP45" s="9" t="str">
        <f>D45&amp;","&amp;C45</f>
        <v>461637.94,721363.37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76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77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78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2773.9302000059001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1386.9651000029501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1.5700126520602348E-3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102719.8782256233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100000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100000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161.27150843231519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-1.3411753151082451E-3</v>
      </c>
      <c r="AB40" s="91">
        <f>SUM(AB42:AB65536)</f>
        <v>-8.1620371340340725E-4</v>
      </c>
      <c r="AC40" s="91"/>
      <c r="AD40" s="91">
        <f>SUM(AD42:AD65536)</f>
        <v>-1.3411753151082451E-3</v>
      </c>
      <c r="AE40" s="91">
        <f>SUM(AE42:AE65536)</f>
        <v>-8.1620371340340714E-4</v>
      </c>
      <c r="AF40" s="91">
        <f>SUM(AF42:AF65536)</f>
        <v>0</v>
      </c>
      <c r="AG40" s="91">
        <f>SUM(AG42:AG65536)</f>
        <v>-4.8849813083506888E-15</v>
      </c>
      <c r="AH40" s="92"/>
      <c r="AI40" s="93">
        <v>1</v>
      </c>
      <c r="AJ40" s="92">
        <f>AJ44+AF44</f>
        <v>721337.06397090061</v>
      </c>
      <c r="AK40" s="92">
        <f>AK44+AG44</f>
        <v>461693.57158644567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-83.57999999995809</v>
      </c>
      <c r="G41" s="72">
        <f>IF(D42=0,D41-$D$41,D41-D42)</f>
        <v>758.93999999994412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763.52834917893404</v>
      </c>
      <c r="N41" s="36">
        <f>IF(F41=0,,ATAN(G41/F41))</f>
        <v>-1.4611110406812968</v>
      </c>
      <c r="O41" s="36">
        <f>ABS(DEGREES(N41))</f>
        <v>83.715496031005841</v>
      </c>
      <c r="P41" s="37" t="str">
        <f>TEXT(INT(O41),"00")</f>
        <v>83</v>
      </c>
      <c r="Q41" s="38" t="str">
        <f>TEXT((O41-P41)*60,"00")</f>
        <v>43</v>
      </c>
      <c r="R41" s="39" t="str">
        <f>IF(L41="",IF(F41&gt;0,"S","N"),"")</f>
        <v>N</v>
      </c>
      <c r="S41" s="25" t="str">
        <f>IF(L41="",IF(INT(Q41)=60,INT(P41+1),P41),"due")</f>
        <v>83</v>
      </c>
      <c r="T41" s="38" t="str">
        <f>IF(L41="",IF(INT(Q41)=60,"00",Q41),L41)</f>
        <v>43</v>
      </c>
      <c r="U41" s="40" t="str">
        <f>IF(L41="",IF(G41&gt;0,"W","E"),"")</f>
        <v>W</v>
      </c>
      <c r="V41" s="41"/>
      <c r="W41" s="22">
        <f>IF(S41="due",90*(I41+K41),S41+T41/60)</f>
        <v>83.716666666666669</v>
      </c>
      <c r="X41" s="22">
        <f>IF(R41="",W41,IF(R41="N",IF(U41="E",180+W41,180-W41),IF(U41="E",360-W41,W41)))</f>
        <v>96.283333333333331</v>
      </c>
      <c r="Y41" s="22">
        <f>RADIANS(X41)</f>
        <v>1.6804611814618735</v>
      </c>
      <c r="Z41" s="64"/>
      <c r="AA41" s="58">
        <f>-M41*COS(Y41)</f>
        <v>83.564493740414235</v>
      </c>
      <c r="AB41" s="58">
        <f>-M41*SIN(Y41)</f>
        <v>-758.94170750184526</v>
      </c>
      <c r="AC41" s="64"/>
      <c r="AD41" s="22">
        <v>0</v>
      </c>
      <c r="AE41" s="22">
        <v>0</v>
      </c>
      <c r="AF41" s="22">
        <f t="shared" ref="AF41:AG43" si="0">AA41-AD41</f>
        <v>83.564493740414235</v>
      </c>
      <c r="AG41" s="22">
        <f t="shared" si="0"/>
        <v>-758.94170750184526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721312.2</v>
      </c>
      <c r="D42" s="60">
        <v>461691.28</v>
      </c>
      <c r="E42" s="79"/>
      <c r="F42" s="72">
        <f>IF(C43=0,C42-$C$42,C42-C43)</f>
        <v>-1.3800000000046566</v>
      </c>
      <c r="G42" s="72">
        <f>IF(D43=0,D42-$D$42,D42-D43)</f>
        <v>54.950000000011642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54.967325749041969</v>
      </c>
      <c r="N42" s="36">
        <f>IF(F42=0,,ATAN(G42/F42))</f>
        <v>-1.5456878647789292</v>
      </c>
      <c r="O42" s="36">
        <f>ABS(DEGREES(N42))</f>
        <v>88.561391096420536</v>
      </c>
      <c r="P42" s="37" t="str">
        <f>TEXT(INT(O42),"00")</f>
        <v>88</v>
      </c>
      <c r="Q42" s="38" t="str">
        <f>TEXT((O42-P42)*60,"00")</f>
        <v>34</v>
      </c>
      <c r="R42" s="39" t="str">
        <f>IF(L42="",IF(F42&gt;0,"S","N"),"")</f>
        <v>N</v>
      </c>
      <c r="S42" s="25" t="str">
        <f>IF(L42="",IF(INT(Q42)=60,INT(P42+1),P42),"due")</f>
        <v>88</v>
      </c>
      <c r="T42" s="38" t="str">
        <f>IF(L42="",IF(INT(Q42)=60,"00",Q42),L42)</f>
        <v>34</v>
      </c>
      <c r="U42" s="40" t="str">
        <f>IF(L42="",IF(G42&gt;0,"W","E"),"")</f>
        <v>W</v>
      </c>
      <c r="V42" s="44"/>
      <c r="W42" s="22">
        <f>IF(S42="due",90*(I42+K42),S42+T42/60)</f>
        <v>88.566666666666663</v>
      </c>
      <c r="X42" s="22">
        <f>IF(R42="",W42,IF(R42="N",IF(U42="E",180+W42,180-W42),IF(U42="E",360-W42,W42)))</f>
        <v>91.433333333333337</v>
      </c>
      <c r="Y42" s="22">
        <f>RADIANS(X42)</f>
        <v>1.5958127127401487</v>
      </c>
      <c r="Z42" s="64"/>
      <c r="AA42" s="58">
        <f>-M42*COS(Y42)</f>
        <v>1.3749404140761727</v>
      </c>
      <c r="AB42" s="58">
        <f>-M42*SIN(Y42)</f>
        <v>-54.950126832055922</v>
      </c>
      <c r="AC42" s="64"/>
      <c r="AD42" s="82">
        <f>$AA$40/$M$40*M42</f>
        <v>-4.5712240896580417E-4</v>
      </c>
      <c r="AE42" s="82">
        <f>$AB$40/$M$40*M42</f>
        <v>-2.7819256996068956E-4</v>
      </c>
      <c r="AF42" s="22">
        <f t="shared" si="0"/>
        <v>1.3753975364851385</v>
      </c>
      <c r="AG42" s="22">
        <f t="shared" si="0"/>
        <v>-54.949848639485964</v>
      </c>
      <c r="AH42" s="63"/>
      <c r="AI42" s="38">
        <f>A42</f>
        <v>1</v>
      </c>
      <c r="AJ42" s="82">
        <f t="shared" ref="AJ42:AK44" si="1">AJ41+AF41</f>
        <v>721312.18449374044</v>
      </c>
      <c r="AK42" s="82">
        <f t="shared" si="1"/>
        <v>461691.27829249814</v>
      </c>
      <c r="AL42" s="66"/>
      <c r="AM42" s="9" t="str">
        <f>IF(A43=0,A42&amp;" - 1",A42&amp;" - "&amp;A43)</f>
        <v>1 - 2</v>
      </c>
      <c r="AN42" s="18">
        <f>F42</f>
        <v>-1.3800000000046566</v>
      </c>
      <c r="AO42" s="18">
        <f>AN42*G42</f>
        <v>-75.831000000271942</v>
      </c>
      <c r="AP42" s="9" t="str">
        <f>D42&amp;","&amp;C42</f>
        <v>461691.28,721312.2</v>
      </c>
    </row>
    <row r="43" spans="1:44">
      <c r="A43" s="20">
        <f>A42+1</f>
        <v>2</v>
      </c>
      <c r="B43" s="44"/>
      <c r="C43" s="60">
        <v>721313.58</v>
      </c>
      <c r="D43" s="60">
        <v>461636.33</v>
      </c>
      <c r="E43" s="79"/>
      <c r="F43" s="72">
        <f>IF(C44=0,C43-$C$42,C43-C44)</f>
        <v>-24.850000000093132</v>
      </c>
      <c r="G43" s="72">
        <f>IF(D44=0,D43-$D$42,D43-D44)</f>
        <v>-0.79999999998835847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24.862873928904719</v>
      </c>
      <c r="N43" s="36">
        <f>IF(F43=0,,ATAN(G43/F43))</f>
        <v>3.218204420613667E-2</v>
      </c>
      <c r="O43" s="36">
        <f>ABS(DEGREES(N43))</f>
        <v>1.8438953091150752</v>
      </c>
      <c r="P43" s="37" t="str">
        <f>TEXT(INT(O43),"00")</f>
        <v>01</v>
      </c>
      <c r="Q43" s="38" t="str">
        <f>TEXT((O43-P43)*60,"00")</f>
        <v>51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51</v>
      </c>
      <c r="U43" s="40" t="str">
        <f>IF(L43="",IF(G43&gt;0,"W","E"),"")</f>
        <v>E</v>
      </c>
      <c r="V43" s="44"/>
      <c r="W43" s="22">
        <f>IF(S43="due",90*(I43+K43),S43+T43/60)</f>
        <v>1.85</v>
      </c>
      <c r="X43" s="22">
        <f>IF(R43="",W43,IF(R43="N",IF(U43="E",180+W43,180-W43),IF(U43="E",360-W43,W43)))</f>
        <v>181.85</v>
      </c>
      <c r="Y43" s="22">
        <f>RADIANS(X43)</f>
        <v>3.173881244751688</v>
      </c>
      <c r="Z43" s="64"/>
      <c r="AA43" s="58">
        <f>-M43*COS(Y43)</f>
        <v>24.849914621476934</v>
      </c>
      <c r="AB43" s="58">
        <f>-M43*SIN(Y43)</f>
        <v>0.80264768729304525</v>
      </c>
      <c r="AC43" s="64"/>
      <c r="AD43" s="82">
        <f>$AA$40/$M$40*M43</f>
        <v>-2.0676605000002392E-4</v>
      </c>
      <c r="AE43" s="82">
        <f>$AB$40/$M$40*M43</f>
        <v>-1.2583233221985849E-4</v>
      </c>
      <c r="AF43" s="22">
        <f t="shared" si="0"/>
        <v>24.850121387526933</v>
      </c>
      <c r="AG43" s="22">
        <f t="shared" si="0"/>
        <v>0.80277351962526511</v>
      </c>
      <c r="AH43" s="64"/>
      <c r="AI43" s="25">
        <f>A43</f>
        <v>2</v>
      </c>
      <c r="AJ43" s="82">
        <f t="shared" si="1"/>
        <v>721313.55989127688</v>
      </c>
      <c r="AK43" s="82">
        <f t="shared" si="1"/>
        <v>461636.32844385866</v>
      </c>
      <c r="AL43" s="66"/>
      <c r="AM43" s="9" t="str">
        <f>IF(A44=0,A43&amp;" - 1",A43&amp;" - "&amp;A44)</f>
        <v>2 - 3</v>
      </c>
      <c r="AN43" s="18">
        <f>AN42+F42+F43</f>
        <v>-27.610000000102445</v>
      </c>
      <c r="AO43" s="18">
        <f>AN43*G43</f>
        <v>22.087999999760534</v>
      </c>
      <c r="AP43" s="9" t="str">
        <f>D43&amp;","&amp;C43</f>
        <v>461636.33,721313.58</v>
      </c>
    </row>
    <row r="44" spans="1:44" s="46" customFormat="1">
      <c r="A44" s="20">
        <f>A43+1</f>
        <v>3</v>
      </c>
      <c r="B44" s="44"/>
      <c r="C44" s="60">
        <v>721338.43</v>
      </c>
      <c r="D44" s="60">
        <v>461637.13</v>
      </c>
      <c r="E44" s="79"/>
      <c r="F44" s="72">
        <f>IF(C45=0,C44-$C$42,C44-C45)</f>
        <v>1.3500000000931323</v>
      </c>
      <c r="G44" s="72">
        <f>IF(D45=0,D44-$D$42,D44-D45)</f>
        <v>-56.440000000002328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56.456143155554948</v>
      </c>
      <c r="N44" s="22">
        <f>IF(F44=0,,ATAN(G44/F44))</f>
        <v>-1.546881680610557</v>
      </c>
      <c r="O44" s="22">
        <f>ABS(DEGREES(N44))</f>
        <v>88.629791705088707</v>
      </c>
      <c r="P44" s="24" t="str">
        <f>TEXT(INT(O44),"00")</f>
        <v>88</v>
      </c>
      <c r="Q44" s="25" t="str">
        <f>TEXT((O44-P44)*60,"00")</f>
        <v>38</v>
      </c>
      <c r="R44" s="23" t="str">
        <f>IF(L44="",IF(F44&gt;0,"S","N"),"")</f>
        <v>S</v>
      </c>
      <c r="S44" s="25" t="str">
        <f>IF(L44="",IF(INT(Q44)=60,INT(P44+1),P44),"due")</f>
        <v>88</v>
      </c>
      <c r="T44" s="25" t="str">
        <f>IF(L44="",IF(INT(Q44)=60,"00",Q44),L44)</f>
        <v>38</v>
      </c>
      <c r="U44" s="24" t="str">
        <f>IF(L44="",IF(G44&gt;0,"W","E"),"")</f>
        <v>E</v>
      </c>
      <c r="V44" s="44"/>
      <c r="W44" s="22">
        <f>IF(S44="due",90*(I44+K44),S44+T44/60)</f>
        <v>88.63333333333334</v>
      </c>
      <c r="X44" s="22">
        <f>IF(R44="",W44,IF(R44="N",IF(U44="E",180+W44,180-W44),IF(U44="E",360-W44,W44)))</f>
        <v>271.36666666666667</v>
      </c>
      <c r="Y44" s="22">
        <f>RADIANS(X44)</f>
        <v>4.7362418134952788</v>
      </c>
      <c r="Z44" s="64"/>
      <c r="AA44" s="58">
        <f>-M44*COS(Y44)</f>
        <v>-1.3465112676337905</v>
      </c>
      <c r="AB44" s="58">
        <f>-M44*SIN(Y44)</f>
        <v>56.440083339827282</v>
      </c>
      <c r="AC44" s="64"/>
      <c r="AD44" s="82">
        <f>$AA$40/$M$40*M44</f>
        <v>-4.6950379718328165E-4</v>
      </c>
      <c r="AE44" s="82">
        <f>$AB$40/$M$40*M44</f>
        <v>-2.8572755433324239E-4</v>
      </c>
      <c r="AF44" s="22">
        <f>AA44-AD44</f>
        <v>-1.3460417638366071</v>
      </c>
      <c r="AG44" s="22">
        <f>AB44-AE44</f>
        <v>56.440369067381617</v>
      </c>
      <c r="AH44" s="64"/>
      <c r="AI44" s="25">
        <f>A44</f>
        <v>3</v>
      </c>
      <c r="AJ44" s="82">
        <f t="shared" si="1"/>
        <v>721338.41001266439</v>
      </c>
      <c r="AK44" s="82">
        <f t="shared" si="1"/>
        <v>461637.13121737831</v>
      </c>
      <c r="AL44" s="66"/>
      <c r="AM44" s="9" t="str">
        <f>IF(A45=0,A44&amp;" - 1",A44&amp;" - "&amp;A45)</f>
        <v>3 - 4</v>
      </c>
      <c r="AN44" s="18">
        <f>AN43+F43+F44</f>
        <v>-51.110000000102445</v>
      </c>
      <c r="AO44" s="18">
        <f>AN44*G44</f>
        <v>2884.6484000059008</v>
      </c>
      <c r="AP44" s="9" t="str">
        <f>D44&amp;","&amp;C44</f>
        <v>461637.13,721338.43</v>
      </c>
    </row>
    <row r="45" spans="1:44" s="46" customFormat="1">
      <c r="A45" s="20">
        <f>A44+1</f>
        <v>4</v>
      </c>
      <c r="B45" s="44"/>
      <c r="C45" s="60">
        <v>721337.08</v>
      </c>
      <c r="D45" s="60">
        <v>461693.57</v>
      </c>
      <c r="E45" s="79"/>
      <c r="F45" s="72">
        <f>IF(C46=0,C45-$C$42,C45-C46)</f>
        <v>24.880000000004657</v>
      </c>
      <c r="G45" s="72">
        <f>IF(D46=0,D45-$D$42,D45-D46)</f>
        <v>2.2899999999790452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24.985165598813545</v>
      </c>
      <c r="N45" s="22">
        <f>IF(F45=0,,ATAN(G45/F45))</f>
        <v>9.1783197232183936E-2</v>
      </c>
      <c r="O45" s="22">
        <f>ABS(DEGREES(N45))</f>
        <v>5.2587898316209589</v>
      </c>
      <c r="P45" s="24" t="str">
        <f>TEXT(INT(O45),"00")</f>
        <v>05</v>
      </c>
      <c r="Q45" s="25" t="str">
        <f>TEXT((O45-P45)*60,"00")</f>
        <v>16</v>
      </c>
      <c r="R45" s="23" t="str">
        <f>IF(L45="",IF(F45&gt;0,"S","N"),"")</f>
        <v>S</v>
      </c>
      <c r="S45" s="25" t="str">
        <f>IF(L45="",IF(INT(Q45)=60,INT(P45+1),P45),"due")</f>
        <v>05</v>
      </c>
      <c r="T45" s="25" t="str">
        <f>IF(L45="",IF(INT(Q45)=60,"00",Q45),L45)</f>
        <v>16</v>
      </c>
      <c r="U45" s="24" t="str">
        <f>IF(L45="",IF(G45&gt;0,"W","E"),"")</f>
        <v>W</v>
      </c>
      <c r="V45" s="44"/>
      <c r="W45" s="22">
        <f>IF(S45="due",90*(I45+K45),S45+T45/60)</f>
        <v>5.2666666666666666</v>
      </c>
      <c r="X45" s="22">
        <f>IF(R45="",W45,IF(R45="N",IF(U45="E",180+W45,180-W45),IF(U45="E",360-W45,W45)))</f>
        <v>5.2666666666666666</v>
      </c>
      <c r="Y45" s="22">
        <f>RADIANS(X45)</f>
        <v>9.1920673938368017E-2</v>
      </c>
      <c r="Z45" s="64"/>
      <c r="AA45" s="58">
        <f>-M45*COS(Y45)</f>
        <v>-24.879684943234423</v>
      </c>
      <c r="AB45" s="58">
        <f>-M45*SIN(Y45)</f>
        <v>-2.2934203987778097</v>
      </c>
      <c r="AC45" s="64"/>
      <c r="AD45" s="82">
        <f>$AA$40/$M$40*M45</f>
        <v>-2.0778305895913536E-4</v>
      </c>
      <c r="AE45" s="82">
        <f>$AB$40/$M$40*M45</f>
        <v>-1.2645125688961673E-4</v>
      </c>
      <c r="AF45" s="22">
        <f>AA45-AD45</f>
        <v>-24.879477160175465</v>
      </c>
      <c r="AG45" s="22">
        <f>AB45-AE45</f>
        <v>-2.2932939475209202</v>
      </c>
      <c r="AH45" s="64"/>
      <c r="AI45" s="25">
        <f>A45</f>
        <v>4</v>
      </c>
      <c r="AJ45" s="82">
        <f t="shared" ref="AJ45" si="2">AJ44+AF44</f>
        <v>721337.06397090061</v>
      </c>
      <c r="AK45" s="82">
        <f t="shared" ref="AK45" si="3">AK44+AG44</f>
        <v>461693.57158644567</v>
      </c>
      <c r="AL45" s="66"/>
      <c r="AM45" s="9" t="str">
        <f>IF(A46=0,A45&amp;" - 1",A45&amp;" - "&amp;A46)</f>
        <v>4 - 1</v>
      </c>
      <c r="AN45" s="18">
        <f>AN44+F44+F45</f>
        <v>-24.880000000004657</v>
      </c>
      <c r="AO45" s="18">
        <f>AN45*G45</f>
        <v>-56.975199999489313</v>
      </c>
      <c r="AP45" s="9" t="str">
        <f>D45&amp;","&amp;C45</f>
        <v>461693.57,721337.08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AS47"/>
  <sheetViews>
    <sheetView workbookViewId="0">
      <selection activeCell="C19" sqref="C19:D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79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80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81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6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2701.9908999952258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1350.9954499976129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4.8667159481213754E-3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31984.277950465526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32000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32000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155.65839559067743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4.3998419411779288E-3</v>
      </c>
      <c r="AB40" s="91">
        <f>SUM(AB42:AB65536)</f>
        <v>-2.0799795701762491E-3</v>
      </c>
      <c r="AC40" s="91"/>
      <c r="AD40" s="91">
        <f>SUM(AD42:AD65536)</f>
        <v>4.3998419411779288E-3</v>
      </c>
      <c r="AE40" s="91">
        <f>SUM(AE42:AE65536)</f>
        <v>-2.0799795701762487E-3</v>
      </c>
      <c r="AF40" s="91">
        <f>SUM(AF42:AF65536)</f>
        <v>0</v>
      </c>
      <c r="AG40" s="91">
        <f>SUM(AG42:AG65536)</f>
        <v>0</v>
      </c>
      <c r="AH40" s="92"/>
      <c r="AI40" s="93">
        <v>1</v>
      </c>
      <c r="AJ40" s="92">
        <f>AJ44+AF44</f>
        <v>721288.51168455358</v>
      </c>
      <c r="AK40" s="92">
        <f>AK44+AG44</f>
        <v>461638.68612810218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-83.57999999995809</v>
      </c>
      <c r="G41" s="72">
        <f>IF(D42=0,D41-$D$41,D41-D42)</f>
        <v>758.93999999994412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763.52834917893404</v>
      </c>
      <c r="N41" s="36">
        <f>IF(F41=0,,ATAN(G41/F41))</f>
        <v>-1.4611110406812968</v>
      </c>
      <c r="O41" s="36">
        <f>ABS(DEGREES(N41))</f>
        <v>83.715496031005841</v>
      </c>
      <c r="P41" s="37" t="str">
        <f>TEXT(INT(O41),"00")</f>
        <v>83</v>
      </c>
      <c r="Q41" s="38" t="str">
        <f>TEXT((O41-P41)*60,"00")</f>
        <v>43</v>
      </c>
      <c r="R41" s="39" t="str">
        <f>IF(L41="",IF(F41&gt;0,"S","N"),"")</f>
        <v>N</v>
      </c>
      <c r="S41" s="25" t="str">
        <f>IF(L41="",IF(INT(Q41)=60,INT(P41+1),P41),"due")</f>
        <v>83</v>
      </c>
      <c r="T41" s="38" t="str">
        <f>IF(L41="",IF(INT(Q41)=60,"00",Q41),L41)</f>
        <v>43</v>
      </c>
      <c r="U41" s="40" t="str">
        <f>IF(L41="",IF(G41&gt;0,"W","E"),"")</f>
        <v>W</v>
      </c>
      <c r="V41" s="41"/>
      <c r="W41" s="22">
        <f>IF(S41="due",90*(I41+K41),S41+T41/60)</f>
        <v>83.716666666666669</v>
      </c>
      <c r="X41" s="22">
        <f>IF(R41="",W41,IF(R41="N",IF(U41="E",180+W41,180-W41),IF(U41="E",360-W41,W41)))</f>
        <v>96.283333333333331</v>
      </c>
      <c r="Y41" s="22">
        <f>RADIANS(X41)</f>
        <v>1.6804611814618735</v>
      </c>
      <c r="Z41" s="64"/>
      <c r="AA41" s="58">
        <f>-M41*COS(Y41)</f>
        <v>83.564493740414235</v>
      </c>
      <c r="AB41" s="58">
        <f>-M41*SIN(Y41)</f>
        <v>-758.94170750184526</v>
      </c>
      <c r="AC41" s="64"/>
      <c r="AD41" s="22">
        <v>0</v>
      </c>
      <c r="AE41" s="22">
        <v>0</v>
      </c>
      <c r="AF41" s="22">
        <f t="shared" ref="AF41:AG43" si="0">AA41-AD41</f>
        <v>83.564493740414235</v>
      </c>
      <c r="AG41" s="22">
        <f t="shared" si="0"/>
        <v>-758.94170750184526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721312.2</v>
      </c>
      <c r="D42" s="60">
        <v>461691.28</v>
      </c>
      <c r="E42" s="79"/>
      <c r="F42" s="72">
        <f>IF(C43=0,C42-$C$42,C42-C43)</f>
        <v>21.849999999976717</v>
      </c>
      <c r="G42" s="72">
        <f>IF(D43=0,D42-$D$42,D42-D43)</f>
        <v>0.97000000003026798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21.871520294644387</v>
      </c>
      <c r="N42" s="36">
        <f>IF(F42=0,,ATAN(G42/F42))</f>
        <v>4.4364463616719203E-2</v>
      </c>
      <c r="O42" s="36">
        <f>ABS(DEGREES(N42))</f>
        <v>2.5418965255997064</v>
      </c>
      <c r="P42" s="37" t="str">
        <f>TEXT(INT(O42),"00")</f>
        <v>02</v>
      </c>
      <c r="Q42" s="38" t="str">
        <f>TEXT((O42-P42)*60,"00")</f>
        <v>33</v>
      </c>
      <c r="R42" s="39" t="str">
        <f>IF(L42="",IF(F42&gt;0,"S","N"),"")</f>
        <v>S</v>
      </c>
      <c r="S42" s="25" t="str">
        <f>IF(L42="",IF(INT(Q42)=60,INT(P42+1),P42),"due")</f>
        <v>02</v>
      </c>
      <c r="T42" s="38" t="str">
        <f>IF(L42="",IF(INT(Q42)=60,"00",Q42),L42)</f>
        <v>33</v>
      </c>
      <c r="U42" s="40" t="str">
        <f>IF(L42="",IF(G42&gt;0,"W","E"),"")</f>
        <v>W</v>
      </c>
      <c r="V42" s="44"/>
      <c r="W42" s="22">
        <f>IF(S42="due",90*(I42+K42),S42+T42/60)</f>
        <v>2.5499999999999998</v>
      </c>
      <c r="X42" s="22">
        <f>IF(R42="",W42,IF(R42="N",IF(U42="E",180+W42,180-W42),IF(U42="E",360-W42,W42)))</f>
        <v>2.5499999999999998</v>
      </c>
      <c r="Y42" s="22">
        <f>RADIANS(X42)</f>
        <v>4.4505895925855403E-2</v>
      </c>
      <c r="Z42" s="64"/>
      <c r="AA42" s="58">
        <f>-M42*COS(Y42)</f>
        <v>-21.849862592103463</v>
      </c>
      <c r="AB42" s="58">
        <f>-M42*SIN(Y42)</f>
        <v>-0.97309028627308558</v>
      </c>
      <c r="AC42" s="64"/>
      <c r="AD42" s="82">
        <f>$AA$40/$M$40*M42</f>
        <v>6.1822063592864129E-4</v>
      </c>
      <c r="AE42" s="82">
        <f>$AB$40/$M$40*M42</f>
        <v>-2.9225738328424693E-4</v>
      </c>
      <c r="AF42" s="22">
        <f t="shared" si="0"/>
        <v>-21.850480812739391</v>
      </c>
      <c r="AG42" s="22">
        <f t="shared" si="0"/>
        <v>-0.97279802888980138</v>
      </c>
      <c r="AH42" s="63"/>
      <c r="AI42" s="38">
        <f>A42</f>
        <v>1</v>
      </c>
      <c r="AJ42" s="82">
        <f t="shared" ref="AJ42:AK44" si="1">AJ41+AF41</f>
        <v>721312.18449374044</v>
      </c>
      <c r="AK42" s="82">
        <f t="shared" si="1"/>
        <v>461691.27829249814</v>
      </c>
      <c r="AL42" s="66"/>
      <c r="AM42" s="9" t="str">
        <f>IF(A43=0,A42&amp;" - 1",A42&amp;" - "&amp;A43)</f>
        <v>1 - 2</v>
      </c>
      <c r="AN42" s="18">
        <f>F42</f>
        <v>21.849999999976717</v>
      </c>
      <c r="AO42" s="18">
        <f>AN42*G42</f>
        <v>21.194500000638772</v>
      </c>
      <c r="AP42" s="9" t="str">
        <f>D42&amp;","&amp;C42</f>
        <v>461691.28,721312.2</v>
      </c>
    </row>
    <row r="43" spans="1:44">
      <c r="A43" s="20">
        <f>A42+1</f>
        <v>2</v>
      </c>
      <c r="B43" s="44"/>
      <c r="C43" s="60">
        <v>721290.35</v>
      </c>
      <c r="D43" s="60">
        <v>461690.31</v>
      </c>
      <c r="E43" s="79"/>
      <c r="F43" s="72">
        <f>IF(C44=0,C43-$C$42,C43-C44)</f>
        <v>2.8699999999953434</v>
      </c>
      <c r="G43" s="72">
        <f>IF(D44=0,D43-$D$42,D43-D44)</f>
        <v>2.8900000000139698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4.0729596118859339</v>
      </c>
      <c r="N43" s="36">
        <f>IF(F43=0,,ATAN(G43/F43))</f>
        <v>0.78887037166891727</v>
      </c>
      <c r="O43" s="36">
        <f>ABS(DEGREES(N43))</f>
        <v>45.198942879545591</v>
      </c>
      <c r="P43" s="37" t="str">
        <f>TEXT(INT(O43),"00")</f>
        <v>45</v>
      </c>
      <c r="Q43" s="38" t="str">
        <f>TEXT((O43-P43)*60,"00")</f>
        <v>12</v>
      </c>
      <c r="R43" s="39" t="str">
        <f>IF(L43="",IF(F43&gt;0,"S","N"),"")</f>
        <v>S</v>
      </c>
      <c r="S43" s="25" t="str">
        <f>IF(L43="",IF(INT(Q43)=60,INT(P43+1),P43),"due")</f>
        <v>45</v>
      </c>
      <c r="T43" s="38" t="str">
        <f>IF(L43="",IF(INT(Q43)=60,"00",Q43),L43)</f>
        <v>12</v>
      </c>
      <c r="U43" s="40" t="str">
        <f>IF(L43="",IF(G43&gt;0,"W","E"),"")</f>
        <v>W</v>
      </c>
      <c r="V43" s="44"/>
      <c r="W43" s="22">
        <f>IF(S43="due",90*(I43+K43),S43+T43/60)</f>
        <v>45.2</v>
      </c>
      <c r="X43" s="22">
        <f>IF(R43="",W43,IF(R43="N",IF(U43="E",180+W43,180-W43),IF(U43="E",360-W43,W43)))</f>
        <v>45.2</v>
      </c>
      <c r="Y43" s="22">
        <f>RADIANS(X43)</f>
        <v>0.78888882190143705</v>
      </c>
      <c r="Z43" s="64"/>
      <c r="AA43" s="58">
        <f>-M43*COS(Y43)</f>
        <v>-2.8699466783348742</v>
      </c>
      <c r="AB43" s="58">
        <f>-M43*SIN(Y43)</f>
        <v>-2.8900529516894049</v>
      </c>
      <c r="AC43" s="64"/>
      <c r="AD43" s="82">
        <f>$AA$40/$M$40*M43</f>
        <v>1.1512632169371264E-4</v>
      </c>
      <c r="AE43" s="82">
        <f>$AB$40/$M$40*M43</f>
        <v>-5.4424772597252097E-5</v>
      </c>
      <c r="AF43" s="22">
        <f t="shared" si="0"/>
        <v>-2.8700618046565678</v>
      </c>
      <c r="AG43" s="22">
        <f t="shared" si="0"/>
        <v>-2.8899985269168078</v>
      </c>
      <c r="AH43" s="64"/>
      <c r="AI43" s="25">
        <f>A43</f>
        <v>2</v>
      </c>
      <c r="AJ43" s="82">
        <f t="shared" si="1"/>
        <v>721290.33401292772</v>
      </c>
      <c r="AK43" s="82">
        <f t="shared" si="1"/>
        <v>461690.30549446924</v>
      </c>
      <c r="AL43" s="66"/>
      <c r="AM43" s="9" t="str">
        <f>IF(A44=0,A43&amp;" - 1",A43&amp;" - "&amp;A44)</f>
        <v>2 - 3</v>
      </c>
      <c r="AN43" s="18">
        <f>AN42+F42+F43</f>
        <v>46.569999999948777</v>
      </c>
      <c r="AO43" s="18">
        <f>AN43*G43</f>
        <v>134.58730000050255</v>
      </c>
      <c r="AP43" s="9" t="str">
        <f>D43&amp;","&amp;C43</f>
        <v>461690.31,721290.35</v>
      </c>
    </row>
    <row r="44" spans="1:44" s="46" customFormat="1">
      <c r="A44" s="20">
        <f>A43+1</f>
        <v>3</v>
      </c>
      <c r="B44" s="44"/>
      <c r="C44" s="60">
        <v>721287.48</v>
      </c>
      <c r="D44" s="60">
        <v>461687.42</v>
      </c>
      <c r="E44" s="79"/>
      <c r="F44" s="72">
        <f>IF(C45=0,C44-$C$42,C44-C45)</f>
        <v>-1.0500000000465661</v>
      </c>
      <c r="G44" s="72">
        <f>IF(D45=0,D44-$D$42,D44-D45)</f>
        <v>48.729999999981374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48.741311020511979</v>
      </c>
      <c r="N44" s="22">
        <f>IF(F44=0,,ATAN(G44/F44))</f>
        <v>-1.5492523591131839</v>
      </c>
      <c r="O44" s="22">
        <f>ABS(DEGREES(N44))</f>
        <v>88.765621577871627</v>
      </c>
      <c r="P44" s="24" t="str">
        <f>TEXT(INT(O44),"00")</f>
        <v>88</v>
      </c>
      <c r="Q44" s="25" t="str">
        <f>TEXT((O44-P44)*60,"00")</f>
        <v>46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46</v>
      </c>
      <c r="U44" s="24" t="str">
        <f>IF(L44="",IF(G44&gt;0,"W","E"),"")</f>
        <v>W</v>
      </c>
      <c r="V44" s="44"/>
      <c r="W44" s="22">
        <f>IF(S44="due",90*(I44+K44),S44+T44/60)</f>
        <v>88.766666666666666</v>
      </c>
      <c r="X44" s="22">
        <f>IF(R44="",W44,IF(R44="N",IF(U44="E",180+W44,180-W44),IF(U44="E",360-W44,W44)))</f>
        <v>91.233333333333334</v>
      </c>
      <c r="Y44" s="22">
        <f>RADIANS(X44)</f>
        <v>1.59232205423616</v>
      </c>
      <c r="Z44" s="64"/>
      <c r="AA44" s="58">
        <f>-M44*COS(Y44)</f>
        <v>1.0491111529548478</v>
      </c>
      <c r="AB44" s="58">
        <f>-M44*SIN(Y44)</f>
        <v>-48.730019144127454</v>
      </c>
      <c r="AC44" s="64"/>
      <c r="AD44" s="82">
        <f>$AA$40/$M$40*M44</f>
        <v>1.3777224394627547E-3</v>
      </c>
      <c r="AE44" s="82">
        <f>$AB$40/$M$40*M44</f>
        <v>-6.5130397086235426E-4</v>
      </c>
      <c r="AF44" s="22">
        <f>AA44-AD44</f>
        <v>1.0477334305153851</v>
      </c>
      <c r="AG44" s="22">
        <f>AB44-AE44</f>
        <v>-48.729367840156591</v>
      </c>
      <c r="AH44" s="64"/>
      <c r="AI44" s="25">
        <f>A44</f>
        <v>3</v>
      </c>
      <c r="AJ44" s="82">
        <f t="shared" si="1"/>
        <v>721287.46395112306</v>
      </c>
      <c r="AK44" s="82">
        <f t="shared" si="1"/>
        <v>461687.41549594235</v>
      </c>
      <c r="AL44" s="66"/>
      <c r="AM44" s="9" t="str">
        <f>IF(A45=0,A44&amp;" - 1",A44&amp;" - "&amp;A45)</f>
        <v>3 - 4</v>
      </c>
      <c r="AN44" s="18">
        <f>AN43+F43+F44</f>
        <v>48.389999999897555</v>
      </c>
      <c r="AO44" s="18">
        <f>AN44*G44</f>
        <v>2358.0446999941064</v>
      </c>
      <c r="AP44" s="9" t="str">
        <f>D44&amp;","&amp;C44</f>
        <v>461687.42,721287.48</v>
      </c>
    </row>
    <row r="45" spans="1:44" s="46" customFormat="1">
      <c r="A45" s="20">
        <f t="shared" ref="A45:A47" si="2">A44+1</f>
        <v>4</v>
      </c>
      <c r="B45" s="44"/>
      <c r="C45" s="60">
        <v>721288.53</v>
      </c>
      <c r="D45" s="60">
        <v>461638.69</v>
      </c>
      <c r="E45" s="79"/>
      <c r="F45" s="72">
        <f t="shared" ref="F45:F47" si="3">IF(C46=0,C45-$C$42,C45-C46)</f>
        <v>-3.3499999999767169</v>
      </c>
      <c r="G45" s="72">
        <f t="shared" ref="G45:G47" si="4">IF(D46=0,D45-$D$42,D45-D46)</f>
        <v>2.7000000000116415</v>
      </c>
      <c r="H45" s="76" t="str">
        <f t="shared" ref="H45:H47" si="5">IF(G45=0,IF(F45&gt;0,"South","North"),"")</f>
        <v/>
      </c>
      <c r="I45" s="76">
        <f t="shared" ref="I45:I47" si="6">IF(H45="North",2,IF(H45="",0,0))</f>
        <v>0</v>
      </c>
      <c r="J45" s="76" t="str">
        <f t="shared" ref="J45:J47" si="7">IF(F45=0,IF(G45&gt;0,"West","East"),"")</f>
        <v/>
      </c>
      <c r="K45" s="76">
        <f t="shared" ref="K45:K47" si="8">IF(J45="West",1,IF(J45="",0,3))</f>
        <v>0</v>
      </c>
      <c r="L45" s="76" t="str">
        <f t="shared" ref="L45:L47" si="9">H45&amp;J45</f>
        <v/>
      </c>
      <c r="M45" s="22">
        <f t="shared" ref="M45:M47" si="10">SQRT(F45^2+G45^2)</f>
        <v>4.3026154836223593</v>
      </c>
      <c r="N45" s="22">
        <f t="shared" ref="N45:N47" si="11">IF(F45=0,,ATAN(G45/F45))</f>
        <v>-0.67837069035357656</v>
      </c>
      <c r="O45" s="22">
        <f t="shared" ref="O45:O47" si="12">ABS(DEGREES(N45))</f>
        <v>38.867777502635967</v>
      </c>
      <c r="P45" s="24" t="str">
        <f t="shared" ref="P45:P47" si="13">TEXT(INT(O45),"00")</f>
        <v>38</v>
      </c>
      <c r="Q45" s="25" t="str">
        <f t="shared" ref="Q45:Q47" si="14">TEXT((O45-P45)*60,"00")</f>
        <v>52</v>
      </c>
      <c r="R45" s="23" t="str">
        <f t="shared" ref="R45:R47" si="15">IF(L45="",IF(F45&gt;0,"S","N"),"")</f>
        <v>N</v>
      </c>
      <c r="S45" s="25" t="str">
        <f t="shared" ref="S45:S47" si="16">IF(L45="",IF(INT(Q45)=60,INT(P45+1),P45),"due")</f>
        <v>38</v>
      </c>
      <c r="T45" s="25" t="str">
        <f t="shared" ref="T45:T47" si="17">IF(L45="",IF(INT(Q45)=60,"00",Q45),L45)</f>
        <v>52</v>
      </c>
      <c r="U45" s="24" t="str">
        <f t="shared" ref="U45:U47" si="18">IF(L45="",IF(G45&gt;0,"W","E"),"")</f>
        <v>W</v>
      </c>
      <c r="V45" s="44"/>
      <c r="W45" s="22">
        <f t="shared" ref="W45:W47" si="19">IF(S45="due",90*(I45+K45),S45+T45/60)</f>
        <v>38.866666666666667</v>
      </c>
      <c r="X45" s="22">
        <f t="shared" ref="X45:X47" si="20">IF(R45="",W45,IF(R45="N",IF(U45="E",180+W45,180-W45),IF(U45="E",360-W45,W45)))</f>
        <v>141.13333333333333</v>
      </c>
      <c r="Y45" s="22">
        <f t="shared" ref="Y45:Y47" si="21">RADIANS(X45)</f>
        <v>2.4632413509813302</v>
      </c>
      <c r="Z45" s="64"/>
      <c r="AA45" s="58">
        <f t="shared" ref="AA45:AA47" si="22">-M45*COS(Y45)</f>
        <v>3.3500523462589133</v>
      </c>
      <c r="AB45" s="58">
        <f t="shared" ref="AB45:AB47" si="23">-M45*SIN(Y45)</f>
        <v>-2.6999350505580715</v>
      </c>
      <c r="AC45" s="64"/>
      <c r="AD45" s="82">
        <f t="shared" ref="AD45:AD47" si="24">$AA$40/$M$40*M45</f>
        <v>1.2161777711871138E-4</v>
      </c>
      <c r="AE45" s="82">
        <f t="shared" ref="AE45:AE47" si="25">$AB$40/$M$40*M45</f>
        <v>-5.7493540713293184E-5</v>
      </c>
      <c r="AF45" s="22">
        <f t="shared" ref="AF45:AF47" si="26">AA45-AD45</f>
        <v>3.3499307284817945</v>
      </c>
      <c r="AG45" s="22">
        <f t="shared" ref="AG45:AG47" si="27">AB45-AE45</f>
        <v>-2.6998775570173583</v>
      </c>
      <c r="AH45" s="64"/>
      <c r="AI45" s="25">
        <f t="shared" ref="AI45:AI47" si="28">A45</f>
        <v>4</v>
      </c>
      <c r="AJ45" s="82">
        <f t="shared" ref="AJ45:AJ47" si="29">AJ44+AF44</f>
        <v>721288.51168455358</v>
      </c>
      <c r="AK45" s="82">
        <f t="shared" ref="AK45:AK47" si="30">AK44+AG44</f>
        <v>461638.68612810218</v>
      </c>
      <c r="AL45" s="66"/>
      <c r="AM45" s="9" t="str">
        <f t="shared" ref="AM45:AM47" si="31">IF(A46=0,A45&amp;" - 1",A45&amp;" - "&amp;A46)</f>
        <v>4 - 5</v>
      </c>
      <c r="AN45" s="18">
        <f t="shared" ref="AN45:AN47" si="32">AN44+F44+F45</f>
        <v>43.989999999874271</v>
      </c>
      <c r="AO45" s="18">
        <f t="shared" ref="AO45:AO47" si="33">AN45*G45</f>
        <v>118.77300000017264</v>
      </c>
      <c r="AP45" s="9" t="str">
        <f t="shared" ref="AP45:AP47" si="34">D45&amp;","&amp;C45</f>
        <v>461638.69,721288.53</v>
      </c>
    </row>
    <row r="46" spans="1:44" s="46" customFormat="1">
      <c r="A46" s="20">
        <f t="shared" si="2"/>
        <v>5</v>
      </c>
      <c r="B46" s="44"/>
      <c r="C46" s="60">
        <v>721291.88</v>
      </c>
      <c r="D46" s="60">
        <v>461635.99</v>
      </c>
      <c r="E46" s="79"/>
      <c r="F46" s="72">
        <f t="shared" si="3"/>
        <v>-21.699999999953434</v>
      </c>
      <c r="G46" s="72">
        <f t="shared" si="4"/>
        <v>-0.34000000002561137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21.70266343097078</v>
      </c>
      <c r="N46" s="22">
        <f t="shared" si="11"/>
        <v>1.5666920812515438E-2</v>
      </c>
      <c r="O46" s="22">
        <f t="shared" si="12"/>
        <v>0.89764844052280512</v>
      </c>
      <c r="P46" s="24" t="str">
        <f t="shared" si="13"/>
        <v>00</v>
      </c>
      <c r="Q46" s="25" t="str">
        <f t="shared" si="14"/>
        <v>54</v>
      </c>
      <c r="R46" s="23" t="str">
        <f t="shared" si="15"/>
        <v>N</v>
      </c>
      <c r="S46" s="25" t="str">
        <f t="shared" si="16"/>
        <v>00</v>
      </c>
      <c r="T46" s="25" t="str">
        <f t="shared" si="17"/>
        <v>54</v>
      </c>
      <c r="U46" s="24" t="str">
        <f t="shared" si="18"/>
        <v>E</v>
      </c>
      <c r="V46" s="44"/>
      <c r="W46" s="22">
        <f t="shared" si="19"/>
        <v>0.9</v>
      </c>
      <c r="X46" s="22">
        <f t="shared" si="20"/>
        <v>180.9</v>
      </c>
      <c r="Y46" s="22">
        <f t="shared" si="21"/>
        <v>3.1573006168577424</v>
      </c>
      <c r="Z46" s="64"/>
      <c r="AA46" s="58">
        <f t="shared" si="22"/>
        <v>21.699986027241945</v>
      </c>
      <c r="AB46" s="58">
        <f t="shared" si="23"/>
        <v>0.34089062102190987</v>
      </c>
      <c r="AC46" s="64"/>
      <c r="AD46" s="82">
        <f t="shared" si="24"/>
        <v>6.1344772594182275E-4</v>
      </c>
      <c r="AE46" s="82">
        <f t="shared" si="25"/>
        <v>-2.9000103967109087E-4</v>
      </c>
      <c r="AF46" s="22">
        <f t="shared" si="26"/>
        <v>21.699372579516002</v>
      </c>
      <c r="AG46" s="22">
        <f t="shared" si="27"/>
        <v>0.34118062206158095</v>
      </c>
      <c r="AH46" s="64"/>
      <c r="AI46" s="25">
        <f t="shared" si="28"/>
        <v>5</v>
      </c>
      <c r="AJ46" s="82">
        <f t="shared" si="29"/>
        <v>721291.86161528202</v>
      </c>
      <c r="AK46" s="82">
        <f t="shared" si="30"/>
        <v>461635.98625054519</v>
      </c>
      <c r="AL46" s="66"/>
      <c r="AM46" s="9" t="str">
        <f t="shared" si="31"/>
        <v>5 - 6</v>
      </c>
      <c r="AN46" s="18">
        <f t="shared" si="32"/>
        <v>18.939999999944121</v>
      </c>
      <c r="AO46" s="18">
        <f t="shared" si="33"/>
        <v>-6.4396000004660801</v>
      </c>
      <c r="AP46" s="9" t="str">
        <f t="shared" si="34"/>
        <v>461635.99,721291.88</v>
      </c>
    </row>
    <row r="47" spans="1:44" s="46" customFormat="1">
      <c r="A47" s="20">
        <f t="shared" si="2"/>
        <v>6</v>
      </c>
      <c r="B47" s="44"/>
      <c r="C47" s="60">
        <v>721313.58</v>
      </c>
      <c r="D47" s="60">
        <v>461636.33</v>
      </c>
      <c r="E47" s="79"/>
      <c r="F47" s="72">
        <f t="shared" si="3"/>
        <v>1.3800000000046566</v>
      </c>
      <c r="G47" s="72">
        <f t="shared" si="4"/>
        <v>-54.950000000011642</v>
      </c>
      <c r="H47" s="76" t="str">
        <f t="shared" si="5"/>
        <v/>
      </c>
      <c r="I47" s="76">
        <f t="shared" si="6"/>
        <v>0</v>
      </c>
      <c r="J47" s="76" t="str">
        <f t="shared" si="7"/>
        <v/>
      </c>
      <c r="K47" s="76">
        <f t="shared" si="8"/>
        <v>0</v>
      </c>
      <c r="L47" s="76" t="str">
        <f t="shared" si="9"/>
        <v/>
      </c>
      <c r="M47" s="22">
        <f t="shared" si="10"/>
        <v>54.967325749041969</v>
      </c>
      <c r="N47" s="22">
        <f t="shared" si="11"/>
        <v>-1.5456878647789292</v>
      </c>
      <c r="O47" s="22">
        <f t="shared" si="12"/>
        <v>88.561391096420536</v>
      </c>
      <c r="P47" s="24" t="str">
        <f t="shared" si="13"/>
        <v>88</v>
      </c>
      <c r="Q47" s="25" t="str">
        <f t="shared" si="14"/>
        <v>34</v>
      </c>
      <c r="R47" s="23" t="str">
        <f t="shared" si="15"/>
        <v>S</v>
      </c>
      <c r="S47" s="25" t="str">
        <f t="shared" si="16"/>
        <v>88</v>
      </c>
      <c r="T47" s="25" t="str">
        <f t="shared" si="17"/>
        <v>34</v>
      </c>
      <c r="U47" s="24" t="str">
        <f t="shared" si="18"/>
        <v>E</v>
      </c>
      <c r="V47" s="44"/>
      <c r="W47" s="22">
        <f t="shared" si="19"/>
        <v>88.566666666666663</v>
      </c>
      <c r="X47" s="22">
        <f t="shared" si="20"/>
        <v>271.43333333333334</v>
      </c>
      <c r="Y47" s="22">
        <f t="shared" si="21"/>
        <v>4.7374053663299422</v>
      </c>
      <c r="Z47" s="64"/>
      <c r="AA47" s="58">
        <f t="shared" si="22"/>
        <v>-1.3749404140761903</v>
      </c>
      <c r="AB47" s="58">
        <f t="shared" si="23"/>
        <v>54.950126832055922</v>
      </c>
      <c r="AC47" s="64"/>
      <c r="AD47" s="82">
        <f t="shared" si="24"/>
        <v>1.5537070410322853E-3</v>
      </c>
      <c r="AE47" s="82">
        <f t="shared" si="25"/>
        <v>-7.3449886304801152E-4</v>
      </c>
      <c r="AF47" s="22">
        <f t="shared" si="26"/>
        <v>-1.3764941211172226</v>
      </c>
      <c r="AG47" s="22">
        <f t="shared" si="27"/>
        <v>54.950861330918968</v>
      </c>
      <c r="AH47" s="64"/>
      <c r="AI47" s="25">
        <f t="shared" si="28"/>
        <v>6</v>
      </c>
      <c r="AJ47" s="82">
        <f t="shared" si="29"/>
        <v>721313.56098786148</v>
      </c>
      <c r="AK47" s="82">
        <f t="shared" si="30"/>
        <v>461636.32743116724</v>
      </c>
      <c r="AL47" s="66"/>
      <c r="AM47" s="9" t="str">
        <f t="shared" si="31"/>
        <v>6 - 1</v>
      </c>
      <c r="AN47" s="18">
        <f t="shared" si="32"/>
        <v>-1.3800000000046566</v>
      </c>
      <c r="AO47" s="18">
        <f t="shared" si="33"/>
        <v>75.831000000271942</v>
      </c>
      <c r="AP47" s="9" t="str">
        <f t="shared" si="34"/>
        <v>461636.33,721313.58</v>
      </c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AS47"/>
  <sheetViews>
    <sheetView workbookViewId="0">
      <selection activeCell="R19" sqref="R19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82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83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1308.0510999975988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654.02554999879942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6.3140041843217573E-3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15981.779821143908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16000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16000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100.90902466361166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6.0226161587670357E-3</v>
      </c>
      <c r="AB40" s="91">
        <f>SUM(AB42:AB65536)</f>
        <v>-1.8959808658820521E-3</v>
      </c>
      <c r="AC40" s="91"/>
      <c r="AD40" s="91">
        <f>SUM(AD42:AD65536)</f>
        <v>6.0226161587670357E-3</v>
      </c>
      <c r="AE40" s="91">
        <f>SUM(AE42:AE65536)</f>
        <v>-1.8959808658820521E-3</v>
      </c>
      <c r="AF40" s="91">
        <f>SUM(AF42:AF65536)</f>
        <v>-2.55351295663786E-15</v>
      </c>
      <c r="AG40" s="91">
        <f>SUM(AG42:AG65536)</f>
        <v>0</v>
      </c>
      <c r="AH40" s="92"/>
      <c r="AI40" s="93">
        <v>1</v>
      </c>
      <c r="AJ40" s="92">
        <f>AJ44+AF44</f>
        <v>721304.0723758114</v>
      </c>
      <c r="AK40" s="92">
        <f>AK44+AG44</f>
        <v>461606.67904190591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-52.660000000032596</v>
      </c>
      <c r="G41" s="72">
        <f>IF(D42=0,D41-$D$41,D41-D42)</f>
        <v>869.32999999995809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870.92348946387403</v>
      </c>
      <c r="N41" s="36">
        <f>IF(F41=0,,ATAN(G41/F41))</f>
        <v>-1.5102948697738907</v>
      </c>
      <c r="O41" s="36">
        <f>ABS(DEGREES(N41))</f>
        <v>86.533521858304226</v>
      </c>
      <c r="P41" s="37" t="str">
        <f>TEXT(INT(O41),"00")</f>
        <v>86</v>
      </c>
      <c r="Q41" s="38" t="str">
        <f>TEXT((O41-P41)*60,"00")</f>
        <v>32</v>
      </c>
      <c r="R41" s="39" t="str">
        <f>IF(L41="",IF(F41&gt;0,"S","N"),"")</f>
        <v>N</v>
      </c>
      <c r="S41" s="25" t="str">
        <f>IF(L41="",IF(INT(Q41)=60,INT(P41+1),P41),"due")</f>
        <v>86</v>
      </c>
      <c r="T41" s="38" t="str">
        <f>IF(L41="",IF(INT(Q41)=60,"00",Q41),L41)</f>
        <v>32</v>
      </c>
      <c r="U41" s="40" t="str">
        <f>IF(L41="",IF(G41&gt;0,"W","E"),"")</f>
        <v>W</v>
      </c>
      <c r="V41" s="41"/>
      <c r="W41" s="22">
        <f>IF(S41="due",90*(I41+K41),S41+T41/60)</f>
        <v>86.533333333333331</v>
      </c>
      <c r="X41" s="22">
        <f>IF(R41="",W41,IF(R41="N",IF(U41="E",180+W41,180-W41),IF(U41="E",360-W41,W41)))</f>
        <v>93.466666666666669</v>
      </c>
      <c r="Y41" s="22">
        <f>RADIANS(X41)</f>
        <v>1.6313010741973668</v>
      </c>
      <c r="Z41" s="64"/>
      <c r="AA41" s="58">
        <f>-M41*COS(Y41)</f>
        <v>52.662860427065851</v>
      </c>
      <c r="AB41" s="58">
        <f>-M41*SIN(Y41)</f>
        <v>-869.32982672376431</v>
      </c>
      <c r="AC41" s="64"/>
      <c r="AD41" s="22">
        <v>0</v>
      </c>
      <c r="AE41" s="22">
        <v>0</v>
      </c>
      <c r="AF41" s="22">
        <f t="shared" ref="AF41:AG43" si="0">AA41-AD41</f>
        <v>52.662860427065851</v>
      </c>
      <c r="AG41" s="22">
        <f t="shared" si="0"/>
        <v>-869.32982672376431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721281.28</v>
      </c>
      <c r="D42" s="60">
        <v>461580.89</v>
      </c>
      <c r="E42" s="79"/>
      <c r="F42" s="72">
        <f>IF(C43=0,C42-$C$42,C42-C43)</f>
        <v>-25.089999999967404</v>
      </c>
      <c r="G42" s="72">
        <f>IF(D43=0,D42-$D$42,D42-D43)</f>
        <v>0.17999999999301508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25.090645667227491</v>
      </c>
      <c r="N42" s="36">
        <f>IF(F42=0,,ATAN(G42/F42))</f>
        <v>-7.1740498988894577E-3</v>
      </c>
      <c r="O42" s="36">
        <f>ABS(DEGREES(N42))</f>
        <v>0.41104278122262089</v>
      </c>
      <c r="P42" s="37" t="str">
        <f>TEXT(INT(O42),"00")</f>
        <v>00</v>
      </c>
      <c r="Q42" s="38" t="str">
        <f>TEXT((O42-P42)*60,"00")</f>
        <v>25</v>
      </c>
      <c r="R42" s="39" t="str">
        <f>IF(L42="",IF(F42&gt;0,"S","N"),"")</f>
        <v>N</v>
      </c>
      <c r="S42" s="25" t="str">
        <f>IF(L42="",IF(INT(Q42)=60,INT(P42+1),P42),"due")</f>
        <v>00</v>
      </c>
      <c r="T42" s="38" t="str">
        <f>IF(L42="",IF(INT(Q42)=60,"00",Q42),L42)</f>
        <v>25</v>
      </c>
      <c r="U42" s="40" t="str">
        <f>IF(L42="",IF(G42&gt;0,"W","E"),"")</f>
        <v>W</v>
      </c>
      <c r="V42" s="44"/>
      <c r="W42" s="22">
        <f>IF(S42="due",90*(I42+K42),S42+T42/60)</f>
        <v>0.41666666666666669</v>
      </c>
      <c r="X42" s="22">
        <f>IF(R42="",W42,IF(R42="N",IF(U42="E",180+W42,180-W42),IF(U42="E",360-W42,W42)))</f>
        <v>179.58333333333334</v>
      </c>
      <c r="Y42" s="22">
        <f>RADIANS(X42)</f>
        <v>3.1343204483731504</v>
      </c>
      <c r="Z42" s="64"/>
      <c r="AA42" s="58">
        <f>-M42*COS(Y42)</f>
        <v>25.089982211145852</v>
      </c>
      <c r="AB42" s="58">
        <f>-M42*SIN(Y42)</f>
        <v>-0.18246271604438821</v>
      </c>
      <c r="AC42" s="64"/>
      <c r="AD42" s="82">
        <f>$AA$40/$M$40*M42</f>
        <v>1.4975006302269213E-3</v>
      </c>
      <c r="AE42" s="82">
        <f>$AB$40/$M$40*M42</f>
        <v>-4.7142844018434197E-4</v>
      </c>
      <c r="AF42" s="22">
        <f t="shared" si="0"/>
        <v>25.088484710515626</v>
      </c>
      <c r="AG42" s="22">
        <f t="shared" si="0"/>
        <v>-0.18199128760420388</v>
      </c>
      <c r="AH42" s="63"/>
      <c r="AI42" s="38">
        <f>A42</f>
        <v>1</v>
      </c>
      <c r="AJ42" s="82">
        <f t="shared" ref="AJ42:AK44" si="1">AJ41+AF41</f>
        <v>721281.28286042705</v>
      </c>
      <c r="AK42" s="82">
        <f t="shared" si="1"/>
        <v>461580.89017327619</v>
      </c>
      <c r="AL42" s="66"/>
      <c r="AM42" s="9" t="str">
        <f>IF(A43=0,A42&amp;" - 1",A42&amp;" - "&amp;A43)</f>
        <v>1 - 2</v>
      </c>
      <c r="AN42" s="18">
        <f>F42</f>
        <v>-25.089999999967404</v>
      </c>
      <c r="AO42" s="18">
        <f>AN42*G42</f>
        <v>-4.5161999998188813</v>
      </c>
      <c r="AP42" s="9" t="str">
        <f>D42&amp;","&amp;C42</f>
        <v>461580.89,721281.28</v>
      </c>
    </row>
    <row r="43" spans="1:44">
      <c r="A43" s="20">
        <f>A42+1</f>
        <v>2</v>
      </c>
      <c r="B43" s="44"/>
      <c r="C43" s="60">
        <v>721306.37</v>
      </c>
      <c r="D43" s="60">
        <v>461580.71</v>
      </c>
      <c r="E43" s="79"/>
      <c r="F43" s="72">
        <f>IF(C44=0,C43-$C$42,C43-C44)</f>
        <v>-0.73999999999068677</v>
      </c>
      <c r="G43" s="72">
        <f>IF(D44=0,D43-$D$42,D43-D44)</f>
        <v>-23.190000000002328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23.201803809188934</v>
      </c>
      <c r="N43" s="36">
        <f>IF(F43=0,,ATAN(G43/F43))</f>
        <v>1.538896845093678</v>
      </c>
      <c r="O43" s="36">
        <f>ABS(DEGREES(N43))</f>
        <v>88.17229432986538</v>
      </c>
      <c r="P43" s="37" t="str">
        <f>TEXT(INT(O43),"00")</f>
        <v>88</v>
      </c>
      <c r="Q43" s="38" t="str">
        <f>TEXT((O43-P43)*60,"00")</f>
        <v>10</v>
      </c>
      <c r="R43" s="39" t="str">
        <f>IF(L43="",IF(F43&gt;0,"S","N"),"")</f>
        <v>N</v>
      </c>
      <c r="S43" s="25" t="str">
        <f>IF(L43="",IF(INT(Q43)=60,INT(P43+1),P43),"due")</f>
        <v>88</v>
      </c>
      <c r="T43" s="38" t="str">
        <f>IF(L43="",IF(INT(Q43)=60,"00",Q43),L43)</f>
        <v>10</v>
      </c>
      <c r="U43" s="40" t="str">
        <f>IF(L43="",IF(G43&gt;0,"W","E"),"")</f>
        <v>E</v>
      </c>
      <c r="V43" s="44"/>
      <c r="W43" s="22">
        <f>IF(S43="due",90*(I43+K43),S43+T43/60)</f>
        <v>88.166666666666671</v>
      </c>
      <c r="X43" s="22">
        <f>IF(R43="",W43,IF(R43="N",IF(U43="E",180+W43,180-W43),IF(U43="E",360-W43,W43)))</f>
        <v>268.16666666666669</v>
      </c>
      <c r="Y43" s="22">
        <f>RADIANS(X43)</f>
        <v>4.6803912774314611</v>
      </c>
      <c r="Z43" s="64"/>
      <c r="AA43" s="58">
        <f>-M43*COS(Y43)</f>
        <v>0.74227774725159368</v>
      </c>
      <c r="AB43" s="58">
        <f>-M43*SIN(Y43)</f>
        <v>23.18992720441419</v>
      </c>
      <c r="AC43" s="64"/>
      <c r="AD43" s="82">
        <f>$AA$40/$M$40*M43</f>
        <v>1.384767705362167E-3</v>
      </c>
      <c r="AE43" s="82">
        <f>$AB$40/$M$40*M43</f>
        <v>-4.3593896802408225E-4</v>
      </c>
      <c r="AF43" s="22">
        <f t="shared" si="0"/>
        <v>0.74089297954623146</v>
      </c>
      <c r="AG43" s="22">
        <f t="shared" si="0"/>
        <v>23.190363143382214</v>
      </c>
      <c r="AH43" s="64"/>
      <c r="AI43" s="25">
        <f>A43</f>
        <v>2</v>
      </c>
      <c r="AJ43" s="82">
        <f t="shared" si="1"/>
        <v>721306.3713451376</v>
      </c>
      <c r="AK43" s="82">
        <f t="shared" si="1"/>
        <v>461580.70818198856</v>
      </c>
      <c r="AL43" s="66"/>
      <c r="AM43" s="9" t="str">
        <f>IF(A44=0,A43&amp;" - 1",A43&amp;" - "&amp;A44)</f>
        <v>2 - 3</v>
      </c>
      <c r="AN43" s="18">
        <f>AN42+F42+F43</f>
        <v>-50.919999999925494</v>
      </c>
      <c r="AO43" s="18">
        <f>AN43*G43</f>
        <v>1180.8347999983907</v>
      </c>
      <c r="AP43" s="9" t="str">
        <f>D43&amp;","&amp;C43</f>
        <v>461580.71,721306.37</v>
      </c>
    </row>
    <row r="44" spans="1:44" s="46" customFormat="1">
      <c r="A44" s="20">
        <f>A43+1</f>
        <v>3</v>
      </c>
      <c r="B44" s="44"/>
      <c r="C44" s="60">
        <v>721307.11</v>
      </c>
      <c r="D44" s="60">
        <v>461603.9</v>
      </c>
      <c r="E44" s="79"/>
      <c r="F44" s="72">
        <f>IF(C45=0,C44-$C$42,C44-C45)</f>
        <v>3.0400000000372529</v>
      </c>
      <c r="G44" s="72">
        <f>IF(D45=0,D44-$D$42,D44-D45)</f>
        <v>-2.779999999969732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4.1194659848162614</v>
      </c>
      <c r="N44" s="22">
        <f>IF(F44=0,,ATAN(G44/F44))</f>
        <v>-0.74075430703332523</v>
      </c>
      <c r="O44" s="22">
        <f>ABS(DEGREES(N44))</f>
        <v>42.442095449147487</v>
      </c>
      <c r="P44" s="24" t="str">
        <f>TEXT(INT(O44),"00")</f>
        <v>42</v>
      </c>
      <c r="Q44" s="25" t="str">
        <f>TEXT((O44-P44)*60,"00")</f>
        <v>27</v>
      </c>
      <c r="R44" s="23" t="str">
        <f>IF(L44="",IF(F44&gt;0,"S","N"),"")</f>
        <v>S</v>
      </c>
      <c r="S44" s="25" t="str">
        <f>IF(L44="",IF(INT(Q44)=60,INT(P44+1),P44),"due")</f>
        <v>42</v>
      </c>
      <c r="T44" s="25" t="str">
        <f>IF(L44="",IF(INT(Q44)=60,"00",Q44),L44)</f>
        <v>27</v>
      </c>
      <c r="U44" s="24" t="str">
        <f>IF(L44="",IF(G44&gt;0,"W","E"),"")</f>
        <v>E</v>
      </c>
      <c r="V44" s="44"/>
      <c r="W44" s="22">
        <f>IF(S44="due",90*(I44+K44),S44+T44/60)</f>
        <v>42.45</v>
      </c>
      <c r="X44" s="22">
        <f>IF(R44="",W44,IF(R44="N",IF(U44="E",180+W44,180-W44),IF(U44="E",360-W44,W44)))</f>
        <v>317.55</v>
      </c>
      <c r="Y44" s="22">
        <f>RADIANS(X44)</f>
        <v>5.5422930397079933</v>
      </c>
      <c r="Z44" s="64"/>
      <c r="AA44" s="58">
        <f>-M44*COS(Y44)</f>
        <v>-3.0396164410898034</v>
      </c>
      <c r="AB44" s="58">
        <f>-M44*SIN(Y44)</f>
        <v>2.7804193732447571</v>
      </c>
      <c r="AC44" s="64"/>
      <c r="AD44" s="82">
        <f>$AA$40/$M$40*M44</f>
        <v>2.4586465371508227E-4</v>
      </c>
      <c r="AE44" s="82">
        <f>$AB$40/$M$40*M44</f>
        <v>-7.7400695437303919E-5</v>
      </c>
      <c r="AF44" s="22">
        <f>AA44-AD44</f>
        <v>-3.0398623057435183</v>
      </c>
      <c r="AG44" s="22">
        <f>AB44-AE44</f>
        <v>2.7804967739401945</v>
      </c>
      <c r="AH44" s="64"/>
      <c r="AI44" s="25">
        <f>A44</f>
        <v>3</v>
      </c>
      <c r="AJ44" s="82">
        <f t="shared" si="1"/>
        <v>721307.11223811714</v>
      </c>
      <c r="AK44" s="82">
        <f t="shared" si="1"/>
        <v>461603.89854513196</v>
      </c>
      <c r="AL44" s="66"/>
      <c r="AM44" s="9" t="str">
        <f>IF(A45=0,A44&amp;" - 1",A44&amp;" - "&amp;A45)</f>
        <v>3 - 4</v>
      </c>
      <c r="AN44" s="18">
        <f>AN43+F43+F44</f>
        <v>-48.619999999878928</v>
      </c>
      <c r="AO44" s="18">
        <f>AN44*G44</f>
        <v>135.16359999819178</v>
      </c>
      <c r="AP44" s="9" t="str">
        <f>D44&amp;","&amp;C44</f>
        <v>461603.9,721307.11</v>
      </c>
    </row>
    <row r="45" spans="1:44" s="46" customFormat="1">
      <c r="A45" s="20">
        <f t="shared" ref="A45:A46" si="2">A44+1</f>
        <v>4</v>
      </c>
      <c r="B45" s="44"/>
      <c r="C45" s="60">
        <v>721304.07</v>
      </c>
      <c r="D45" s="60">
        <v>461606.68</v>
      </c>
      <c r="E45" s="79"/>
      <c r="F45" s="72">
        <f t="shared" ref="F45:F46" si="3">IF(C46=0,C45-$C$42,C45-C46)</f>
        <v>22.32999999995809</v>
      </c>
      <c r="G45" s="72">
        <f t="shared" ref="G45:G46" si="4">IF(D46=0,D45-$D$42,D45-D46)</f>
        <v>-0.36999999999534339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22.333065172477443</v>
      </c>
      <c r="N45" s="22">
        <f t="shared" ref="N45:N46" si="11">IF(F45=0,,ATAN(G45/F45))</f>
        <v>-1.6568121094996894E-2</v>
      </c>
      <c r="O45" s="22">
        <f t="shared" ref="O45:O46" si="12">ABS(DEGREES(N45))</f>
        <v>0.9492834132049901</v>
      </c>
      <c r="P45" s="24" t="str">
        <f t="shared" ref="P45:P46" si="13">TEXT(INT(O45),"00")</f>
        <v>00</v>
      </c>
      <c r="Q45" s="25" t="str">
        <f t="shared" ref="Q45:Q46" si="14">TEXT((O45-P45)*60,"00")</f>
        <v>57</v>
      </c>
      <c r="R45" s="23" t="str">
        <f t="shared" ref="R45:R46" si="15">IF(L45="",IF(F45&gt;0,"S","N"),"")</f>
        <v>S</v>
      </c>
      <c r="S45" s="25" t="str">
        <f t="shared" ref="S45:S46" si="16">IF(L45="",IF(INT(Q45)=60,INT(P45+1),P45),"due")</f>
        <v>00</v>
      </c>
      <c r="T45" s="25" t="str">
        <f t="shared" ref="T45:T46" si="17">IF(L45="",IF(INT(Q45)=60,"00",Q45),L45)</f>
        <v>57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0.95</v>
      </c>
      <c r="X45" s="22">
        <f t="shared" ref="X45:X46" si="20">IF(R45="",W45,IF(R45="N",IF(U45="E",180+W45,180-W45),IF(U45="E",360-W45,W45)))</f>
        <v>359.05</v>
      </c>
      <c r="Y45" s="22">
        <f t="shared" ref="Y45:Y46" si="21">RADIANS(X45)</f>
        <v>6.2666046792856402</v>
      </c>
      <c r="Z45" s="64"/>
      <c r="AA45" s="58">
        <f t="shared" ref="AA45:AA46" si="22">-M45*COS(Y45)</f>
        <v>-22.329995370696054</v>
      </c>
      <c r="AB45" s="58">
        <f t="shared" ref="AB45:AB46" si="23">-M45*SIN(Y45)</f>
        <v>0.37027927678693662</v>
      </c>
      <c r="AC45" s="64"/>
      <c r="AD45" s="82">
        <f t="shared" ref="AD45:AD46" si="24">$AA$40/$M$40*M45</f>
        <v>1.3329182363117484E-3</v>
      </c>
      <c r="AE45" s="82">
        <f t="shared" ref="AE45:AE46" si="25">$AB$40/$M$40*M45</f>
        <v>-4.1961622743523773E-4</v>
      </c>
      <c r="AF45" s="22">
        <f t="shared" ref="AF45:AF46" si="26">AA45-AD45</f>
        <v>-22.331328288932365</v>
      </c>
      <c r="AG45" s="22">
        <f t="shared" ref="AG45:AG46" si="27">AB45-AE45</f>
        <v>0.37069889301437187</v>
      </c>
      <c r="AH45" s="64"/>
      <c r="AI45" s="25">
        <f t="shared" ref="AI45:AI46" si="28">A45</f>
        <v>4</v>
      </c>
      <c r="AJ45" s="82">
        <f t="shared" ref="AJ45:AJ46" si="29">AJ44+AF44</f>
        <v>721304.0723758114</v>
      </c>
      <c r="AK45" s="82">
        <f t="shared" ref="AK45:AK46" si="30">AK44+AG44</f>
        <v>461606.67904190591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-23.249999999883585</v>
      </c>
      <c r="AO45" s="18">
        <f t="shared" ref="AO45:AO46" si="33">AN45*G45</f>
        <v>8.6024999998486607</v>
      </c>
      <c r="AP45" s="9" t="str">
        <f t="shared" ref="AP45:AP46" si="34">D45&amp;","&amp;C45</f>
        <v>461606.68,721304.07</v>
      </c>
    </row>
    <row r="46" spans="1:44" s="46" customFormat="1">
      <c r="A46" s="20">
        <f t="shared" si="2"/>
        <v>5</v>
      </c>
      <c r="B46" s="44"/>
      <c r="C46" s="60">
        <v>721281.74</v>
      </c>
      <c r="D46" s="60">
        <v>461607.05</v>
      </c>
      <c r="E46" s="79"/>
      <c r="F46" s="72">
        <f t="shared" si="3"/>
        <v>0.4599999999627471</v>
      </c>
      <c r="G46" s="72">
        <f t="shared" si="4"/>
        <v>26.159999999974389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26.164044029901525</v>
      </c>
      <c r="N46" s="22">
        <f t="shared" si="11"/>
        <v>1.5532140409380937</v>
      </c>
      <c r="O46" s="22">
        <f t="shared" si="12"/>
        <v>88.992609226212636</v>
      </c>
      <c r="P46" s="24" t="str">
        <f t="shared" si="13"/>
        <v>88</v>
      </c>
      <c r="Q46" s="25" t="str">
        <f t="shared" si="14"/>
        <v>60</v>
      </c>
      <c r="R46" s="23" t="str">
        <f t="shared" si="15"/>
        <v>S</v>
      </c>
      <c r="S46" s="25">
        <f t="shared" si="16"/>
        <v>89</v>
      </c>
      <c r="T46" s="25" t="str">
        <f t="shared" si="17"/>
        <v>00</v>
      </c>
      <c r="U46" s="24" t="str">
        <f t="shared" si="18"/>
        <v>W</v>
      </c>
      <c r="V46" s="44"/>
      <c r="W46" s="22">
        <f t="shared" si="19"/>
        <v>89</v>
      </c>
      <c r="X46" s="22">
        <f t="shared" si="20"/>
        <v>89</v>
      </c>
      <c r="Y46" s="22">
        <f t="shared" si="21"/>
        <v>1.5533430342749532</v>
      </c>
      <c r="Z46" s="64"/>
      <c r="AA46" s="58">
        <f t="shared" si="22"/>
        <v>-0.45662553045282489</v>
      </c>
      <c r="AB46" s="58">
        <f t="shared" si="23"/>
        <v>-26.16005911926738</v>
      </c>
      <c r="AC46" s="64"/>
      <c r="AD46" s="82">
        <f t="shared" si="24"/>
        <v>1.5615649331511166E-3</v>
      </c>
      <c r="AE46" s="82">
        <f t="shared" si="25"/>
        <v>-4.9159653480108619E-4</v>
      </c>
      <c r="AF46" s="22">
        <f t="shared" si="26"/>
        <v>-0.45818709538597602</v>
      </c>
      <c r="AG46" s="22">
        <f t="shared" si="27"/>
        <v>-26.15956752273258</v>
      </c>
      <c r="AH46" s="64"/>
      <c r="AI46" s="25">
        <f t="shared" si="28"/>
        <v>5</v>
      </c>
      <c r="AJ46" s="82">
        <f t="shared" si="29"/>
        <v>721281.74104752252</v>
      </c>
      <c r="AK46" s="82">
        <f t="shared" si="30"/>
        <v>461607.04974079895</v>
      </c>
      <c r="AL46" s="66"/>
      <c r="AM46" s="9" t="str">
        <f t="shared" si="31"/>
        <v>5 - 1</v>
      </c>
      <c r="AN46" s="18">
        <f t="shared" si="32"/>
        <v>-0.4599999999627471</v>
      </c>
      <c r="AO46" s="18">
        <f t="shared" si="33"/>
        <v>-12.033599999013683</v>
      </c>
      <c r="AP46" s="9" t="str">
        <f t="shared" si="34"/>
        <v>461607.05,721281.74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AS47"/>
  <sheetViews>
    <sheetView workbookViewId="0">
      <selection activeCell="D20" sqref="D20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85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86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87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5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1323.636799998395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661.81839999919748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2.4914830136497203E-3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40806.515444332581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101.6687400757896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-1.0004247856016946E-3</v>
      </c>
      <c r="AB40" s="91">
        <f>SUM(AB42:AB65536)</f>
        <v>2.281805832155509E-3</v>
      </c>
      <c r="AC40" s="91"/>
      <c r="AD40" s="91">
        <f>SUM(AD42:AD65536)</f>
        <v>-1.0004247856016946E-3</v>
      </c>
      <c r="AE40" s="91">
        <f>SUM(AE42:AE65536)</f>
        <v>2.281805832155509E-3</v>
      </c>
      <c r="AF40" s="91">
        <f>SUM(AF42:AF65536)</f>
        <v>0</v>
      </c>
      <c r="AG40" s="91">
        <f>SUM(AG42:AG65536)</f>
        <v>-2.248201624865942E-15</v>
      </c>
      <c r="AH40" s="92"/>
      <c r="AI40" s="93">
        <v>1</v>
      </c>
      <c r="AJ40" s="92">
        <f>AJ44+AF44</f>
        <v>721305.94077982567</v>
      </c>
      <c r="AK40" s="92">
        <f>AK44+AG44</f>
        <v>461557.52882352215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-52.660000000032596</v>
      </c>
      <c r="G41" s="72">
        <f>IF(D42=0,D41-$D$41,D41-D42)</f>
        <v>869.32999999995809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870.92348946387403</v>
      </c>
      <c r="N41" s="36">
        <f>IF(F41=0,,ATAN(G41/F41))</f>
        <v>-1.5102948697738907</v>
      </c>
      <c r="O41" s="36">
        <f>ABS(DEGREES(N41))</f>
        <v>86.533521858304226</v>
      </c>
      <c r="P41" s="37" t="str">
        <f>TEXT(INT(O41),"00")</f>
        <v>86</v>
      </c>
      <c r="Q41" s="38" t="str">
        <f>TEXT((O41-P41)*60,"00")</f>
        <v>32</v>
      </c>
      <c r="R41" s="39" t="str">
        <f>IF(L41="",IF(F41&gt;0,"S","N"),"")</f>
        <v>N</v>
      </c>
      <c r="S41" s="25" t="str">
        <f>IF(L41="",IF(INT(Q41)=60,INT(P41+1),P41),"due")</f>
        <v>86</v>
      </c>
      <c r="T41" s="38" t="str">
        <f>IF(L41="",IF(INT(Q41)=60,"00",Q41),L41)</f>
        <v>32</v>
      </c>
      <c r="U41" s="40" t="str">
        <f>IF(L41="",IF(G41&gt;0,"W","E"),"")</f>
        <v>W</v>
      </c>
      <c r="V41" s="41"/>
      <c r="W41" s="22">
        <f>IF(S41="due",90*(I41+K41),S41+T41/60)</f>
        <v>86.533333333333331</v>
      </c>
      <c r="X41" s="22">
        <f>IF(R41="",W41,IF(R41="N",IF(U41="E",180+W41,180-W41),IF(U41="E",360-W41,W41)))</f>
        <v>93.466666666666669</v>
      </c>
      <c r="Y41" s="22">
        <f>RADIANS(X41)</f>
        <v>1.6313010741973668</v>
      </c>
      <c r="Z41" s="64"/>
      <c r="AA41" s="58">
        <f>-M41*COS(Y41)</f>
        <v>52.662860427065851</v>
      </c>
      <c r="AB41" s="58">
        <f>-M41*SIN(Y41)</f>
        <v>-869.32982672376431</v>
      </c>
      <c r="AC41" s="64"/>
      <c r="AD41" s="22">
        <v>0</v>
      </c>
      <c r="AE41" s="22">
        <v>0</v>
      </c>
      <c r="AF41" s="22">
        <f t="shared" ref="AF41:AG43" si="0">AA41-AD41</f>
        <v>52.662860427065851</v>
      </c>
      <c r="AG41" s="22">
        <f t="shared" si="0"/>
        <v>-869.32982672376431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721281.28</v>
      </c>
      <c r="D42" s="60">
        <v>461580.89</v>
      </c>
      <c r="E42" s="79"/>
      <c r="F42" s="72">
        <f>IF(C43=0,C42-$C$42,C42-C43)</f>
        <v>0.32000000006519258</v>
      </c>
      <c r="G42" s="72">
        <f>IF(D43=0,D42-$D$42,D42-D43)</f>
        <v>27.059999999997672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27.061892025501759</v>
      </c>
      <c r="N42" s="36">
        <f>IF(F42=0,,ATAN(G42/F42))</f>
        <v>1.5589713051908682</v>
      </c>
      <c r="O42" s="36">
        <f>ABS(DEGREES(N42))</f>
        <v>89.322476169438161</v>
      </c>
      <c r="P42" s="37" t="str">
        <f>TEXT(INT(O42),"00")</f>
        <v>89</v>
      </c>
      <c r="Q42" s="38" t="str">
        <f>TEXT((O42-P42)*60,"00")</f>
        <v>19</v>
      </c>
      <c r="R42" s="39" t="str">
        <f>IF(L42="",IF(F42&gt;0,"S","N"),"")</f>
        <v>S</v>
      </c>
      <c r="S42" s="25" t="str">
        <f>IF(L42="",IF(INT(Q42)=60,INT(P42+1),P42),"due")</f>
        <v>89</v>
      </c>
      <c r="T42" s="38" t="str">
        <f>IF(L42="",IF(INT(Q42)=60,"00",Q42),L42)</f>
        <v>19</v>
      </c>
      <c r="U42" s="40" t="str">
        <f>IF(L42="",IF(G42&gt;0,"W","E"),"")</f>
        <v>W</v>
      </c>
      <c r="V42" s="44"/>
      <c r="W42" s="22">
        <f>IF(S42="due",90*(I42+K42),S42+T42/60)</f>
        <v>89.316666666666663</v>
      </c>
      <c r="X42" s="22">
        <f>IF(R42="",W42,IF(R42="N",IF(U42="E",180+W42,180-W42),IF(U42="E",360-W42,W42)))</f>
        <v>89.316666666666663</v>
      </c>
      <c r="Y42" s="22">
        <f>RADIANS(X42)</f>
        <v>1.558869910239602</v>
      </c>
      <c r="Z42" s="64"/>
      <c r="AA42" s="58">
        <f>-M42*COS(Y42)</f>
        <v>-0.32274374579680731</v>
      </c>
      <c r="AB42" s="58">
        <f>-M42*SIN(Y42)</f>
        <v>-27.059967414512251</v>
      </c>
      <c r="AC42" s="64"/>
      <c r="AD42" s="82">
        <f>$AA$40/$M$40*M42</f>
        <v>-2.6629018425335831E-4</v>
      </c>
      <c r="AE42" s="82">
        <f>$AB$40/$M$40*M42</f>
        <v>6.0736449578228924E-4</v>
      </c>
      <c r="AF42" s="22">
        <f t="shared" si="0"/>
        <v>-0.32247745561255398</v>
      </c>
      <c r="AG42" s="22">
        <f t="shared" si="0"/>
        <v>-27.060574779008032</v>
      </c>
      <c r="AH42" s="63"/>
      <c r="AI42" s="38">
        <f>A42</f>
        <v>1</v>
      </c>
      <c r="AJ42" s="82">
        <f t="shared" ref="AJ42:AK44" si="1">AJ41+AF41</f>
        <v>721281.28286042705</v>
      </c>
      <c r="AK42" s="82">
        <f t="shared" si="1"/>
        <v>461580.89017327619</v>
      </c>
      <c r="AL42" s="66"/>
      <c r="AM42" s="9" t="str">
        <f>IF(A43=0,A42&amp;" - 1",A42&amp;" - "&amp;A43)</f>
        <v>1 - 2</v>
      </c>
      <c r="AN42" s="18">
        <f>F42</f>
        <v>0.32000000006519258</v>
      </c>
      <c r="AO42" s="18">
        <f>AN42*G42</f>
        <v>8.6592000017633666</v>
      </c>
      <c r="AP42" s="9" t="str">
        <f>D42&amp;","&amp;C42</f>
        <v>461580.89,721281.28</v>
      </c>
    </row>
    <row r="43" spans="1:44">
      <c r="A43" s="20">
        <f>A42+1</f>
        <v>2</v>
      </c>
      <c r="B43" s="44"/>
      <c r="C43" s="60">
        <v>721280.96</v>
      </c>
      <c r="D43" s="60">
        <v>461553.83</v>
      </c>
      <c r="E43" s="79"/>
      <c r="F43" s="72">
        <f>IF(C44=0,C43-$C$42,C43-C44)</f>
        <v>-22.010000000009313</v>
      </c>
      <c r="G43" s="72">
        <f>IF(D44=0,D43-$D$42,D43-D44)</f>
        <v>-0.57000000000698492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22.017379498941693</v>
      </c>
      <c r="N43" s="36">
        <f>IF(F43=0,,ATAN(G43/F43))</f>
        <v>2.5891532200838778E-2</v>
      </c>
      <c r="O43" s="36">
        <f>ABS(DEGREES(N43))</f>
        <v>1.4834755202351297</v>
      </c>
      <c r="P43" s="37" t="str">
        <f>TEXT(INT(O43),"00")</f>
        <v>01</v>
      </c>
      <c r="Q43" s="38" t="str">
        <f>TEXT((O43-P43)*60,"00")</f>
        <v>29</v>
      </c>
      <c r="R43" s="39" t="str">
        <f>IF(L43="",IF(F43&gt;0,"S","N"),"")</f>
        <v>N</v>
      </c>
      <c r="S43" s="25" t="str">
        <f>IF(L43="",IF(INT(Q43)=60,INT(P43+1),P43),"due")</f>
        <v>01</v>
      </c>
      <c r="T43" s="38" t="str">
        <f>IF(L43="",IF(INT(Q43)=60,"00",Q43),L43)</f>
        <v>29</v>
      </c>
      <c r="U43" s="40" t="str">
        <f>IF(L43="",IF(G43&gt;0,"W","E"),"")</f>
        <v>E</v>
      </c>
      <c r="V43" s="44"/>
      <c r="W43" s="22">
        <f>IF(S43="due",90*(I43+K43),S43+T43/60)</f>
        <v>1.4833333333333334</v>
      </c>
      <c r="X43" s="22">
        <f>IF(R43="",W43,IF(R43="N",IF(U43="E",180+W43,180-W43),IF(U43="E",360-W43,W43)))</f>
        <v>181.48333333333332</v>
      </c>
      <c r="Y43" s="22">
        <f>RADIANS(X43)</f>
        <v>3.1674817041610424</v>
      </c>
      <c r="Z43" s="64"/>
      <c r="AA43" s="58">
        <f>-M43*COS(Y43)</f>
        <v>22.010001414470405</v>
      </c>
      <c r="AB43" s="58">
        <f>-M43*SIN(Y43)</f>
        <v>0.56994537933796141</v>
      </c>
      <c r="AC43" s="64"/>
      <c r="AD43" s="82">
        <f>$AA$40/$M$40*M43</f>
        <v>-2.1665196350736642E-4</v>
      </c>
      <c r="AE43" s="82">
        <f>$AB$40/$M$40*M43</f>
        <v>4.9414780700552633E-4</v>
      </c>
      <c r="AF43" s="22">
        <f t="shared" si="0"/>
        <v>22.010218066433914</v>
      </c>
      <c r="AG43" s="22">
        <f t="shared" si="0"/>
        <v>0.56945123153095589</v>
      </c>
      <c r="AH43" s="64"/>
      <c r="AI43" s="25">
        <f>A43</f>
        <v>2</v>
      </c>
      <c r="AJ43" s="82">
        <f t="shared" si="1"/>
        <v>721280.96038297145</v>
      </c>
      <c r="AK43" s="82">
        <f t="shared" si="1"/>
        <v>461553.82959849719</v>
      </c>
      <c r="AL43" s="66"/>
      <c r="AM43" s="9" t="str">
        <f>IF(A44=0,A43&amp;" - 1",A43&amp;" - "&amp;A44)</f>
        <v>2 - 3</v>
      </c>
      <c r="AN43" s="18">
        <f>AN42+F42+F43</f>
        <v>-21.369999999878928</v>
      </c>
      <c r="AO43" s="18">
        <f>AN43*G43</f>
        <v>12.180900000080257</v>
      </c>
      <c r="AP43" s="9" t="str">
        <f>D43&amp;","&amp;C43</f>
        <v>461553.83,721280.96</v>
      </c>
    </row>
    <row r="44" spans="1:44" s="46" customFormat="1">
      <c r="A44" s="20">
        <f>A43+1</f>
        <v>3</v>
      </c>
      <c r="B44" s="44"/>
      <c r="C44" s="60">
        <v>721302.97</v>
      </c>
      <c r="D44" s="60">
        <v>461554.4</v>
      </c>
      <c r="E44" s="79"/>
      <c r="F44" s="72">
        <f>IF(C45=0,C44-$C$42,C44-C45)</f>
        <v>-2.9699999999720603</v>
      </c>
      <c r="G44" s="72">
        <f>IF(D45=0,D44-$D$42,D44-D45)</f>
        <v>-3.1300000000046566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4.3148348751560803</v>
      </c>
      <c r="N44" s="22">
        <f>IF(F44=0,,ATAN(G44/F44))</f>
        <v>0.81162165889365134</v>
      </c>
      <c r="O44" s="22">
        <f>ABS(DEGREES(N44))</f>
        <v>46.502495616012759</v>
      </c>
      <c r="P44" s="24" t="str">
        <f>TEXT(INT(O44),"00")</f>
        <v>46</v>
      </c>
      <c r="Q44" s="25" t="str">
        <f>TEXT((O44-P44)*60,"00")</f>
        <v>30</v>
      </c>
      <c r="R44" s="23" t="str">
        <f>IF(L44="",IF(F44&gt;0,"S","N"),"")</f>
        <v>N</v>
      </c>
      <c r="S44" s="25" t="str">
        <f>IF(L44="",IF(INT(Q44)=60,INT(P44+1),P44),"due")</f>
        <v>46</v>
      </c>
      <c r="T44" s="25" t="str">
        <f>IF(L44="",IF(INT(Q44)=60,"00",Q44),L44)</f>
        <v>30</v>
      </c>
      <c r="U44" s="24" t="str">
        <f>IF(L44="",IF(G44&gt;0,"W","E"),"")</f>
        <v>E</v>
      </c>
      <c r="V44" s="44"/>
      <c r="W44" s="22">
        <f>IF(S44="due",90*(I44+K44),S44+T44/60)</f>
        <v>46.5</v>
      </c>
      <c r="X44" s="22">
        <f>IF(R44="",W44,IF(R44="N",IF(U44="E",180+W44,180-W44),IF(U44="E",360-W44,W44)))</f>
        <v>226.5</v>
      </c>
      <c r="Y44" s="22">
        <f>RADIANS(X44)</f>
        <v>3.9531707557671565</v>
      </c>
      <c r="Z44" s="64"/>
      <c r="AA44" s="58">
        <f>-M44*COS(Y44)</f>
        <v>2.9701363296766758</v>
      </c>
      <c r="AB44" s="58">
        <f>-M44*SIN(Y44)</f>
        <v>3.1298706335882245</v>
      </c>
      <c r="AC44" s="64"/>
      <c r="AD44" s="82">
        <f>$AA$40/$M$40*M44</f>
        <v>-4.245816119750131E-5</v>
      </c>
      <c r="AE44" s="82">
        <f>$AB$40/$M$40*M44</f>
        <v>9.6840143544413512E-5</v>
      </c>
      <c r="AF44" s="22">
        <f>AA44-AD44</f>
        <v>2.9701787878378734</v>
      </c>
      <c r="AG44" s="22">
        <f>AB44-AE44</f>
        <v>3.1297737934446799</v>
      </c>
      <c r="AH44" s="64"/>
      <c r="AI44" s="25">
        <f>A44</f>
        <v>3</v>
      </c>
      <c r="AJ44" s="82">
        <f t="shared" si="1"/>
        <v>721302.97060103784</v>
      </c>
      <c r="AK44" s="82">
        <f t="shared" si="1"/>
        <v>461554.3990497287</v>
      </c>
      <c r="AL44" s="66"/>
      <c r="AM44" s="9" t="str">
        <f>IF(A45=0,A44&amp;" - 1",A44&amp;" - "&amp;A45)</f>
        <v>3 - 4</v>
      </c>
      <c r="AN44" s="18">
        <f>AN43+F43+F44</f>
        <v>-46.349999999860302</v>
      </c>
      <c r="AO44" s="18">
        <f>AN44*G44</f>
        <v>145.07549999977857</v>
      </c>
      <c r="AP44" s="9" t="str">
        <f>D44&amp;","&amp;C44</f>
        <v>461554.4,721302.97</v>
      </c>
    </row>
    <row r="45" spans="1:44" s="46" customFormat="1">
      <c r="A45" s="20">
        <f t="shared" ref="A45:A46" si="2">A44+1</f>
        <v>4</v>
      </c>
      <c r="B45" s="44"/>
      <c r="C45" s="60">
        <v>721305.94</v>
      </c>
      <c r="D45" s="60">
        <v>461557.53</v>
      </c>
      <c r="E45" s="79"/>
      <c r="F45" s="72">
        <f t="shared" ref="F45:F46" si="3">IF(C46=0,C45-$C$42,C45-C46)</f>
        <v>-0.43000000005122274</v>
      </c>
      <c r="G45" s="72">
        <f t="shared" ref="G45:G46" si="4">IF(D46=0,D45-$D$42,D45-D46)</f>
        <v>-23.179999999993015</v>
      </c>
      <c r="H45" s="76" t="str">
        <f t="shared" ref="H45:H46" si="5">IF(G45=0,IF(F45&gt;0,"South","North"),"")</f>
        <v/>
      </c>
      <c r="I45" s="76">
        <f t="shared" ref="I45:I46" si="6">IF(H45="North",2,IF(H45="",0,0))</f>
        <v>0</v>
      </c>
      <c r="J45" s="76" t="str">
        <f t="shared" ref="J45:J46" si="7">IF(F45=0,IF(G45&gt;0,"West","East"),"")</f>
        <v/>
      </c>
      <c r="K45" s="76">
        <f t="shared" ref="K45:K46" si="8">IF(J45="West",1,IF(J45="",0,3))</f>
        <v>0</v>
      </c>
      <c r="L45" s="76" t="str">
        <f t="shared" ref="L45:L46" si="9">H45&amp;J45</f>
        <v/>
      </c>
      <c r="M45" s="22">
        <f t="shared" ref="M45:M46" si="10">SQRT(F45^2+G45^2)</f>
        <v>23.183988008962569</v>
      </c>
      <c r="N45" s="22">
        <f t="shared" ref="N45:N46" si="11">IF(F45=0,,ATAN(G45/F45))</f>
        <v>1.5522479796701776</v>
      </c>
      <c r="O45" s="22">
        <f t="shared" ref="O45:O46" si="12">ABS(DEGREES(N45))</f>
        <v>88.93725799280999</v>
      </c>
      <c r="P45" s="24" t="str">
        <f t="shared" ref="P45:P46" si="13">TEXT(INT(O45),"00")</f>
        <v>88</v>
      </c>
      <c r="Q45" s="25" t="str">
        <f t="shared" ref="Q45:Q46" si="14">TEXT((O45-P45)*60,"00")</f>
        <v>56</v>
      </c>
      <c r="R45" s="23" t="str">
        <f t="shared" ref="R45:R46" si="15">IF(L45="",IF(F45&gt;0,"S","N"),"")</f>
        <v>N</v>
      </c>
      <c r="S45" s="25" t="str">
        <f t="shared" ref="S45:S46" si="16">IF(L45="",IF(INT(Q45)=60,INT(P45+1),P45),"due")</f>
        <v>88</v>
      </c>
      <c r="T45" s="25" t="str">
        <f t="shared" ref="T45:T46" si="17">IF(L45="",IF(INT(Q45)=60,"00",Q45),L45)</f>
        <v>56</v>
      </c>
      <c r="U45" s="24" t="str">
        <f t="shared" ref="U45:U46" si="18">IF(L45="",IF(G45&gt;0,"W","E"),"")</f>
        <v>E</v>
      </c>
      <c r="V45" s="44"/>
      <c r="W45" s="22">
        <f t="shared" ref="W45:W46" si="19">IF(S45="due",90*(I45+K45),S45+T45/60)</f>
        <v>88.933333333333337</v>
      </c>
      <c r="X45" s="22">
        <f t="shared" ref="X45:X46" si="20">IF(R45="",W45,IF(R45="N",IF(U45="E",180+W45,180-W45),IF(U45="E",360-W45,W45)))</f>
        <v>268.93333333333334</v>
      </c>
      <c r="Y45" s="22">
        <f t="shared" ref="Y45:Y46" si="21">RADIANS(X45)</f>
        <v>4.6937721350300841</v>
      </c>
      <c r="Z45" s="64"/>
      <c r="AA45" s="58">
        <f t="shared" ref="AA45:AA46" si="22">-M45*COS(Y45)</f>
        <v>0.43158778800997416</v>
      </c>
      <c r="AB45" s="58">
        <f t="shared" ref="AB45:AB46" si="23">-M45*SIN(Y45)</f>
        <v>23.179970491373815</v>
      </c>
      <c r="AC45" s="64"/>
      <c r="AD45" s="82">
        <f t="shared" ref="AD45:AD46" si="24">$AA$40/$M$40*M45</f>
        <v>-2.2813144154209687E-4</v>
      </c>
      <c r="AE45" s="82">
        <f t="shared" ref="AE45:AE46" si="25">$AB$40/$M$40*M45</f>
        <v>5.2033062485124263E-4</v>
      </c>
      <c r="AF45" s="22">
        <f t="shared" ref="AF45:AF46" si="26">AA45-AD45</f>
        <v>0.43181591945151626</v>
      </c>
      <c r="AG45" s="22">
        <f t="shared" ref="AG45:AG46" si="27">AB45-AE45</f>
        <v>23.179450160748964</v>
      </c>
      <c r="AH45" s="64"/>
      <c r="AI45" s="25">
        <f t="shared" ref="AI45:AI46" si="28">A45</f>
        <v>4</v>
      </c>
      <c r="AJ45" s="82">
        <f t="shared" ref="AJ45:AJ46" si="29">AJ44+AF44</f>
        <v>721305.94077982567</v>
      </c>
      <c r="AK45" s="82">
        <f t="shared" ref="AK45:AK46" si="30">AK44+AG44</f>
        <v>461557.52882352215</v>
      </c>
      <c r="AL45" s="66"/>
      <c r="AM45" s="9" t="str">
        <f t="shared" ref="AM45:AM46" si="31">IF(A46=0,A45&amp;" - 1",A45&amp;" - "&amp;A46)</f>
        <v>4 - 5</v>
      </c>
      <c r="AN45" s="18">
        <f t="shared" ref="AN45:AN46" si="32">AN44+F44+F45</f>
        <v>-49.749999999883585</v>
      </c>
      <c r="AO45" s="18">
        <f t="shared" ref="AO45:AO46" si="33">AN45*G45</f>
        <v>1153.204999996954</v>
      </c>
      <c r="AP45" s="9" t="str">
        <f t="shared" ref="AP45:AP46" si="34">D45&amp;","&amp;C45</f>
        <v>461557.53,721305.94</v>
      </c>
    </row>
    <row r="46" spans="1:44" s="46" customFormat="1">
      <c r="A46" s="20">
        <f t="shared" si="2"/>
        <v>5</v>
      </c>
      <c r="B46" s="44"/>
      <c r="C46" s="60">
        <v>721306.37</v>
      </c>
      <c r="D46" s="60">
        <v>461580.71</v>
      </c>
      <c r="E46" s="79"/>
      <c r="F46" s="72">
        <f t="shared" si="3"/>
        <v>25.089999999967404</v>
      </c>
      <c r="G46" s="72">
        <f t="shared" si="4"/>
        <v>-0.17999999999301508</v>
      </c>
      <c r="H46" s="76" t="str">
        <f t="shared" si="5"/>
        <v/>
      </c>
      <c r="I46" s="76">
        <f t="shared" si="6"/>
        <v>0</v>
      </c>
      <c r="J46" s="76" t="str">
        <f t="shared" si="7"/>
        <v/>
      </c>
      <c r="K46" s="76">
        <f t="shared" si="8"/>
        <v>0</v>
      </c>
      <c r="L46" s="76" t="str">
        <f t="shared" si="9"/>
        <v/>
      </c>
      <c r="M46" s="22">
        <f t="shared" si="10"/>
        <v>25.090645667227491</v>
      </c>
      <c r="N46" s="22">
        <f t="shared" si="11"/>
        <v>-7.1740498988894577E-3</v>
      </c>
      <c r="O46" s="22">
        <f t="shared" si="12"/>
        <v>0.41104278122262089</v>
      </c>
      <c r="P46" s="24" t="str">
        <f t="shared" si="13"/>
        <v>00</v>
      </c>
      <c r="Q46" s="25" t="str">
        <f t="shared" si="14"/>
        <v>25</v>
      </c>
      <c r="R46" s="23" t="str">
        <f t="shared" si="15"/>
        <v>S</v>
      </c>
      <c r="S46" s="25" t="str">
        <f t="shared" si="16"/>
        <v>00</v>
      </c>
      <c r="T46" s="25" t="str">
        <f t="shared" si="17"/>
        <v>25</v>
      </c>
      <c r="U46" s="24" t="str">
        <f t="shared" si="18"/>
        <v>E</v>
      </c>
      <c r="V46" s="44"/>
      <c r="W46" s="22">
        <f t="shared" si="19"/>
        <v>0.41666666666666669</v>
      </c>
      <c r="X46" s="22">
        <f t="shared" si="20"/>
        <v>359.58333333333331</v>
      </c>
      <c r="Y46" s="22">
        <f t="shared" si="21"/>
        <v>6.2759131019629431</v>
      </c>
      <c r="Z46" s="64"/>
      <c r="AA46" s="58">
        <f t="shared" si="22"/>
        <v>-25.089982211145852</v>
      </c>
      <c r="AB46" s="58">
        <f t="shared" si="23"/>
        <v>0.18246271604440242</v>
      </c>
      <c r="AC46" s="64"/>
      <c r="AD46" s="82">
        <f t="shared" si="24"/>
        <v>-2.4689303510137161E-4</v>
      </c>
      <c r="AE46" s="82">
        <f t="shared" si="25"/>
        <v>5.6312276097203722E-4</v>
      </c>
      <c r="AF46" s="22">
        <f t="shared" si="26"/>
        <v>-25.089735318110751</v>
      </c>
      <c r="AG46" s="22">
        <f t="shared" si="27"/>
        <v>0.18189959328343039</v>
      </c>
      <c r="AH46" s="64"/>
      <c r="AI46" s="25">
        <f t="shared" si="28"/>
        <v>5</v>
      </c>
      <c r="AJ46" s="82">
        <f t="shared" si="29"/>
        <v>721306.37259574514</v>
      </c>
      <c r="AK46" s="82">
        <f t="shared" si="30"/>
        <v>461580.70827368292</v>
      </c>
      <c r="AL46" s="66"/>
      <c r="AM46" s="9" t="str">
        <f t="shared" si="31"/>
        <v>5 - 1</v>
      </c>
      <c r="AN46" s="18">
        <f t="shared" si="32"/>
        <v>-25.089999999967404</v>
      </c>
      <c r="AO46" s="18">
        <f t="shared" si="33"/>
        <v>4.5161999998188813</v>
      </c>
      <c r="AP46" s="9" t="str">
        <f t="shared" si="34"/>
        <v>461580.71,721306.37</v>
      </c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88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89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60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90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1344.0095999997036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672.0047999998518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2.5507752355466927E-3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40673.769354220763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41000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41000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103.74964360508432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2.5132803062701825E-3</v>
      </c>
      <c r="AB40" s="91">
        <f>SUM(AB42:AB65536)</f>
        <v>4.357480974057637E-4</v>
      </c>
      <c r="AC40" s="91"/>
      <c r="AD40" s="91">
        <f>SUM(AD42:AD65536)</f>
        <v>2.5132803062701825E-3</v>
      </c>
      <c r="AE40" s="91">
        <f>SUM(AE42:AE65536)</f>
        <v>4.357480974057637E-4</v>
      </c>
      <c r="AF40" s="91">
        <f>SUM(AF42:AF65536)</f>
        <v>5.5511151231257827E-16</v>
      </c>
      <c r="AG40" s="91">
        <f>SUM(AG42:AG65536)</f>
        <v>0</v>
      </c>
      <c r="AH40" s="92"/>
      <c r="AI40" s="93">
        <v>1</v>
      </c>
      <c r="AJ40" s="92">
        <f>AJ44+AF44</f>
        <v>721280.96077224123</v>
      </c>
      <c r="AK40" s="92">
        <f>AK44+AG44</f>
        <v>461553.83031952148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-52.660000000032596</v>
      </c>
      <c r="G41" s="72">
        <f>IF(D42=0,D41-$D$41,D41-D42)</f>
        <v>869.32999999995809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870.92348946387403</v>
      </c>
      <c r="N41" s="36">
        <f>IF(F41=0,,ATAN(G41/F41))</f>
        <v>-1.5102948697738907</v>
      </c>
      <c r="O41" s="36">
        <f>ABS(DEGREES(N41))</f>
        <v>86.533521858304226</v>
      </c>
      <c r="P41" s="37" t="str">
        <f>TEXT(INT(O41),"00")</f>
        <v>86</v>
      </c>
      <c r="Q41" s="38" t="str">
        <f>TEXT((O41-P41)*60,"00")</f>
        <v>32</v>
      </c>
      <c r="R41" s="39" t="str">
        <f>IF(L41="",IF(F41&gt;0,"S","N"),"")</f>
        <v>N</v>
      </c>
      <c r="S41" s="25" t="str">
        <f>IF(L41="",IF(INT(Q41)=60,INT(P41+1),P41),"due")</f>
        <v>86</v>
      </c>
      <c r="T41" s="38" t="str">
        <f>IF(L41="",IF(INT(Q41)=60,"00",Q41),L41)</f>
        <v>32</v>
      </c>
      <c r="U41" s="40" t="str">
        <f>IF(L41="",IF(G41&gt;0,"W","E"),"")</f>
        <v>W</v>
      </c>
      <c r="V41" s="41"/>
      <c r="W41" s="22">
        <f>IF(S41="due",90*(I41+K41),S41+T41/60)</f>
        <v>86.533333333333331</v>
      </c>
      <c r="X41" s="22">
        <f>IF(R41="",W41,IF(R41="N",IF(U41="E",180+W41,180-W41),IF(U41="E",360-W41,W41)))</f>
        <v>93.466666666666669</v>
      </c>
      <c r="Y41" s="22">
        <f>RADIANS(X41)</f>
        <v>1.6313010741973668</v>
      </c>
      <c r="Z41" s="64"/>
      <c r="AA41" s="58">
        <f>-M41*COS(Y41)</f>
        <v>52.662860427065851</v>
      </c>
      <c r="AB41" s="58">
        <f>-M41*SIN(Y41)</f>
        <v>-869.32982672376431</v>
      </c>
      <c r="AC41" s="64"/>
      <c r="AD41" s="22">
        <v>0</v>
      </c>
      <c r="AE41" s="22">
        <v>0</v>
      </c>
      <c r="AF41" s="22">
        <f t="shared" ref="AF41:AG43" si="0">AA41-AD41</f>
        <v>52.662860427065851</v>
      </c>
      <c r="AG41" s="22">
        <f t="shared" si="0"/>
        <v>-869.32982672376431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721281.28</v>
      </c>
      <c r="D42" s="60">
        <v>461580.89</v>
      </c>
      <c r="E42" s="79"/>
      <c r="F42" s="72">
        <f>IF(C43=0,C42-$C$42,C42-C43)</f>
        <v>25.070000000065193</v>
      </c>
      <c r="G42" s="72">
        <f>IF(D43=0,D42-$D$42,D42-D43)</f>
        <v>0.13000000000465661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25.070337054041975</v>
      </c>
      <c r="N42" s="36">
        <f>IF(F42=0,,ATAN(G42/F42))</f>
        <v>5.1854341772649996E-3</v>
      </c>
      <c r="O42" s="36">
        <f>ABS(DEGREES(N42))</f>
        <v>0.29710349330017688</v>
      </c>
      <c r="P42" s="37" t="str">
        <f>TEXT(INT(O42),"00")</f>
        <v>00</v>
      </c>
      <c r="Q42" s="38" t="str">
        <f>TEXT((O42-P42)*60,"00")</f>
        <v>18</v>
      </c>
      <c r="R42" s="39" t="str">
        <f>IF(L42="",IF(F42&gt;0,"S","N"),"")</f>
        <v>S</v>
      </c>
      <c r="S42" s="25" t="str">
        <f>IF(L42="",IF(INT(Q42)=60,INT(P42+1),P42),"due")</f>
        <v>00</v>
      </c>
      <c r="T42" s="38" t="str">
        <f>IF(L42="",IF(INT(Q42)=60,"00",Q42),L42)</f>
        <v>18</v>
      </c>
      <c r="U42" s="40" t="str">
        <f>IF(L42="",IF(G42&gt;0,"W","E"),"")</f>
        <v>W</v>
      </c>
      <c r="V42" s="44"/>
      <c r="W42" s="22">
        <f>IF(S42="due",90*(I42+K42),S42+T42/60)</f>
        <v>0.3</v>
      </c>
      <c r="X42" s="22">
        <f>IF(R42="",W42,IF(R42="N",IF(U42="E",180+W42,180-W42),IF(U42="E",360-W42,W42)))</f>
        <v>0.3</v>
      </c>
      <c r="Y42" s="22">
        <f>RADIANS(X42)</f>
        <v>5.2359877559829881E-3</v>
      </c>
      <c r="Z42" s="64"/>
      <c r="AA42" s="58">
        <f>-M42*COS(Y42)</f>
        <v>-25.06999339606471</v>
      </c>
      <c r="AB42" s="58">
        <f>-M42*SIN(Y42)</f>
        <v>-0.13126737805646188</v>
      </c>
      <c r="AC42" s="64"/>
      <c r="AD42" s="82">
        <f>$AA$40/$M$40*M42</f>
        <v>6.0731567068623201E-4</v>
      </c>
      <c r="AE42" s="82">
        <f>$AB$40/$M$40*M42</f>
        <v>1.0529531758395992E-4</v>
      </c>
      <c r="AF42" s="22">
        <f t="shared" si="0"/>
        <v>-25.070600711735395</v>
      </c>
      <c r="AG42" s="22">
        <f t="shared" si="0"/>
        <v>-0.13137267337404585</v>
      </c>
      <c r="AH42" s="63"/>
      <c r="AI42" s="38">
        <f>A42</f>
        <v>1</v>
      </c>
      <c r="AJ42" s="82">
        <f t="shared" ref="AJ42:AK44" si="1">AJ41+AF41</f>
        <v>721281.28286042705</v>
      </c>
      <c r="AK42" s="82">
        <f t="shared" si="1"/>
        <v>461580.89017327619</v>
      </c>
      <c r="AL42" s="66"/>
      <c r="AM42" s="9" t="str">
        <f>IF(A43=0,A42&amp;" - 1",A42&amp;" - "&amp;A43)</f>
        <v>1 - 2</v>
      </c>
      <c r="AN42" s="18">
        <f>F42</f>
        <v>25.070000000065193</v>
      </c>
      <c r="AO42" s="18">
        <f>AN42*G42</f>
        <v>3.2591000001252164</v>
      </c>
      <c r="AP42" s="9" t="str">
        <f>D42&amp;","&amp;C42</f>
        <v>461580.89,721281.28</v>
      </c>
    </row>
    <row r="43" spans="1:44">
      <c r="A43" s="20">
        <f>A42+1</f>
        <v>2</v>
      </c>
      <c r="B43" s="44"/>
      <c r="C43" s="60">
        <v>721256.21</v>
      </c>
      <c r="D43" s="60">
        <v>461580.76</v>
      </c>
      <c r="E43" s="79"/>
      <c r="F43" s="72">
        <f>IF(C44=0,C43-$C$42,C43-C44)</f>
        <v>0.39999999990686774</v>
      </c>
      <c r="G43" s="72">
        <f>IF(D44=0,D43-$D$42,D43-D44)</f>
        <v>26.460000000020955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26.463023258899096</v>
      </c>
      <c r="N43" s="36">
        <f>IF(F43=0,,ATAN(G43/F43))</f>
        <v>1.555680320233223</v>
      </c>
      <c r="O43" s="36">
        <f>ABS(DEGREES(N43))</f>
        <v>89.13391662092404</v>
      </c>
      <c r="P43" s="37" t="str">
        <f>TEXT(INT(O43),"00")</f>
        <v>89</v>
      </c>
      <c r="Q43" s="38" t="str">
        <f>TEXT((O43-P43)*60,"00")</f>
        <v>08</v>
      </c>
      <c r="R43" s="39" t="str">
        <f>IF(L43="",IF(F43&gt;0,"S","N"),"")</f>
        <v>S</v>
      </c>
      <c r="S43" s="25" t="str">
        <f>IF(L43="",IF(INT(Q43)=60,INT(P43+1),P43),"due")</f>
        <v>89</v>
      </c>
      <c r="T43" s="38" t="str">
        <f>IF(L43="",IF(INT(Q43)=60,"00",Q43),L43)</f>
        <v>08</v>
      </c>
      <c r="U43" s="40" t="str">
        <f>IF(L43="",IF(G43&gt;0,"W","E"),"")</f>
        <v>W</v>
      </c>
      <c r="V43" s="44"/>
      <c r="W43" s="22">
        <f>IF(S43="due",90*(I43+K43),S43+T43/60)</f>
        <v>89.13333333333334</v>
      </c>
      <c r="X43" s="22">
        <f>IF(R43="",W43,IF(R43="N",IF(U43="E",180+W43,180-W43),IF(U43="E",360-W43,W43)))</f>
        <v>89.13333333333334</v>
      </c>
      <c r="Y43" s="22">
        <f>RADIANS(X43)</f>
        <v>1.5556701399442792</v>
      </c>
      <c r="Z43" s="64"/>
      <c r="AA43" s="58">
        <f>-M43*COS(Y43)</f>
        <v>-0.40026937033159171</v>
      </c>
      <c r="AB43" s="58">
        <f>-M43*SIN(Y43)</f>
        <v>-26.459995926534244</v>
      </c>
      <c r="AC43" s="64"/>
      <c r="AD43" s="82">
        <f>$AA$40/$M$40*M43</f>
        <v>6.4105275825450229E-4</v>
      </c>
      <c r="AE43" s="82">
        <f>$AB$40/$M$40*M43</f>
        <v>1.1114459419795693E-4</v>
      </c>
      <c r="AF43" s="22">
        <f t="shared" si="0"/>
        <v>-0.4009104230898462</v>
      </c>
      <c r="AG43" s="22">
        <f t="shared" si="0"/>
        <v>-26.460107071128441</v>
      </c>
      <c r="AH43" s="64"/>
      <c r="AI43" s="25">
        <f>A43</f>
        <v>2</v>
      </c>
      <c r="AJ43" s="82">
        <f t="shared" si="1"/>
        <v>721256.21225971531</v>
      </c>
      <c r="AK43" s="82">
        <f t="shared" si="1"/>
        <v>461580.75880060281</v>
      </c>
      <c r="AL43" s="66"/>
      <c r="AM43" s="9" t="str">
        <f>IF(A44=0,A43&amp;" - 1",A43&amp;" - "&amp;A44)</f>
        <v>2 - 3</v>
      </c>
      <c r="AN43" s="18">
        <f>AN42+F42+F43</f>
        <v>50.540000000037253</v>
      </c>
      <c r="AO43" s="18">
        <f>AN43*G43</f>
        <v>1337.2884000020447</v>
      </c>
      <c r="AP43" s="9" t="str">
        <f>D43&amp;","&amp;C43</f>
        <v>461580.76,721256.21</v>
      </c>
    </row>
    <row r="44" spans="1:44" s="46" customFormat="1">
      <c r="A44" s="20">
        <f>A43+1</f>
        <v>3</v>
      </c>
      <c r="B44" s="44"/>
      <c r="C44" s="60">
        <v>721255.81</v>
      </c>
      <c r="D44" s="60">
        <v>461554.3</v>
      </c>
      <c r="E44" s="79"/>
      <c r="F44" s="72">
        <f>IF(C45=0,C44-$C$42,C44-C45)</f>
        <v>-25.149999999906868</v>
      </c>
      <c r="G44" s="72">
        <f>IF(D45=0,D44-$D$42,D44-D45)</f>
        <v>0.46999999997206032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25.154391266641483</v>
      </c>
      <c r="N44" s="22">
        <f>IF(F44=0,,ATAN(G44/F44))</f>
        <v>-1.86856977218126E-2</v>
      </c>
      <c r="O44" s="22">
        <f>ABS(DEGREES(N44))</f>
        <v>1.0706116167170794</v>
      </c>
      <c r="P44" s="24" t="str">
        <f>TEXT(INT(O44),"00")</f>
        <v>01</v>
      </c>
      <c r="Q44" s="25" t="str">
        <f>TEXT((O44-P44)*60,"00")</f>
        <v>04</v>
      </c>
      <c r="R44" s="23" t="str">
        <f>IF(L44="",IF(F44&gt;0,"S","N"),"")</f>
        <v>N</v>
      </c>
      <c r="S44" s="25" t="str">
        <f>IF(L44="",IF(INT(Q44)=60,INT(P44+1),P44),"due")</f>
        <v>01</v>
      </c>
      <c r="T44" s="25" t="str">
        <f>IF(L44="",IF(INT(Q44)=60,"00",Q44),L44)</f>
        <v>04</v>
      </c>
      <c r="U44" s="24" t="str">
        <f>IF(L44="",IF(G44&gt;0,"W","E"),"")</f>
        <v>W</v>
      </c>
      <c r="V44" s="44"/>
      <c r="W44" s="22">
        <f>IF(S44="due",90*(I44+K44),S44+T44/60)</f>
        <v>1.0666666666666667</v>
      </c>
      <c r="X44" s="22">
        <f>IF(R44="",W44,IF(R44="N",IF(U44="E",180+W44,180-W44),IF(U44="E",360-W44,W44)))</f>
        <v>178.93333333333334</v>
      </c>
      <c r="Y44" s="22">
        <f>RADIANS(X44)</f>
        <v>3.1229758082351871</v>
      </c>
      <c r="Z44" s="64"/>
      <c r="AA44" s="58">
        <f>-M44*COS(Y44)</f>
        <v>25.150032300905774</v>
      </c>
      <c r="AB44" s="58">
        <f>-M44*SIN(Y44)</f>
        <v>-0.46826836182414106</v>
      </c>
      <c r="AC44" s="64"/>
      <c r="AD44" s="82">
        <f>$AA$40/$M$40*M44</f>
        <v>6.0935183958132238E-4</v>
      </c>
      <c r="AE44" s="82">
        <f>$AB$40/$M$40*M44</f>
        <v>1.0564834494816553E-4</v>
      </c>
      <c r="AF44" s="22">
        <f>AA44-AD44</f>
        <v>25.149422949066192</v>
      </c>
      <c r="AG44" s="22">
        <f>AB44-AE44</f>
        <v>-0.46837401016908919</v>
      </c>
      <c r="AH44" s="64"/>
      <c r="AI44" s="25">
        <f>A44</f>
        <v>3</v>
      </c>
      <c r="AJ44" s="82">
        <f t="shared" si="1"/>
        <v>721255.81134929217</v>
      </c>
      <c r="AK44" s="82">
        <f t="shared" si="1"/>
        <v>461554.29869353166</v>
      </c>
      <c r="AL44" s="66"/>
      <c r="AM44" s="9" t="str">
        <f>IF(A45=0,A44&amp;" - 1",A44&amp;" - "&amp;A45)</f>
        <v>3 - 4</v>
      </c>
      <c r="AN44" s="18">
        <f>AN43+F43+F44</f>
        <v>25.790000000037253</v>
      </c>
      <c r="AO44" s="18">
        <f>AN44*G44</f>
        <v>12.121299999296944</v>
      </c>
      <c r="AP44" s="9" t="str">
        <f>D44&amp;","&amp;C44</f>
        <v>461554.3,721255.81</v>
      </c>
    </row>
    <row r="45" spans="1:44" s="46" customFormat="1">
      <c r="A45" s="20">
        <f>A44+1</f>
        <v>4</v>
      </c>
      <c r="B45" s="44"/>
      <c r="C45" s="60">
        <v>721280.96</v>
      </c>
      <c r="D45" s="60">
        <v>461553.83</v>
      </c>
      <c r="E45" s="79"/>
      <c r="F45" s="72">
        <f>IF(C46=0,C45-$C$42,C45-C46)</f>
        <v>-0.32000000006519258</v>
      </c>
      <c r="G45" s="72">
        <f>IF(D46=0,D45-$D$42,D45-D46)</f>
        <v>-27.059999999997672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27.061892025501759</v>
      </c>
      <c r="N45" s="22">
        <f>IF(F45=0,,ATAN(G45/F45))</f>
        <v>1.5589713051908682</v>
      </c>
      <c r="O45" s="22">
        <f>ABS(DEGREES(N45))</f>
        <v>89.322476169438161</v>
      </c>
      <c r="P45" s="24" t="str">
        <f>TEXT(INT(O45),"00")</f>
        <v>89</v>
      </c>
      <c r="Q45" s="25" t="str">
        <f>TEXT((O45-P45)*60,"00")</f>
        <v>19</v>
      </c>
      <c r="R45" s="23" t="str">
        <f>IF(L45="",IF(F45&gt;0,"S","N"),"")</f>
        <v>N</v>
      </c>
      <c r="S45" s="25" t="str">
        <f>IF(L45="",IF(INT(Q45)=60,INT(P45+1),P45),"due")</f>
        <v>89</v>
      </c>
      <c r="T45" s="25" t="str">
        <f>IF(L45="",IF(INT(Q45)=60,"00",Q45),L45)</f>
        <v>19</v>
      </c>
      <c r="U45" s="24" t="str">
        <f>IF(L45="",IF(G45&gt;0,"W","E"),"")</f>
        <v>E</v>
      </c>
      <c r="V45" s="44"/>
      <c r="W45" s="22">
        <f>IF(S45="due",90*(I45+K45),S45+T45/60)</f>
        <v>89.316666666666663</v>
      </c>
      <c r="X45" s="22">
        <f>IF(R45="",W45,IF(R45="N",IF(U45="E",180+W45,180-W45),IF(U45="E",360-W45,W45)))</f>
        <v>269.31666666666666</v>
      </c>
      <c r="Y45" s="22">
        <f>RADIANS(X45)</f>
        <v>4.7004625638293955</v>
      </c>
      <c r="Z45" s="64"/>
      <c r="AA45" s="58">
        <f>-M45*COS(Y45)</f>
        <v>0.32274374579679854</v>
      </c>
      <c r="AB45" s="58">
        <f>-M45*SIN(Y45)</f>
        <v>27.059967414512251</v>
      </c>
      <c r="AC45" s="64"/>
      <c r="AD45" s="82">
        <f>$AA$40/$M$40*M45</f>
        <v>6.5556003774812582E-4</v>
      </c>
      <c r="AE45" s="82">
        <f>$AB$40/$M$40*M45</f>
        <v>1.1365984067568129E-4</v>
      </c>
      <c r="AF45" s="22">
        <f>AA45-AD45</f>
        <v>0.3220881857590504</v>
      </c>
      <c r="AG45" s="22">
        <f>AB45-AE45</f>
        <v>27.059853754671575</v>
      </c>
      <c r="AH45" s="64"/>
      <c r="AI45" s="25">
        <f>A45</f>
        <v>4</v>
      </c>
      <c r="AJ45" s="82">
        <f t="shared" ref="AJ45" si="2">AJ44+AF44</f>
        <v>721280.96077224123</v>
      </c>
      <c r="AK45" s="82">
        <f t="shared" ref="AK45" si="3">AK44+AG44</f>
        <v>461553.83031952148</v>
      </c>
      <c r="AL45" s="66"/>
      <c r="AM45" s="9" t="str">
        <f>IF(A46=0,A45&amp;" - 1",A45&amp;" - "&amp;A46)</f>
        <v>4 - 1</v>
      </c>
      <c r="AN45" s="18">
        <f>AN44+F44+F45</f>
        <v>0.32000000006519258</v>
      </c>
      <c r="AO45" s="18">
        <f>AN45*G45</f>
        <v>-8.6592000017633666</v>
      </c>
      <c r="AP45" s="9" t="str">
        <f>D45&amp;","&amp;C45</f>
        <v>461553.83,721280.96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AS47"/>
  <sheetViews>
    <sheetView workbookViewId="0">
      <selection activeCell="D17" sqref="D17"/>
    </sheetView>
  </sheetViews>
  <sheetFormatPr defaultRowHeight="12.75"/>
  <cols>
    <col min="1" max="1" width="15.7109375" style="5" customWidth="1"/>
    <col min="2" max="2" width="2.7109375" style="5" customWidth="1"/>
    <col min="3" max="4" width="15.7109375" style="5" customWidth="1"/>
    <col min="5" max="5" width="2.7109375" style="5" customWidth="1"/>
    <col min="6" max="6" width="12.7109375" hidden="1" customWidth="1"/>
    <col min="7" max="7" width="12.5703125" style="6" hidden="1" customWidth="1"/>
    <col min="8" max="8" width="5.42578125" style="6" hidden="1" customWidth="1"/>
    <col min="9" max="9" width="4.5703125" style="6" hidden="1" customWidth="1"/>
    <col min="10" max="10" width="4.85546875" style="6" hidden="1" customWidth="1"/>
    <col min="11" max="11" width="4.5703125" style="6" hidden="1" customWidth="1"/>
    <col min="12" max="12" width="9.28515625" style="6" hidden="1" customWidth="1"/>
    <col min="13" max="13" width="11.5703125" style="6" bestFit="1" customWidth="1"/>
    <col min="14" max="15" width="8.7109375" style="26" hidden="1" customWidth="1"/>
    <col min="16" max="16" width="4.7109375" style="26" hidden="1" customWidth="1"/>
    <col min="17" max="17" width="3" hidden="1" customWidth="1"/>
    <col min="18" max="18" width="7" customWidth="1"/>
    <col min="20" max="20" width="9.28515625" bestFit="1" customWidth="1"/>
    <col min="21" max="21" width="4.5703125" bestFit="1" customWidth="1"/>
    <col min="22" max="22" width="2.7109375" customWidth="1"/>
    <col min="23" max="23" width="7.85546875" hidden="1" customWidth="1"/>
    <col min="24" max="24" width="9.140625" hidden="1" customWidth="1"/>
    <col min="25" max="26" width="7.85546875" hidden="1" customWidth="1"/>
    <col min="27" max="28" width="7.85546875" customWidth="1"/>
    <col min="29" max="29" width="2.7109375" customWidth="1"/>
    <col min="30" max="30" width="7.85546875" hidden="1" customWidth="1"/>
    <col min="31" max="33" width="13.7109375" hidden="1" customWidth="1"/>
    <col min="34" max="35" width="10.7109375" hidden="1" customWidth="1"/>
    <col min="36" max="36" width="10.7109375" style="5" hidden="1" customWidth="1"/>
    <col min="37" max="37" width="12.5703125" hidden="1" customWidth="1"/>
    <col min="38" max="38" width="9.140625" hidden="1" customWidth="1"/>
    <col min="42" max="42" width="12" bestFit="1" customWidth="1"/>
  </cols>
  <sheetData>
    <row r="1" spans="1:45" s="3" customFormat="1" ht="18">
      <c r="A1" s="112" t="s">
        <v>48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2"/>
      <c r="U1" s="112"/>
      <c r="V1" s="112"/>
      <c r="W1" s="112"/>
      <c r="X1" s="112"/>
      <c r="Y1" s="112"/>
      <c r="Z1" s="112"/>
      <c r="AA1" s="112"/>
      <c r="AB1" s="112"/>
      <c r="AC1" s="112"/>
      <c r="AD1" s="112"/>
      <c r="AE1" s="112"/>
      <c r="AF1" s="112"/>
      <c r="AG1" s="112"/>
      <c r="AH1" s="112"/>
      <c r="AI1" s="112"/>
      <c r="AJ1" s="112"/>
      <c r="AK1" s="1"/>
      <c r="AL1" s="2"/>
      <c r="AP1" s="4"/>
      <c r="AQ1" s="4"/>
      <c r="AR1" s="4"/>
      <c r="AS1" s="4"/>
    </row>
    <row r="2" spans="1:45" ht="15" customHeight="1">
      <c r="A2" s="11" t="s">
        <v>19</v>
      </c>
      <c r="B2"/>
      <c r="D2"/>
      <c r="E2"/>
      <c r="F2" s="29"/>
      <c r="G2" s="29"/>
      <c r="H2" s="29"/>
      <c r="I2"/>
      <c r="J2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30"/>
      <c r="AL2" s="5"/>
      <c r="AM2" s="5"/>
      <c r="AN2" s="8"/>
    </row>
    <row r="3" spans="1:45" ht="15" customHeight="1">
      <c r="A3" s="11"/>
      <c r="B3"/>
      <c r="D3"/>
      <c r="E3"/>
      <c r="F3" s="29"/>
      <c r="G3" s="29"/>
      <c r="H3" s="29"/>
      <c r="I3"/>
      <c r="J3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30"/>
      <c r="AL3" s="5"/>
      <c r="AM3" s="5"/>
      <c r="AN3" s="8"/>
    </row>
    <row r="4" spans="1:45" ht="15" customHeight="1">
      <c r="A4" s="31" t="s">
        <v>20</v>
      </c>
      <c r="B4"/>
      <c r="D4"/>
      <c r="E4"/>
      <c r="F4" s="29"/>
      <c r="G4" s="29"/>
      <c r="H4" s="29"/>
      <c r="I4"/>
      <c r="J4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30"/>
      <c r="AL4" s="5"/>
      <c r="AM4" s="5"/>
      <c r="AN4" s="8"/>
    </row>
    <row r="5" spans="1:45" ht="15" customHeight="1">
      <c r="A5" s="31" t="s">
        <v>23</v>
      </c>
      <c r="B5"/>
      <c r="D5"/>
      <c r="E5"/>
      <c r="F5" s="29"/>
      <c r="G5" s="29"/>
      <c r="H5" s="29"/>
      <c r="I5"/>
      <c r="J5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30"/>
      <c r="AL5" s="5"/>
      <c r="AM5" s="5"/>
      <c r="AN5" s="8"/>
    </row>
    <row r="6" spans="1:45">
      <c r="A6"/>
      <c r="B6"/>
      <c r="C6"/>
      <c r="G6"/>
      <c r="H6"/>
      <c r="N6" s="7"/>
      <c r="O6" s="7"/>
      <c r="P6" s="7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5"/>
      <c r="AK6" s="5"/>
      <c r="AL6" s="8"/>
      <c r="AP6" s="6"/>
      <c r="AQ6" s="6"/>
      <c r="AR6" s="6"/>
      <c r="AS6" s="6"/>
    </row>
    <row r="7" spans="1:45">
      <c r="A7" s="21" t="s">
        <v>0</v>
      </c>
      <c r="B7" s="83" t="s">
        <v>1</v>
      </c>
      <c r="C7" s="110" t="s">
        <v>91</v>
      </c>
      <c r="D7" s="111"/>
      <c r="E7" s="27"/>
      <c r="F7" s="10"/>
      <c r="G7" s="10"/>
      <c r="H7" s="10"/>
      <c r="N7" s="7"/>
      <c r="O7" s="7"/>
      <c r="P7" s="7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5"/>
      <c r="AK7" s="5"/>
      <c r="AL7" s="8"/>
      <c r="AP7" s="6"/>
      <c r="AQ7" s="6"/>
      <c r="AR7" s="6"/>
      <c r="AS7" s="6"/>
    </row>
    <row r="8" spans="1:45">
      <c r="A8" s="21" t="s">
        <v>2</v>
      </c>
      <c r="B8" s="83" t="s">
        <v>1</v>
      </c>
      <c r="C8" s="110" t="s">
        <v>92</v>
      </c>
      <c r="D8" s="111"/>
      <c r="E8" s="28"/>
      <c r="F8" s="10"/>
      <c r="G8" s="10"/>
      <c r="H8" s="10"/>
      <c r="N8" s="7"/>
      <c r="O8" s="7"/>
      <c r="P8" s="7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5"/>
      <c r="AK8" s="5"/>
      <c r="AL8" s="8"/>
      <c r="AP8" s="6"/>
      <c r="AQ8" s="6"/>
      <c r="AR8" s="6"/>
      <c r="AS8" s="6"/>
    </row>
    <row r="9" spans="1:45">
      <c r="A9" s="21" t="s">
        <v>47</v>
      </c>
      <c r="B9" s="84" t="s">
        <v>1</v>
      </c>
      <c r="C9" s="110" t="s">
        <v>59</v>
      </c>
      <c r="D9" s="111"/>
      <c r="E9" s="28"/>
      <c r="F9" s="10"/>
      <c r="G9" s="10"/>
      <c r="H9" s="10"/>
      <c r="N9" s="7"/>
      <c r="O9" s="7"/>
      <c r="P9" s="7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5"/>
      <c r="AK9" s="5"/>
      <c r="AL9" s="8"/>
      <c r="AP9" s="6"/>
      <c r="AQ9" s="6"/>
      <c r="AR9" s="6"/>
      <c r="AS9" s="6"/>
    </row>
    <row r="10" spans="1:45">
      <c r="A10" s="21" t="s">
        <v>51</v>
      </c>
      <c r="B10" s="84" t="s">
        <v>1</v>
      </c>
      <c r="C10" s="110" t="s">
        <v>93</v>
      </c>
      <c r="D10" s="111"/>
      <c r="E10" s="28"/>
      <c r="F10" s="10"/>
      <c r="G10" s="10"/>
      <c r="H10" s="10"/>
      <c r="N10" s="7"/>
      <c r="O10" s="7"/>
      <c r="P10" s="7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5"/>
      <c r="AK10" s="5"/>
      <c r="AL10" s="8"/>
      <c r="AP10" s="6"/>
      <c r="AQ10" s="6"/>
      <c r="AR10" s="6"/>
      <c r="AS10" s="6"/>
    </row>
    <row r="11" spans="1:45">
      <c r="A11" s="21" t="s">
        <v>3</v>
      </c>
      <c r="B11" s="84" t="s">
        <v>1</v>
      </c>
      <c r="C11" s="110" t="s">
        <v>61</v>
      </c>
      <c r="D11" s="111"/>
      <c r="E11" s="28"/>
      <c r="F11" s="10"/>
      <c r="G11" s="10"/>
      <c r="H11" s="10"/>
      <c r="N11" s="7"/>
      <c r="O11" s="7"/>
      <c r="P11" s="7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5"/>
      <c r="AK11" s="5"/>
      <c r="AL11" s="8"/>
      <c r="AP11" s="6"/>
      <c r="AQ11" s="6"/>
      <c r="AR11" s="6"/>
      <c r="AS11" s="6"/>
    </row>
    <row r="12" spans="1:45">
      <c r="A12" s="21" t="s">
        <v>4</v>
      </c>
      <c r="B12" s="84" t="s">
        <v>1</v>
      </c>
      <c r="C12" s="110" t="s">
        <v>62</v>
      </c>
      <c r="D12" s="111"/>
      <c r="E12" s="28"/>
      <c r="F12" s="10"/>
      <c r="G12" s="10"/>
      <c r="H12" s="10"/>
      <c r="N12" s="7"/>
      <c r="O12" s="7"/>
      <c r="P12" s="7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5"/>
      <c r="AK12" s="5"/>
      <c r="AL12" s="8"/>
      <c r="AP12" s="6"/>
      <c r="AQ12" s="6"/>
      <c r="AR12" s="6"/>
      <c r="AS12" s="6"/>
    </row>
    <row r="13" spans="1:45">
      <c r="A13" s="21" t="s">
        <v>5</v>
      </c>
      <c r="B13" s="84" t="s">
        <v>1</v>
      </c>
      <c r="C13" s="110" t="s">
        <v>63</v>
      </c>
      <c r="D13" s="111"/>
      <c r="E13" s="28"/>
      <c r="F13" s="10"/>
      <c r="G13" s="10"/>
      <c r="H13" s="10"/>
      <c r="N13" s="7"/>
      <c r="O13" s="7"/>
      <c r="P13" s="7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5"/>
      <c r="AK13" s="5"/>
      <c r="AL13" s="8"/>
      <c r="AP13" s="6"/>
      <c r="AQ13" s="6"/>
      <c r="AR13" s="6"/>
      <c r="AS13" s="6"/>
    </row>
    <row r="14" spans="1:45">
      <c r="A14" s="21" t="s">
        <v>6</v>
      </c>
      <c r="B14" s="84" t="s">
        <v>1</v>
      </c>
      <c r="C14" s="110" t="s">
        <v>64</v>
      </c>
      <c r="D14" s="111"/>
      <c r="E14" s="28"/>
      <c r="F14" s="10"/>
      <c r="G14" s="10"/>
      <c r="H14" s="10"/>
      <c r="N14" s="7"/>
      <c r="O14" s="7"/>
      <c r="P14" s="7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5"/>
      <c r="AK14" s="5"/>
      <c r="AL14" s="8"/>
      <c r="AP14" s="6"/>
      <c r="AQ14" s="6"/>
      <c r="AR14" s="6"/>
      <c r="AS14" s="6"/>
    </row>
    <row r="15" spans="1:45">
      <c r="A15" s="21" t="s">
        <v>49</v>
      </c>
      <c r="B15" s="84" t="s">
        <v>1</v>
      </c>
      <c r="C15" s="110" t="s">
        <v>65</v>
      </c>
      <c r="D15" s="111"/>
      <c r="E15" s="28"/>
      <c r="F15" s="10"/>
      <c r="G15" s="10"/>
      <c r="H15" s="10"/>
      <c r="N15" s="7"/>
      <c r="O15" s="7"/>
      <c r="P15" s="7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5"/>
      <c r="AK15" s="5"/>
      <c r="AL15" s="8"/>
      <c r="AP15" s="6"/>
      <c r="AQ15" s="6"/>
      <c r="AR15" s="6"/>
      <c r="AS15" s="6"/>
    </row>
    <row r="16" spans="1:45">
      <c r="A16" s="21" t="s">
        <v>50</v>
      </c>
      <c r="B16" s="84" t="s">
        <v>1</v>
      </c>
      <c r="C16" s="110" t="s">
        <v>66</v>
      </c>
      <c r="D16" s="111"/>
      <c r="E16" s="28"/>
      <c r="F16" s="10"/>
      <c r="G16" s="10"/>
      <c r="H16" s="10"/>
      <c r="N16" s="7"/>
      <c r="O16" s="7"/>
      <c r="P16" s="7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5"/>
      <c r="AK16" s="5"/>
      <c r="AL16" s="8"/>
      <c r="AP16" s="6"/>
      <c r="AQ16" s="6"/>
      <c r="AR16" s="6"/>
      <c r="AS16" s="6"/>
    </row>
    <row r="17" spans="1:45">
      <c r="A17" s="21" t="s">
        <v>53</v>
      </c>
      <c r="B17" s="84" t="s">
        <v>1</v>
      </c>
      <c r="C17" s="85"/>
      <c r="D17" s="86"/>
      <c r="E17" s="28"/>
      <c r="F17" s="10"/>
      <c r="G17" s="10"/>
      <c r="H17" s="10"/>
      <c r="N17" s="7"/>
      <c r="O17" s="7"/>
      <c r="P17" s="7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5"/>
      <c r="AK17" s="5"/>
      <c r="AL17" s="8"/>
      <c r="AP17" s="6"/>
      <c r="AQ17" s="6"/>
      <c r="AR17" s="6"/>
      <c r="AS17" s="6"/>
    </row>
    <row r="18" spans="1:45">
      <c r="A18" s="21" t="s">
        <v>54</v>
      </c>
      <c r="B18" s="84" t="s">
        <v>1</v>
      </c>
      <c r="C18" s="85"/>
      <c r="D18" s="86"/>
      <c r="E18" s="28"/>
      <c r="F18" s="10"/>
      <c r="G18" s="10"/>
      <c r="H18" s="10"/>
      <c r="N18" s="7"/>
      <c r="O18" s="7"/>
      <c r="P18" s="7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5"/>
      <c r="AK18" s="5"/>
      <c r="AL18" s="8"/>
      <c r="AP18" s="6"/>
      <c r="AQ18" s="6"/>
      <c r="AR18" s="6"/>
      <c r="AS18" s="6"/>
    </row>
    <row r="19" spans="1:45">
      <c r="A19" s="21" t="s">
        <v>52</v>
      </c>
      <c r="B19" s="84" t="s">
        <v>1</v>
      </c>
      <c r="C19" s="110" t="s">
        <v>94</v>
      </c>
      <c r="D19" s="111"/>
      <c r="E19" s="28"/>
      <c r="F19" s="10"/>
      <c r="G19" s="10"/>
      <c r="H19" s="10"/>
      <c r="N19" s="7"/>
      <c r="O19" s="7"/>
      <c r="P19" s="7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5"/>
      <c r="AK19" s="5"/>
      <c r="AL19" s="8"/>
      <c r="AP19" s="6"/>
      <c r="AQ19" s="6"/>
      <c r="AR19" s="6"/>
      <c r="AS19" s="6"/>
    </row>
    <row r="20" spans="1:45">
      <c r="A20" s="46"/>
      <c r="B20" s="46"/>
      <c r="C20" s="28"/>
      <c r="D20" s="28"/>
      <c r="E20" s="28"/>
      <c r="F20" s="10"/>
      <c r="G20" s="10"/>
      <c r="H20" s="10"/>
      <c r="N20" s="7"/>
      <c r="O20" s="7"/>
      <c r="P20" s="7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5"/>
      <c r="AK20" s="5"/>
      <c r="AL20" s="8"/>
      <c r="AP20" s="6"/>
      <c r="AQ20" s="6"/>
      <c r="AR20" s="6"/>
      <c r="AS20" s="6"/>
    </row>
    <row r="21" spans="1:45">
      <c r="A21" s="11" t="s">
        <v>38</v>
      </c>
      <c r="B21" s="26"/>
      <c r="D21"/>
      <c r="E21"/>
      <c r="F21" s="10"/>
      <c r="G21" s="10"/>
      <c r="H21" s="10"/>
      <c r="N21" s="7"/>
      <c r="O21" s="7"/>
      <c r="P21" s="7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5"/>
      <c r="AK21" s="5"/>
      <c r="AL21" s="8"/>
      <c r="AP21" s="6"/>
      <c r="AQ21" s="6"/>
      <c r="AR21" s="6"/>
      <c r="AS21" s="6"/>
    </row>
    <row r="22" spans="1:45">
      <c r="A22" s="73" t="s">
        <v>68</v>
      </c>
      <c r="B22" s="67" t="s">
        <v>1</v>
      </c>
      <c r="C22" s="68">
        <v>721228.62</v>
      </c>
      <c r="D22" s="69" t="s">
        <v>39</v>
      </c>
      <c r="E22" s="70"/>
      <c r="F22" s="10"/>
      <c r="G22" s="10"/>
      <c r="H22" s="10"/>
      <c r="N22" s="7"/>
      <c r="O22" s="7"/>
      <c r="P22" s="7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5"/>
      <c r="AK22" s="5"/>
      <c r="AL22" s="8"/>
      <c r="AP22" s="6"/>
      <c r="AQ22" s="6"/>
      <c r="AR22" s="6"/>
      <c r="AS22" s="6"/>
    </row>
    <row r="23" spans="1:45">
      <c r="A23" s="11"/>
      <c r="B23" s="11"/>
      <c r="C23" s="68">
        <v>462450.22</v>
      </c>
      <c r="D23" s="69" t="s">
        <v>40</v>
      </c>
      <c r="E23" s="70"/>
      <c r="F23" s="10"/>
      <c r="G23" s="10"/>
      <c r="H23" s="10"/>
      <c r="N23" s="7"/>
      <c r="O23" s="7"/>
      <c r="P23" s="7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5"/>
      <c r="AK23" s="5"/>
      <c r="AL23" s="8"/>
      <c r="AP23" s="6"/>
      <c r="AQ23" s="6"/>
      <c r="AR23" s="6"/>
      <c r="AS23" s="6"/>
    </row>
    <row r="24" spans="1:45">
      <c r="A24"/>
      <c r="B24"/>
      <c r="C24"/>
      <c r="G24"/>
      <c r="H24"/>
      <c r="N24" s="7"/>
      <c r="O24" s="7"/>
      <c r="P24" s="7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5"/>
      <c r="AK24" s="5"/>
      <c r="AL24" s="8"/>
      <c r="AP24" s="6"/>
      <c r="AQ24" s="6"/>
      <c r="AR24" s="6"/>
      <c r="AS24" s="6"/>
    </row>
    <row r="25" spans="1:45">
      <c r="A25" s="11" t="s">
        <v>45</v>
      </c>
      <c r="B25"/>
      <c r="C25" s="67">
        <v>4</v>
      </c>
      <c r="G25"/>
      <c r="H25"/>
      <c r="N25" s="7"/>
      <c r="O25" s="7"/>
      <c r="P25" s="7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5"/>
      <c r="AK25" s="5"/>
      <c r="AL25" s="8"/>
      <c r="AP25" s="6"/>
      <c r="AQ25" s="6"/>
      <c r="AR25" s="6"/>
      <c r="AS25" s="6"/>
    </row>
    <row r="26" spans="1:45">
      <c r="A26"/>
      <c r="B26"/>
      <c r="C26"/>
      <c r="G26"/>
      <c r="H26"/>
      <c r="N26" s="7"/>
      <c r="O26" s="7"/>
      <c r="P26" s="7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5"/>
      <c r="AK26" s="5"/>
      <c r="AL26" s="8"/>
      <c r="AP26" s="6"/>
      <c r="AQ26" s="6"/>
      <c r="AR26" s="6"/>
      <c r="AS26" s="6"/>
    </row>
    <row r="27" spans="1:45" s="11" customFormat="1" ht="13.5" customHeight="1">
      <c r="A27" s="11" t="s">
        <v>22</v>
      </c>
      <c r="G27" s="12"/>
      <c r="H27" s="12"/>
      <c r="I27" s="12"/>
      <c r="J27" s="12"/>
      <c r="K27" s="12"/>
      <c r="L27" s="12"/>
      <c r="M27" s="12"/>
      <c r="N27" s="13"/>
      <c r="O27" s="13"/>
      <c r="P27" s="13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4"/>
      <c r="AI27" s="14"/>
      <c r="AJ27" s="14"/>
      <c r="AK27" s="15"/>
      <c r="AO27" s="12"/>
      <c r="AP27" s="12"/>
      <c r="AQ27" s="12"/>
      <c r="AR27" s="12"/>
    </row>
    <row r="28" spans="1:45" s="11" customFormat="1">
      <c r="A28" s="113" t="s">
        <v>16</v>
      </c>
      <c r="B28" s="113"/>
      <c r="C28" s="33">
        <f>ABS(SUM(AO42:AO65536))</f>
        <v>1306.2591999992376</v>
      </c>
      <c r="G28" s="12"/>
      <c r="H28" s="12"/>
      <c r="I28" s="12"/>
      <c r="J28" s="12"/>
      <c r="K28" s="12"/>
      <c r="L28" s="12"/>
      <c r="M28" s="12"/>
      <c r="N28" s="13"/>
      <c r="O28" s="13"/>
      <c r="P28" s="13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4"/>
      <c r="AI28" s="14"/>
      <c r="AJ28" s="14"/>
      <c r="AK28" s="15"/>
      <c r="AO28" s="12"/>
      <c r="AP28" s="12"/>
      <c r="AQ28" s="12"/>
      <c r="AR28" s="12"/>
    </row>
    <row r="29" spans="1:45" s="11" customFormat="1">
      <c r="A29" s="117" t="s">
        <v>17</v>
      </c>
      <c r="B29" s="117"/>
      <c r="C29" s="32">
        <f>ABS(C28/2)</f>
        <v>653.12959999961879</v>
      </c>
      <c r="G29" s="12"/>
      <c r="H29" s="12"/>
      <c r="I29" s="12"/>
      <c r="J29" s="12"/>
      <c r="K29" s="12"/>
      <c r="L29" s="12"/>
      <c r="M29" s="12"/>
      <c r="N29" s="13"/>
      <c r="O29" s="13"/>
      <c r="P29" s="13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4"/>
      <c r="AI29" s="14"/>
      <c r="AJ29" s="14"/>
      <c r="AK29" s="15"/>
      <c r="AO29" s="12"/>
      <c r="AP29" s="12"/>
      <c r="AQ29" s="12"/>
      <c r="AR29" s="12"/>
    </row>
    <row r="30" spans="1:45" s="11" customFormat="1">
      <c r="A30" s="70"/>
      <c r="B30" s="70"/>
      <c r="C30" s="70"/>
      <c r="G30" s="12"/>
      <c r="H30" s="12"/>
      <c r="I30" s="12"/>
      <c r="J30" s="12"/>
      <c r="K30" s="12"/>
      <c r="L30" s="12"/>
      <c r="M30" s="12"/>
      <c r="N30" s="13"/>
      <c r="O30" s="13"/>
      <c r="P30" s="13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4"/>
      <c r="AI30" s="14"/>
      <c r="AJ30" s="14"/>
      <c r="AK30" s="15"/>
      <c r="AO30" s="12"/>
      <c r="AP30" s="12"/>
      <c r="AQ30" s="12"/>
      <c r="AR30" s="12"/>
    </row>
    <row r="31" spans="1:45" s="11" customFormat="1">
      <c r="A31" s="14" t="s">
        <v>41</v>
      </c>
      <c r="B31" s="26"/>
      <c r="C31" s="26"/>
      <c r="G31" s="12"/>
      <c r="H31" s="12"/>
      <c r="I31" s="12"/>
      <c r="J31" s="12"/>
      <c r="K31" s="12"/>
      <c r="L31" s="12"/>
      <c r="M31" s="12"/>
      <c r="N31" s="13"/>
      <c r="O31" s="13"/>
      <c r="P31" s="13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4"/>
      <c r="AI31" s="14"/>
      <c r="AJ31" s="14"/>
      <c r="AK31" s="15"/>
      <c r="AO31" s="12"/>
      <c r="AP31" s="12"/>
      <c r="AQ31" s="12"/>
      <c r="AR31" s="12"/>
    </row>
    <row r="32" spans="1:45" s="11" customFormat="1">
      <c r="A32" s="71" t="s">
        <v>42</v>
      </c>
      <c r="B32" s="117">
        <f>SQRT(AA40^2+AB40^2)</f>
        <v>4.4373704459644038E-3</v>
      </c>
      <c r="C32" s="117"/>
      <c r="G32" s="12"/>
      <c r="H32" s="12"/>
      <c r="I32" s="12"/>
      <c r="J32" s="12"/>
      <c r="K32" s="12"/>
      <c r="L32" s="12"/>
      <c r="M32" s="12"/>
      <c r="N32" s="13"/>
      <c r="O32" s="13"/>
      <c r="P32" s="13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4"/>
      <c r="AI32" s="14"/>
      <c r="AJ32" s="14"/>
      <c r="AK32" s="15"/>
      <c r="AO32" s="12"/>
      <c r="AP32" s="12"/>
      <c r="AQ32" s="12"/>
      <c r="AR32" s="12"/>
    </row>
    <row r="33" spans="1:44" s="11" customFormat="1">
      <c r="A33" s="71" t="s">
        <v>43</v>
      </c>
      <c r="B33" s="121">
        <f>M40/B32</f>
        <v>23048.491369218762</v>
      </c>
      <c r="C33" s="121"/>
      <c r="G33" s="12"/>
      <c r="H33" s="12"/>
      <c r="I33" s="12"/>
      <c r="J33" s="12"/>
      <c r="K33" s="12"/>
      <c r="L33" s="12"/>
      <c r="M33" s="12"/>
      <c r="N33" s="13"/>
      <c r="O33" s="13"/>
      <c r="P33" s="13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4"/>
      <c r="AI33" s="14"/>
      <c r="AJ33" s="14"/>
      <c r="AK33" s="15"/>
      <c r="AO33" s="12"/>
      <c r="AP33" s="12"/>
      <c r="AQ33" s="12"/>
      <c r="AR33" s="12"/>
    </row>
    <row r="34" spans="1:44" s="11" customFormat="1">
      <c r="A34" s="71" t="s">
        <v>44</v>
      </c>
      <c r="B34" s="117" t="str">
        <f>"1 : "&amp;TEXT(B35,"00")</f>
        <v>1 : 23000</v>
      </c>
      <c r="C34" s="117"/>
      <c r="G34" s="12"/>
      <c r="H34" s="12"/>
      <c r="I34" s="12"/>
      <c r="J34" s="12"/>
      <c r="K34" s="12"/>
      <c r="L34" s="12"/>
      <c r="M34" s="12"/>
      <c r="N34" s="13"/>
      <c r="O34" s="13"/>
      <c r="P34" s="13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4"/>
      <c r="AI34" s="14"/>
      <c r="AJ34" s="14"/>
      <c r="AK34" s="15"/>
      <c r="AO34" s="12"/>
      <c r="AP34" s="12"/>
      <c r="AQ34" s="12"/>
      <c r="AR34" s="12"/>
    </row>
    <row r="35" spans="1:44" s="11" customFormat="1" hidden="1">
      <c r="A35" s="70"/>
      <c r="B35" s="120">
        <f>ROUND(B33,2-LEN(INT(B33)))</f>
        <v>23000</v>
      </c>
      <c r="C35" s="120"/>
      <c r="G35" s="12"/>
      <c r="H35" s="12"/>
      <c r="I35" s="12"/>
      <c r="J35" s="12"/>
      <c r="K35" s="12"/>
      <c r="L35" s="12"/>
      <c r="M35" s="12"/>
      <c r="N35" s="13"/>
      <c r="O35" s="13"/>
      <c r="P35" s="13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4"/>
      <c r="AI35" s="14"/>
      <c r="AJ35" s="14"/>
      <c r="AK35" s="15"/>
      <c r="AO35" s="12"/>
      <c r="AP35" s="12"/>
      <c r="AQ35" s="12"/>
      <c r="AR35" s="12"/>
    </row>
    <row r="36" spans="1:44" s="11" customFormat="1">
      <c r="G36" s="12"/>
      <c r="H36" s="12"/>
      <c r="I36" s="12"/>
      <c r="J36" s="12"/>
      <c r="K36" s="12"/>
      <c r="L36" s="12"/>
      <c r="M36" s="12"/>
      <c r="N36" s="13"/>
      <c r="O36" s="13"/>
      <c r="P36" s="13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4"/>
      <c r="AI36" s="14"/>
      <c r="AJ36" s="14"/>
      <c r="AK36" s="15"/>
      <c r="AO36" s="12"/>
      <c r="AP36" s="12"/>
      <c r="AQ36" s="12"/>
      <c r="AR36" s="12"/>
    </row>
    <row r="37" spans="1:44" s="11" customFormat="1">
      <c r="G37" s="12"/>
      <c r="H37" s="12"/>
      <c r="I37" s="12"/>
      <c r="J37" s="12"/>
      <c r="K37" s="12"/>
      <c r="L37" s="12"/>
      <c r="M37" s="12"/>
      <c r="N37" s="13"/>
      <c r="O37" s="13"/>
      <c r="P37" s="13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4"/>
      <c r="AI37" s="14"/>
      <c r="AJ37" s="14"/>
      <c r="AK37" s="15"/>
      <c r="AO37" s="12"/>
      <c r="AP37" s="12"/>
      <c r="AQ37" s="12"/>
      <c r="AR37" s="12"/>
    </row>
    <row r="38" spans="1:44">
      <c r="A38" s="118" t="s">
        <v>9</v>
      </c>
      <c r="B38" s="88"/>
      <c r="C38" s="126" t="s">
        <v>7</v>
      </c>
      <c r="D38" s="126"/>
      <c r="E38" s="77"/>
      <c r="F38" s="19" t="s">
        <v>46</v>
      </c>
      <c r="G38" s="19" t="s">
        <v>46</v>
      </c>
      <c r="H38" s="74"/>
      <c r="I38" s="74"/>
      <c r="J38" s="74"/>
      <c r="K38" s="74"/>
      <c r="L38" s="74"/>
      <c r="M38" s="127" t="s">
        <v>8</v>
      </c>
      <c r="N38" s="127"/>
      <c r="O38" s="127"/>
      <c r="P38" s="127"/>
      <c r="Q38" s="127"/>
      <c r="R38" s="127"/>
      <c r="S38" s="127"/>
      <c r="T38" s="127"/>
      <c r="U38" s="127"/>
      <c r="V38" s="128"/>
      <c r="W38" s="59"/>
      <c r="X38" s="59" t="s">
        <v>33</v>
      </c>
      <c r="Y38" s="59" t="s">
        <v>34</v>
      </c>
      <c r="Z38" s="80"/>
      <c r="AA38" s="118" t="s">
        <v>30</v>
      </c>
      <c r="AB38" s="118" t="s">
        <v>31</v>
      </c>
      <c r="AC38" s="80"/>
      <c r="AD38" s="17" t="s">
        <v>32</v>
      </c>
      <c r="AE38" s="17" t="s">
        <v>32</v>
      </c>
      <c r="AF38" s="17" t="s">
        <v>37</v>
      </c>
      <c r="AG38" s="17" t="s">
        <v>37</v>
      </c>
      <c r="AH38" s="61"/>
      <c r="AI38" s="45" t="s">
        <v>35</v>
      </c>
      <c r="AJ38" s="114" t="s">
        <v>55</v>
      </c>
      <c r="AK38" s="116"/>
      <c r="AL38" s="65"/>
      <c r="AM38" s="114" t="s">
        <v>18</v>
      </c>
      <c r="AN38" s="115"/>
      <c r="AO38" s="116"/>
      <c r="AP38" s="122" t="s">
        <v>56</v>
      </c>
    </row>
    <row r="39" spans="1:44">
      <c r="A39" s="119"/>
      <c r="B39" s="62"/>
      <c r="C39" s="16" t="s">
        <v>10</v>
      </c>
      <c r="D39" s="16" t="s">
        <v>11</v>
      </c>
      <c r="E39" s="77"/>
      <c r="F39" s="17" t="s">
        <v>30</v>
      </c>
      <c r="G39" s="17" t="s">
        <v>31</v>
      </c>
      <c r="H39" s="62"/>
      <c r="I39" s="62"/>
      <c r="J39" s="62"/>
      <c r="K39" s="62"/>
      <c r="L39" s="62"/>
      <c r="M39" s="17" t="s">
        <v>12</v>
      </c>
      <c r="N39" s="114" t="s">
        <v>21</v>
      </c>
      <c r="O39" s="115"/>
      <c r="P39" s="115"/>
      <c r="Q39" s="116"/>
      <c r="R39" s="114" t="s">
        <v>24</v>
      </c>
      <c r="S39" s="115"/>
      <c r="T39" s="115"/>
      <c r="U39" s="116"/>
      <c r="V39" s="129"/>
      <c r="W39" s="59"/>
      <c r="X39" s="59"/>
      <c r="Y39" s="59"/>
      <c r="Z39" s="81"/>
      <c r="AA39" s="119"/>
      <c r="AB39" s="119"/>
      <c r="AC39" s="81"/>
      <c r="AD39" s="17" t="s">
        <v>30</v>
      </c>
      <c r="AE39" s="17" t="s">
        <v>31</v>
      </c>
      <c r="AF39" s="17" t="s">
        <v>30</v>
      </c>
      <c r="AG39" s="17" t="s">
        <v>31</v>
      </c>
      <c r="AH39" s="62"/>
      <c r="AI39" s="17" t="s">
        <v>36</v>
      </c>
      <c r="AJ39" s="17" t="s">
        <v>10</v>
      </c>
      <c r="AK39" s="17" t="s">
        <v>11</v>
      </c>
      <c r="AL39" s="62"/>
      <c r="AM39" s="17" t="s">
        <v>13</v>
      </c>
      <c r="AN39" s="19" t="s">
        <v>14</v>
      </c>
      <c r="AO39" s="16" t="s">
        <v>15</v>
      </c>
      <c r="AP39" s="122"/>
    </row>
    <row r="40" spans="1:44" s="11" customFormat="1">
      <c r="A40" s="123" t="s">
        <v>25</v>
      </c>
      <c r="B40" s="124"/>
      <c r="C40" s="124"/>
      <c r="D40" s="124"/>
      <c r="E40" s="124"/>
      <c r="F40" s="124"/>
      <c r="G40" s="124"/>
      <c r="H40" s="124"/>
      <c r="I40" s="124"/>
      <c r="J40" s="124"/>
      <c r="K40" s="124"/>
      <c r="L40" s="125"/>
      <c r="M40" s="51">
        <f>SUM(M42:M65536)</f>
        <v>102.27469442583697</v>
      </c>
      <c r="N40" s="54"/>
      <c r="O40" s="55"/>
      <c r="P40" s="55"/>
      <c r="Q40" s="56"/>
      <c r="R40" s="53" t="s">
        <v>26</v>
      </c>
      <c r="S40" s="53" t="s">
        <v>27</v>
      </c>
      <c r="T40" s="53" t="s">
        <v>28</v>
      </c>
      <c r="U40" s="53" t="s">
        <v>29</v>
      </c>
      <c r="V40" s="90"/>
      <c r="W40" s="87"/>
      <c r="X40" s="87"/>
      <c r="Y40" s="87"/>
      <c r="Z40" s="87"/>
      <c r="AA40" s="91">
        <f>SUM(AA42:AA65536)</f>
        <v>-3.7662556000270797E-3</v>
      </c>
      <c r="AB40" s="91">
        <f>SUM(AB42:AB65536)</f>
        <v>2.346396221865138E-3</v>
      </c>
      <c r="AC40" s="91"/>
      <c r="AD40" s="91">
        <f>SUM(AD42:AD65536)</f>
        <v>-3.7662556000270797E-3</v>
      </c>
      <c r="AE40" s="91">
        <f>SUM(AE42:AE65536)</f>
        <v>2.346396221865138E-3</v>
      </c>
      <c r="AF40" s="91">
        <f>SUM(AF42:AF65536)</f>
        <v>0</v>
      </c>
      <c r="AG40" s="91">
        <f>SUM(AG42:AG65536)</f>
        <v>6.3837823915946501E-16</v>
      </c>
      <c r="AH40" s="92"/>
      <c r="AI40" s="93">
        <v>1</v>
      </c>
      <c r="AJ40" s="92">
        <f>AJ44+AF44</f>
        <v>721256.21194381826</v>
      </c>
      <c r="AK40" s="92">
        <f>AK44+AG44</f>
        <v>461580.75948106428</v>
      </c>
      <c r="AL40" s="92"/>
      <c r="AM40" s="51"/>
      <c r="AN40" s="57"/>
      <c r="AO40" s="52"/>
      <c r="AP40" s="103"/>
    </row>
    <row r="41" spans="1:44">
      <c r="A41" s="34" t="str">
        <f>IF(A22=0, " ",  A22)</f>
        <v>BLLM 1</v>
      </c>
      <c r="B41" s="89"/>
      <c r="C41" s="35">
        <f>C22</f>
        <v>721228.62</v>
      </c>
      <c r="D41" s="35">
        <f>C23</f>
        <v>462450.22</v>
      </c>
      <c r="E41" s="78"/>
      <c r="F41" s="72">
        <f>IF(C42=0,C41-$C$41,C41-C42)</f>
        <v>-52.660000000032596</v>
      </c>
      <c r="G41" s="72">
        <f>IF(D42=0,D41-$D$41,D41-D42)</f>
        <v>869.32999999995809</v>
      </c>
      <c r="H41" s="75" t="str">
        <f>IF(G41=0,IF(F41&gt;0,"South","North"),"")</f>
        <v/>
      </c>
      <c r="I41" s="75">
        <f>IF(H41="North",2,IF(H41="",0,0))</f>
        <v>0</v>
      </c>
      <c r="J41" s="75" t="str">
        <f>IF(F41=0,IF(G41&gt;0,"West","East"),"")</f>
        <v/>
      </c>
      <c r="K41" s="75">
        <f>IF(J41="West",1,IF(J41="",0,3))</f>
        <v>0</v>
      </c>
      <c r="L41" s="75" t="str">
        <f>H41&amp;J41</f>
        <v/>
      </c>
      <c r="M41" s="36">
        <f>SQRT(F41^2+G41^2)</f>
        <v>870.92348946387403</v>
      </c>
      <c r="N41" s="36">
        <f>IF(F41=0,,ATAN(G41/F41))</f>
        <v>-1.5102948697738907</v>
      </c>
      <c r="O41" s="36">
        <f>ABS(DEGREES(N41))</f>
        <v>86.533521858304226</v>
      </c>
      <c r="P41" s="37" t="str">
        <f>TEXT(INT(O41),"00")</f>
        <v>86</v>
      </c>
      <c r="Q41" s="38" t="str">
        <f>TEXT((O41-P41)*60,"00")</f>
        <v>32</v>
      </c>
      <c r="R41" s="39" t="str">
        <f>IF(L41="",IF(F41&gt;0,"S","N"),"")</f>
        <v>N</v>
      </c>
      <c r="S41" s="25" t="str">
        <f>IF(L41="",IF(INT(Q41)=60,INT(P41+1),P41),"due")</f>
        <v>86</v>
      </c>
      <c r="T41" s="38" t="str">
        <f>IF(L41="",IF(INT(Q41)=60,"00",Q41),L41)</f>
        <v>32</v>
      </c>
      <c r="U41" s="40" t="str">
        <f>IF(L41="",IF(G41&gt;0,"W","E"),"")</f>
        <v>W</v>
      </c>
      <c r="V41" s="41"/>
      <c r="W41" s="22">
        <f>IF(S41="due",90*(I41+K41),S41+T41/60)</f>
        <v>86.533333333333331</v>
      </c>
      <c r="X41" s="22">
        <f>IF(R41="",W41,IF(R41="N",IF(U41="E",180+W41,180-W41),IF(U41="E",360-W41,W41)))</f>
        <v>93.466666666666669</v>
      </c>
      <c r="Y41" s="22">
        <f>RADIANS(X41)</f>
        <v>1.6313010741973668</v>
      </c>
      <c r="Z41" s="64"/>
      <c r="AA41" s="58">
        <f>-M41*COS(Y41)</f>
        <v>52.662860427065851</v>
      </c>
      <c r="AB41" s="58">
        <f>-M41*SIN(Y41)</f>
        <v>-869.32982672376431</v>
      </c>
      <c r="AC41" s="64"/>
      <c r="AD41" s="22">
        <v>0</v>
      </c>
      <c r="AE41" s="22">
        <v>0</v>
      </c>
      <c r="AF41" s="22">
        <f t="shared" ref="AF41:AG43" si="0">AA41-AD41</f>
        <v>52.662860427065851</v>
      </c>
      <c r="AG41" s="22">
        <f t="shared" si="0"/>
        <v>-869.32982672376431</v>
      </c>
      <c r="AH41" s="63"/>
      <c r="AI41" s="36" t="str">
        <f>A41</f>
        <v>BLLM 1</v>
      </c>
      <c r="AJ41" s="36">
        <f>C41</f>
        <v>721228.62</v>
      </c>
      <c r="AK41" s="36">
        <f>D41</f>
        <v>462450.22</v>
      </c>
      <c r="AL41" s="63"/>
      <c r="AM41" s="42" t="str">
        <f>IF(A42=0,A41&amp;" - 1",A41&amp;" - "&amp;A42)</f>
        <v>BLLM 1 - 1</v>
      </c>
      <c r="AN41" s="42"/>
      <c r="AO41" s="43"/>
      <c r="AP41" s="9"/>
    </row>
    <row r="42" spans="1:44">
      <c r="A42" s="20">
        <v>1</v>
      </c>
      <c r="B42" s="44"/>
      <c r="C42" s="60">
        <v>721281.28</v>
      </c>
      <c r="D42" s="60">
        <v>461580.89</v>
      </c>
      <c r="E42" s="79"/>
      <c r="F42" s="72">
        <f>IF(C43=0,C42-$C$42,C42-C43)</f>
        <v>-0.4599999999627471</v>
      </c>
      <c r="G42" s="72">
        <f>IF(D43=0,D42-$D$42,D42-D43)</f>
        <v>-26.159999999974389</v>
      </c>
      <c r="H42" s="75" t="str">
        <f>IF(G42=0,IF(F42&gt;0,"South","North"),"")</f>
        <v/>
      </c>
      <c r="I42" s="75">
        <f>IF(H42="North",2,IF(H42="",0,0))</f>
        <v>0</v>
      </c>
      <c r="J42" s="75" t="str">
        <f>IF(F42=0,IF(G42&gt;0,"West","East"),"")</f>
        <v/>
      </c>
      <c r="K42" s="75">
        <f>IF(J42="West",1,IF(J42="",0,3))</f>
        <v>0</v>
      </c>
      <c r="L42" s="75" t="str">
        <f>H42&amp;J42</f>
        <v/>
      </c>
      <c r="M42" s="36">
        <f>SQRT(F42^2+G42^2)</f>
        <v>26.164044029901525</v>
      </c>
      <c r="N42" s="36">
        <f>IF(F42=0,,ATAN(G42/F42))</f>
        <v>1.5532140409380937</v>
      </c>
      <c r="O42" s="36">
        <f>ABS(DEGREES(N42))</f>
        <v>88.992609226212636</v>
      </c>
      <c r="P42" s="37" t="str">
        <f>TEXT(INT(O42),"00")</f>
        <v>88</v>
      </c>
      <c r="Q42" s="38" t="str">
        <f>TEXT((O42-P42)*60,"00")</f>
        <v>60</v>
      </c>
      <c r="R42" s="39" t="str">
        <f>IF(L42="",IF(F42&gt;0,"S","N"),"")</f>
        <v>N</v>
      </c>
      <c r="S42" s="25">
        <f>IF(L42="",IF(INT(Q42)=60,INT(P42+1),P42),"due")</f>
        <v>89</v>
      </c>
      <c r="T42" s="38" t="str">
        <f>IF(L42="",IF(INT(Q42)=60,"00",Q42),L42)</f>
        <v>00</v>
      </c>
      <c r="U42" s="40" t="str">
        <f>IF(L42="",IF(G42&gt;0,"W","E"),"")</f>
        <v>E</v>
      </c>
      <c r="V42" s="44"/>
      <c r="W42" s="22">
        <f>IF(S42="due",90*(I42+K42),S42+T42/60)</f>
        <v>89</v>
      </c>
      <c r="X42" s="22">
        <f>IF(R42="",W42,IF(R42="N",IF(U42="E",180+W42,180-W42),IF(U42="E",360-W42,W42)))</f>
        <v>269</v>
      </c>
      <c r="Y42" s="22">
        <f>RADIANS(X42)</f>
        <v>4.6949356878647466</v>
      </c>
      <c r="Z42" s="64"/>
      <c r="AA42" s="58">
        <f>-M42*COS(Y42)</f>
        <v>0.45662553045282223</v>
      </c>
      <c r="AB42" s="58">
        <f>-M42*SIN(Y42)</f>
        <v>26.16005911926738</v>
      </c>
      <c r="AC42" s="64"/>
      <c r="AD42" s="82">
        <f>$AA$40/$M$40*M42</f>
        <v>-9.6348835750789685E-4</v>
      </c>
      <c r="AE42" s="82">
        <f>$AB$40/$M$40*M42</f>
        <v>6.0025810299527247E-4</v>
      </c>
      <c r="AF42" s="22">
        <f t="shared" si="0"/>
        <v>0.45758901881033015</v>
      </c>
      <c r="AG42" s="22">
        <f t="shared" si="0"/>
        <v>26.159458861164385</v>
      </c>
      <c r="AH42" s="63"/>
      <c r="AI42" s="38">
        <f>A42</f>
        <v>1</v>
      </c>
      <c r="AJ42" s="82">
        <f t="shared" ref="AJ42:AK44" si="1">AJ41+AF41</f>
        <v>721281.28286042705</v>
      </c>
      <c r="AK42" s="82">
        <f t="shared" si="1"/>
        <v>461580.89017327619</v>
      </c>
      <c r="AL42" s="66"/>
      <c r="AM42" s="9" t="str">
        <f>IF(A43=0,A42&amp;" - 1",A42&amp;" - "&amp;A43)</f>
        <v>1 - 2</v>
      </c>
      <c r="AN42" s="18">
        <f>F42</f>
        <v>-0.4599999999627471</v>
      </c>
      <c r="AO42" s="18">
        <f>AN42*G42</f>
        <v>12.033599999013683</v>
      </c>
      <c r="AP42" s="9" t="str">
        <f>D42&amp;","&amp;C42</f>
        <v>461580.89,721281.28</v>
      </c>
    </row>
    <row r="43" spans="1:44">
      <c r="A43" s="20">
        <f>A42+1</f>
        <v>2</v>
      </c>
      <c r="B43" s="44"/>
      <c r="C43" s="60">
        <v>721281.74</v>
      </c>
      <c r="D43" s="60">
        <v>461607.05</v>
      </c>
      <c r="E43" s="79"/>
      <c r="F43" s="72">
        <f>IF(C44=0,C43-$C$42,C43-C44)</f>
        <v>26.179999999934807</v>
      </c>
      <c r="G43" s="72">
        <f>IF(D44=0,D43-$D$42,D43-D44)</f>
        <v>1.4799999999813735</v>
      </c>
      <c r="H43" s="75" t="str">
        <f>IF(G43=0,IF(F43&gt;0,"South","North"),"")</f>
        <v/>
      </c>
      <c r="I43" s="75">
        <f>IF(H43="North",2,IF(H43="",0,0))</f>
        <v>0</v>
      </c>
      <c r="J43" s="75" t="str">
        <f>IF(F43=0,IF(G43&gt;0,"West","East"),"")</f>
        <v/>
      </c>
      <c r="K43" s="75">
        <f>IF(J43="West",1,IF(J43="",0,3))</f>
        <v>0</v>
      </c>
      <c r="L43" s="75" t="str">
        <f>H43&amp;J43</f>
        <v/>
      </c>
      <c r="M43" s="36">
        <f>SQRT(F43^2+G43^2)</f>
        <v>26.221800090698032</v>
      </c>
      <c r="N43" s="36">
        <f>IF(F43=0,,ATAN(G43/F43))</f>
        <v>5.6471596831726791E-2</v>
      </c>
      <c r="O43" s="36">
        <f>ABS(DEGREES(N43))</f>
        <v>3.2355841608222966</v>
      </c>
      <c r="P43" s="37" t="str">
        <f>TEXT(INT(O43),"00")</f>
        <v>03</v>
      </c>
      <c r="Q43" s="38" t="str">
        <f>TEXT((O43-P43)*60,"00")</f>
        <v>14</v>
      </c>
      <c r="R43" s="39" t="str">
        <f>IF(L43="",IF(F43&gt;0,"S","N"),"")</f>
        <v>S</v>
      </c>
      <c r="S43" s="25" t="str">
        <f>IF(L43="",IF(INT(Q43)=60,INT(P43+1),P43),"due")</f>
        <v>03</v>
      </c>
      <c r="T43" s="38" t="str">
        <f>IF(L43="",IF(INT(Q43)=60,"00",Q43),L43)</f>
        <v>14</v>
      </c>
      <c r="U43" s="40" t="str">
        <f>IF(L43="",IF(G43&gt;0,"W","E"),"")</f>
        <v>W</v>
      </c>
      <c r="V43" s="44"/>
      <c r="W43" s="22">
        <f>IF(S43="due",90*(I43+K43),S43+T43/60)</f>
        <v>3.2333333333333334</v>
      </c>
      <c r="X43" s="22">
        <f>IF(R43="",W43,IF(R43="N",IF(U43="E",180+W43,180-W43),IF(U43="E",360-W43,W43)))</f>
        <v>3.2333333333333334</v>
      </c>
      <c r="Y43" s="22">
        <f>RADIANS(X43)</f>
        <v>5.6432312481149986E-2</v>
      </c>
      <c r="Z43" s="64"/>
      <c r="AA43" s="58">
        <f>-M43*COS(Y43)</f>
        <v>-26.180058120572365</v>
      </c>
      <c r="AB43" s="58">
        <f>-M43*SIN(Y43)</f>
        <v>-1.4789715345415273</v>
      </c>
      <c r="AC43" s="64"/>
      <c r="AD43" s="82">
        <f>$AA$40/$M$40*M43</f>
        <v>-9.6561521878703836E-4</v>
      </c>
      <c r="AE43" s="82">
        <f>$AB$40/$M$40*M43</f>
        <v>6.0158314829219096E-4</v>
      </c>
      <c r="AF43" s="22">
        <f t="shared" si="0"/>
        <v>-26.179092505353577</v>
      </c>
      <c r="AG43" s="22">
        <f t="shared" si="0"/>
        <v>-1.4795731176898195</v>
      </c>
      <c r="AH43" s="64"/>
      <c r="AI43" s="25">
        <f>A43</f>
        <v>2</v>
      </c>
      <c r="AJ43" s="82">
        <f t="shared" si="1"/>
        <v>721281.7404494459</v>
      </c>
      <c r="AK43" s="82">
        <f t="shared" si="1"/>
        <v>461607.04963213735</v>
      </c>
      <c r="AL43" s="66"/>
      <c r="AM43" s="9" t="str">
        <f>IF(A44=0,A43&amp;" - 1",A43&amp;" - "&amp;A44)</f>
        <v>2 - 3</v>
      </c>
      <c r="AN43" s="18">
        <f>AN42+F42+F43</f>
        <v>25.260000000009313</v>
      </c>
      <c r="AO43" s="18">
        <f>AN43*G43</f>
        <v>37.384799999543283</v>
      </c>
      <c r="AP43" s="9" t="str">
        <f>D43&amp;","&amp;C43</f>
        <v>461607.05,721281.74</v>
      </c>
    </row>
    <row r="44" spans="1:44" s="46" customFormat="1">
      <c r="A44" s="20">
        <f>A43+1</f>
        <v>3</v>
      </c>
      <c r="B44" s="44"/>
      <c r="C44" s="60">
        <v>721255.56</v>
      </c>
      <c r="D44" s="60">
        <v>461605.57</v>
      </c>
      <c r="E44" s="79"/>
      <c r="F44" s="72">
        <f>IF(C45=0,C44-$C$42,C44-C45)</f>
        <v>-0.64999999990686774</v>
      </c>
      <c r="G44" s="72">
        <f>IF(D45=0,D44-$D$42,D44-D45)</f>
        <v>24.809999999997672</v>
      </c>
      <c r="H44" s="76" t="str">
        <f>IF(G44=0,IF(F44&gt;0,"South","North"),"")</f>
        <v/>
      </c>
      <c r="I44" s="76">
        <f>IF(H44="North",2,IF(H44="",0,0))</f>
        <v>0</v>
      </c>
      <c r="J44" s="76" t="str">
        <f>IF(F44=0,IF(G44&gt;0,"West","East"),"")</f>
        <v/>
      </c>
      <c r="K44" s="76">
        <f>IF(J44="West",1,IF(J44="",0,3))</f>
        <v>0</v>
      </c>
      <c r="L44" s="76" t="str">
        <f>H44&amp;J44</f>
        <v/>
      </c>
      <c r="M44" s="22">
        <f>SQRT(F44^2+G44^2)</f>
        <v>24.818513251195434</v>
      </c>
      <c r="N44" s="22">
        <f>IF(F44=0,,ATAN(G44/F44))</f>
        <v>-1.5446032053710643</v>
      </c>
      <c r="O44" s="22">
        <f>ABS(DEGREES(N44))</f>
        <v>88.499244690140713</v>
      </c>
      <c r="P44" s="24" t="str">
        <f>TEXT(INT(O44),"00")</f>
        <v>88</v>
      </c>
      <c r="Q44" s="25" t="str">
        <f>TEXT((O44-P44)*60,"00")</f>
        <v>30</v>
      </c>
      <c r="R44" s="23" t="str">
        <f>IF(L44="",IF(F44&gt;0,"S","N"),"")</f>
        <v>N</v>
      </c>
      <c r="S44" s="25" t="str">
        <f>IF(L44="",IF(INT(Q44)=60,INT(P44+1),P44),"due")</f>
        <v>88</v>
      </c>
      <c r="T44" s="25" t="str">
        <f>IF(L44="",IF(INT(Q44)=60,"00",Q44),L44)</f>
        <v>30</v>
      </c>
      <c r="U44" s="24" t="str">
        <f>IF(L44="",IF(G44&gt;0,"W","E"),"")</f>
        <v>W</v>
      </c>
      <c r="V44" s="44"/>
      <c r="W44" s="22">
        <f>IF(S44="due",90*(I44+K44),S44+T44/60)</f>
        <v>88.5</v>
      </c>
      <c r="X44" s="22">
        <f>IF(R44="",W44,IF(R44="N",IF(U44="E",180+W44,180-W44),IF(U44="E",360-W44,W44)))</f>
        <v>91.5</v>
      </c>
      <c r="Y44" s="22">
        <f>RADIANS(X44)</f>
        <v>1.5969762655748114</v>
      </c>
      <c r="Z44" s="64"/>
      <c r="AA44" s="58">
        <f>-M44*COS(Y44)</f>
        <v>0.64967293845480434</v>
      </c>
      <c r="AB44" s="58">
        <f>-M44*SIN(Y44)</f>
        <v>-24.810008566560448</v>
      </c>
      <c r="AC44" s="64"/>
      <c r="AD44" s="82">
        <f>$AA$40/$M$40*M44</f>
        <v>-9.1393931843464563E-4</v>
      </c>
      <c r="AE44" s="82">
        <f>$AB$40/$M$40*M44</f>
        <v>5.6938880191074472E-4</v>
      </c>
      <c r="AF44" s="22">
        <f>AA44-AD44</f>
        <v>0.65058687777323898</v>
      </c>
      <c r="AG44" s="22">
        <f>AB44-AE44</f>
        <v>-24.810577955362358</v>
      </c>
      <c r="AH44" s="64"/>
      <c r="AI44" s="25">
        <f>A44</f>
        <v>3</v>
      </c>
      <c r="AJ44" s="82">
        <f t="shared" si="1"/>
        <v>721255.56135694054</v>
      </c>
      <c r="AK44" s="82">
        <f t="shared" si="1"/>
        <v>461605.57005901966</v>
      </c>
      <c r="AL44" s="66"/>
      <c r="AM44" s="9" t="str">
        <f>IF(A45=0,A44&amp;" - 1",A44&amp;" - "&amp;A45)</f>
        <v>3 - 4</v>
      </c>
      <c r="AN44" s="18">
        <f>AN43+F43+F44</f>
        <v>50.790000000037253</v>
      </c>
      <c r="AO44" s="18">
        <f>AN44*G44</f>
        <v>1260.099900000806</v>
      </c>
      <c r="AP44" s="9" t="str">
        <f>D44&amp;","&amp;C44</f>
        <v>461605.57,721255.56</v>
      </c>
    </row>
    <row r="45" spans="1:44" s="46" customFormat="1">
      <c r="A45" s="20">
        <f>A44+1</f>
        <v>4</v>
      </c>
      <c r="B45" s="44"/>
      <c r="C45" s="60">
        <v>721256.21</v>
      </c>
      <c r="D45" s="60">
        <v>461580.76</v>
      </c>
      <c r="E45" s="79"/>
      <c r="F45" s="72">
        <f>IF(C46=0,C45-$C$42,C45-C46)</f>
        <v>-25.070000000065193</v>
      </c>
      <c r="G45" s="72">
        <f>IF(D46=0,D45-$D$42,D45-D46)</f>
        <v>-0.13000000000465661</v>
      </c>
      <c r="H45" s="76" t="str">
        <f>IF(G45=0,IF(F45&gt;0,"South","North"),"")</f>
        <v/>
      </c>
      <c r="I45" s="76">
        <f>IF(H45="North",2,IF(H45="",0,0))</f>
        <v>0</v>
      </c>
      <c r="J45" s="76" t="str">
        <f>IF(F45=0,IF(G45&gt;0,"West","East"),"")</f>
        <v/>
      </c>
      <c r="K45" s="76">
        <f>IF(J45="West",1,IF(J45="",0,3))</f>
        <v>0</v>
      </c>
      <c r="L45" s="76" t="str">
        <f>H45&amp;J45</f>
        <v/>
      </c>
      <c r="M45" s="22">
        <f>SQRT(F45^2+G45^2)</f>
        <v>25.070337054041975</v>
      </c>
      <c r="N45" s="22">
        <f>IF(F45=0,,ATAN(G45/F45))</f>
        <v>5.1854341772649996E-3</v>
      </c>
      <c r="O45" s="22">
        <f>ABS(DEGREES(N45))</f>
        <v>0.29710349330017688</v>
      </c>
      <c r="P45" s="24" t="str">
        <f>TEXT(INT(O45),"00")</f>
        <v>00</v>
      </c>
      <c r="Q45" s="25" t="str">
        <f>TEXT((O45-P45)*60,"00")</f>
        <v>18</v>
      </c>
      <c r="R45" s="23" t="str">
        <f>IF(L45="",IF(F45&gt;0,"S","N"),"")</f>
        <v>N</v>
      </c>
      <c r="S45" s="25" t="str">
        <f>IF(L45="",IF(INT(Q45)=60,INT(P45+1),P45),"due")</f>
        <v>00</v>
      </c>
      <c r="T45" s="25" t="str">
        <f>IF(L45="",IF(INT(Q45)=60,"00",Q45),L45)</f>
        <v>18</v>
      </c>
      <c r="U45" s="24" t="str">
        <f>IF(L45="",IF(G45&gt;0,"W","E"),"")</f>
        <v>E</v>
      </c>
      <c r="V45" s="44"/>
      <c r="W45" s="22">
        <f>IF(S45="due",90*(I45+K45),S45+T45/60)</f>
        <v>0.3</v>
      </c>
      <c r="X45" s="22">
        <f>IF(R45="",W45,IF(R45="N",IF(U45="E",180+W45,180-W45),IF(U45="E",360-W45,W45)))</f>
        <v>180.3</v>
      </c>
      <c r="Y45" s="22">
        <f>RADIANS(X45)</f>
        <v>3.1468286413457762</v>
      </c>
      <c r="Z45" s="64"/>
      <c r="AA45" s="58">
        <f>-M45*COS(Y45)</f>
        <v>25.06999339606471</v>
      </c>
      <c r="AB45" s="58">
        <f>-M45*SIN(Y45)</f>
        <v>0.1312673780564618</v>
      </c>
      <c r="AC45" s="64"/>
      <c r="AD45" s="82">
        <f>$AA$40/$M$40*M45</f>
        <v>-9.2321270529749908E-4</v>
      </c>
      <c r="AE45" s="82">
        <f>$AB$40/$M$40*M45</f>
        <v>5.7516616866692993E-4</v>
      </c>
      <c r="AF45" s="22">
        <f>AA45-AD45</f>
        <v>25.070916608770009</v>
      </c>
      <c r="AG45" s="22">
        <f>AB45-AE45</f>
        <v>0.13069221188779487</v>
      </c>
      <c r="AH45" s="64"/>
      <c r="AI45" s="25">
        <f>A45</f>
        <v>4</v>
      </c>
      <c r="AJ45" s="82">
        <f t="shared" ref="AJ45" si="2">AJ44+AF44</f>
        <v>721256.21194381826</v>
      </c>
      <c r="AK45" s="82">
        <f t="shared" ref="AK45" si="3">AK44+AG44</f>
        <v>461580.75948106428</v>
      </c>
      <c r="AL45" s="66"/>
      <c r="AM45" s="9" t="str">
        <f>IF(A46=0,A45&amp;" - 1",A45&amp;" - "&amp;A46)</f>
        <v>4 - 1</v>
      </c>
      <c r="AN45" s="18">
        <f>AN44+F44+F45</f>
        <v>25.070000000065193</v>
      </c>
      <c r="AO45" s="18">
        <f>AN45*G45</f>
        <v>-3.2591000001252164</v>
      </c>
      <c r="AP45" s="9" t="str">
        <f>D45&amp;","&amp;C45</f>
        <v>461580.76,721256.21</v>
      </c>
    </row>
    <row r="46" spans="1:44" s="46" customFormat="1">
      <c r="A46" s="28"/>
      <c r="B46" s="28"/>
      <c r="F46" s="47"/>
      <c r="G46" s="47"/>
      <c r="H46" s="47"/>
      <c r="I46" s="48"/>
      <c r="J46" s="48"/>
      <c r="K46" s="48"/>
      <c r="L46" s="28"/>
      <c r="M46" s="50"/>
      <c r="N46" s="48"/>
      <c r="O46" s="49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  <c r="AD46" s="28"/>
      <c r="AE46" s="28"/>
      <c r="AF46" s="28"/>
      <c r="AG46" s="28"/>
      <c r="AI46" s="47"/>
      <c r="AJ46" s="47"/>
    </row>
    <row r="47" spans="1:44" s="46" customFormat="1">
      <c r="A47" s="28"/>
      <c r="B47" s="28"/>
      <c r="F47" s="47"/>
      <c r="G47" s="47"/>
      <c r="H47" s="47"/>
      <c r="I47" s="48"/>
      <c r="J47" s="48"/>
      <c r="K47" s="48"/>
      <c r="L47" s="28"/>
      <c r="M47" s="50"/>
      <c r="N47" s="48"/>
      <c r="O47" s="49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  <c r="AD47" s="28"/>
      <c r="AE47" s="28"/>
      <c r="AF47" s="28"/>
      <c r="AG47" s="28"/>
      <c r="AI47" s="47"/>
      <c r="AJ47" s="47"/>
    </row>
  </sheetData>
  <mergeCells count="30">
    <mergeCell ref="A1:AJ1"/>
    <mergeCell ref="C10:D10"/>
    <mergeCell ref="C11:D11"/>
    <mergeCell ref="C12:D12"/>
    <mergeCell ref="A38:A39"/>
    <mergeCell ref="C38:D38"/>
    <mergeCell ref="AJ38:AK38"/>
    <mergeCell ref="C7:D7"/>
    <mergeCell ref="C8:D8"/>
    <mergeCell ref="C9:D9"/>
    <mergeCell ref="C13:D13"/>
    <mergeCell ref="C14:D14"/>
    <mergeCell ref="C15:D15"/>
    <mergeCell ref="C16:D16"/>
    <mergeCell ref="C19:D19"/>
    <mergeCell ref="AP38:AP39"/>
    <mergeCell ref="N39:Q39"/>
    <mergeCell ref="M38:U38"/>
    <mergeCell ref="B34:C34"/>
    <mergeCell ref="B35:C35"/>
    <mergeCell ref="A40:L40"/>
    <mergeCell ref="A28:B28"/>
    <mergeCell ref="A29:B29"/>
    <mergeCell ref="B32:C32"/>
    <mergeCell ref="B33:C33"/>
    <mergeCell ref="AM38:AO38"/>
    <mergeCell ref="R39:U39"/>
    <mergeCell ref="V38:V39"/>
    <mergeCell ref="AA38:AA39"/>
    <mergeCell ref="AB38:AB39"/>
  </mergeCells>
  <phoneticPr fontId="6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3526</vt:lpstr>
      <vt:lpstr>3527</vt:lpstr>
      <vt:lpstr>3528</vt:lpstr>
      <vt:lpstr>3529</vt:lpstr>
      <vt:lpstr>3530</vt:lpstr>
      <vt:lpstr>3531</vt:lpstr>
      <vt:lpstr>3532</vt:lpstr>
      <vt:lpstr>3533</vt:lpstr>
      <vt:lpstr>3534</vt:lpstr>
      <vt:lpstr>3535</vt:lpstr>
      <vt:lpstr>'3526'!Print_Area</vt:lpstr>
    </vt:vector>
  </TitlesOfParts>
  <Company>Mapping Department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Cartography Division</dc:creator>
  <cp:lastModifiedBy>neo DENR</cp:lastModifiedBy>
  <dcterms:created xsi:type="dcterms:W3CDTF">2005-04-12T06:38:40Z</dcterms:created>
  <dcterms:modified xsi:type="dcterms:W3CDTF">2007-05-17T03:04:37Z</dcterms:modified>
</cp:coreProperties>
</file>