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30" yWindow="-45" windowWidth="7620" windowHeight="8385" activeTab="9"/>
  </bookViews>
  <sheets>
    <sheet name="3636" sheetId="2" r:id="rId1"/>
    <sheet name="3637" sheetId="4" r:id="rId2"/>
    <sheet name="3638" sheetId="5" r:id="rId3"/>
    <sheet name="3639" sheetId="6" r:id="rId4"/>
    <sheet name="3640" sheetId="7" r:id="rId5"/>
    <sheet name="3641" sheetId="8" r:id="rId6"/>
    <sheet name="3642" sheetId="9" r:id="rId7"/>
    <sheet name="3643" sheetId="10" r:id="rId8"/>
    <sheet name="3644" sheetId="11" r:id="rId9"/>
    <sheet name="3645" sheetId="3" r:id="rId10"/>
  </sheets>
  <definedNames>
    <definedName name="_xlnm.Print_Area" localSheetId="0">'3636'!$A$1:$AJ$43</definedName>
  </definedNames>
  <calcPr calcId="124519"/>
</workbook>
</file>

<file path=xl/calcChain.xml><?xml version="1.0" encoding="utf-8"?>
<calcChain xmlns="http://schemas.openxmlformats.org/spreadsheetml/2006/main">
  <c r="AP45" i="3"/>
  <c r="G45"/>
  <c r="F45"/>
  <c r="N45" s="1"/>
  <c r="O45" s="1"/>
  <c r="A45"/>
  <c r="AM45" s="1"/>
  <c r="AP45" i="11"/>
  <c r="G45"/>
  <c r="F45"/>
  <c r="N45" s="1"/>
  <c r="O45" s="1"/>
  <c r="A45"/>
  <c r="AM45" s="1"/>
  <c r="AP45" i="10"/>
  <c r="G45"/>
  <c r="F45"/>
  <c r="N45" s="1"/>
  <c r="O45" s="1"/>
  <c r="A45"/>
  <c r="AM45" s="1"/>
  <c r="AP45" i="9"/>
  <c r="G45"/>
  <c r="F45"/>
  <c r="N45" s="1"/>
  <c r="O45" s="1"/>
  <c r="A45"/>
  <c r="AM45" s="1"/>
  <c r="AP45" i="8"/>
  <c r="G45"/>
  <c r="F45"/>
  <c r="N45" s="1"/>
  <c r="O45" s="1"/>
  <c r="A45"/>
  <c r="AM45" s="1"/>
  <c r="AP45" i="7"/>
  <c r="G45"/>
  <c r="F45"/>
  <c r="N45" s="1"/>
  <c r="O45" s="1"/>
  <c r="A45"/>
  <c r="AM45" s="1"/>
  <c r="AP45" i="6"/>
  <c r="G45"/>
  <c r="F45"/>
  <c r="N45" s="1"/>
  <c r="O45" s="1"/>
  <c r="A45"/>
  <c r="AM45" s="1"/>
  <c r="AP45" i="5"/>
  <c r="G45"/>
  <c r="F45"/>
  <c r="N45" s="1"/>
  <c r="O45" s="1"/>
  <c r="A45"/>
  <c r="AM45" s="1"/>
  <c r="AP45" i="4"/>
  <c r="G45"/>
  <c r="F45"/>
  <c r="N45" s="1"/>
  <c r="O45" s="1"/>
  <c r="A45"/>
  <c r="AM45" s="1"/>
  <c r="AP45" i="2"/>
  <c r="G45"/>
  <c r="F45"/>
  <c r="N45" s="1"/>
  <c r="O45" s="1"/>
  <c r="A45"/>
  <c r="AM45" s="1"/>
  <c r="AP44"/>
  <c r="AP43"/>
  <c r="AP42"/>
  <c r="AP44" i="11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10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9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8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7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6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5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4" i="4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P43"/>
  <c r="AO43"/>
  <c r="AM43"/>
  <c r="AI43"/>
  <c r="U43"/>
  <c r="N43"/>
  <c r="O43"/>
  <c r="P43"/>
  <c r="Q43"/>
  <c r="S43" s="1"/>
  <c r="AP42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AP43" i="3"/>
  <c r="AP44"/>
  <c r="AP42"/>
  <c r="F42"/>
  <c r="AN42"/>
  <c r="F43"/>
  <c r="AN43"/>
  <c r="F44"/>
  <c r="AN44"/>
  <c r="AN45" s="1"/>
  <c r="AO45" s="1"/>
  <c r="G44"/>
  <c r="AO44"/>
  <c r="A43"/>
  <c r="A44"/>
  <c r="AM44"/>
  <c r="D41"/>
  <c r="AK41"/>
  <c r="C41"/>
  <c r="F41"/>
  <c r="G41"/>
  <c r="M41"/>
  <c r="H41"/>
  <c r="J41"/>
  <c r="L41"/>
  <c r="R41"/>
  <c r="I41"/>
  <c r="K41"/>
  <c r="G42"/>
  <c r="M42"/>
  <c r="H42"/>
  <c r="J42"/>
  <c r="L42"/>
  <c r="R42"/>
  <c r="I42"/>
  <c r="K42"/>
  <c r="G43"/>
  <c r="M43"/>
  <c r="H43"/>
  <c r="J43"/>
  <c r="L43"/>
  <c r="R43"/>
  <c r="I43"/>
  <c r="K43"/>
  <c r="M44"/>
  <c r="H44"/>
  <c r="J44"/>
  <c r="L44"/>
  <c r="R44"/>
  <c r="I44"/>
  <c r="K44"/>
  <c r="AJ41"/>
  <c r="AI44"/>
  <c r="U44"/>
  <c r="N44"/>
  <c r="O44"/>
  <c r="P44"/>
  <c r="Q44"/>
  <c r="S44" s="1"/>
  <c r="AO43"/>
  <c r="AM43"/>
  <c r="AI43"/>
  <c r="U43"/>
  <c r="N43"/>
  <c r="O43"/>
  <c r="P43"/>
  <c r="Q43"/>
  <c r="S43" s="1"/>
  <c r="AO42"/>
  <c r="AM42"/>
  <c r="AI42"/>
  <c r="U42"/>
  <c r="N42"/>
  <c r="O42"/>
  <c r="P42"/>
  <c r="Q42"/>
  <c r="S42" s="1"/>
  <c r="A41"/>
  <c r="AM41"/>
  <c r="AI41"/>
  <c r="U41"/>
  <c r="N41"/>
  <c r="O41"/>
  <c r="P41"/>
  <c r="Q41"/>
  <c r="S41" s="1"/>
  <c r="G44" i="2"/>
  <c r="F44"/>
  <c r="M44" s="1"/>
  <c r="H44"/>
  <c r="J44"/>
  <c r="L44"/>
  <c r="R44" s="1"/>
  <c r="K44"/>
  <c r="I44"/>
  <c r="G43"/>
  <c r="F43"/>
  <c r="M43" s="1"/>
  <c r="H43"/>
  <c r="J43"/>
  <c r="L43"/>
  <c r="R43" s="1"/>
  <c r="K43"/>
  <c r="I43"/>
  <c r="G42"/>
  <c r="F42"/>
  <c r="AN42" s="1"/>
  <c r="H42"/>
  <c r="J42"/>
  <c r="L42"/>
  <c r="R42" s="1"/>
  <c r="K42"/>
  <c r="I42"/>
  <c r="D41"/>
  <c r="G41"/>
  <c r="C41"/>
  <c r="F41"/>
  <c r="N41" s="1"/>
  <c r="O41" s="1"/>
  <c r="H41"/>
  <c r="J41"/>
  <c r="L41"/>
  <c r="U41" s="1"/>
  <c r="K41"/>
  <c r="I41"/>
  <c r="M41"/>
  <c r="AK41"/>
  <c r="AJ41"/>
  <c r="A43"/>
  <c r="A44"/>
  <c r="AI44"/>
  <c r="AM44"/>
  <c r="AM43"/>
  <c r="A41"/>
  <c r="AM42"/>
  <c r="AI42"/>
  <c r="AI43"/>
  <c r="AI41"/>
  <c r="AM41"/>
  <c r="T42" i="3" l="1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11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10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9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8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7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6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5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T42" i="4"/>
  <c r="W42" s="1"/>
  <c r="X42" s="1"/>
  <c r="Y42" s="1"/>
  <c r="T41"/>
  <c r="W41" s="1"/>
  <c r="X41" s="1"/>
  <c r="Y41" s="1"/>
  <c r="T43"/>
  <c r="W43" s="1"/>
  <c r="X43" s="1"/>
  <c r="Y43" s="1"/>
  <c r="T44"/>
  <c r="W44" s="1"/>
  <c r="X44" s="1"/>
  <c r="Y44" s="1"/>
  <c r="C28"/>
  <c r="C29" s="1"/>
  <c r="H45"/>
  <c r="P45"/>
  <c r="Q45" s="1"/>
  <c r="I45"/>
  <c r="J45"/>
  <c r="K45" s="1"/>
  <c r="M45"/>
  <c r="AI45"/>
  <c r="H45" i="2"/>
  <c r="P45"/>
  <c r="Q45" s="1"/>
  <c r="I45"/>
  <c r="J45"/>
  <c r="K45" s="1"/>
  <c r="M45"/>
  <c r="AI45"/>
  <c r="P41"/>
  <c r="Q41"/>
  <c r="AN43"/>
  <c r="AO42"/>
  <c r="R41"/>
  <c r="S41"/>
  <c r="T41"/>
  <c r="U44"/>
  <c r="N44"/>
  <c r="O44" s="1"/>
  <c r="U43"/>
  <c r="N43"/>
  <c r="O43" s="1"/>
  <c r="U42"/>
  <c r="N42"/>
  <c r="O42" s="1"/>
  <c r="M42"/>
  <c r="AB42" i="3" l="1"/>
  <c r="AA42"/>
  <c r="AB44"/>
  <c r="AA44"/>
  <c r="AB43"/>
  <c r="AA43"/>
  <c r="AB41"/>
  <c r="AG41" s="1"/>
  <c r="AK42" s="1"/>
  <c r="AA41"/>
  <c r="AF41" s="1"/>
  <c r="AJ42" s="1"/>
  <c r="M40"/>
  <c r="L45"/>
  <c r="AB42" i="11"/>
  <c r="AA42"/>
  <c r="AB44"/>
  <c r="AA44"/>
  <c r="AB43"/>
  <c r="AA43"/>
  <c r="AB41"/>
  <c r="AG41" s="1"/>
  <c r="AK42" s="1"/>
  <c r="AA41"/>
  <c r="AF41" s="1"/>
  <c r="AJ42" s="1"/>
  <c r="M40"/>
  <c r="L45"/>
  <c r="AB42" i="10"/>
  <c r="AA42"/>
  <c r="AB44"/>
  <c r="AA44"/>
  <c r="AB43"/>
  <c r="AA43"/>
  <c r="AB41"/>
  <c r="AG41" s="1"/>
  <c r="AK42" s="1"/>
  <c r="AA41"/>
  <c r="AF41" s="1"/>
  <c r="AJ42" s="1"/>
  <c r="M40"/>
  <c r="L45"/>
  <c r="AB42" i="9"/>
  <c r="AA42"/>
  <c r="AB44"/>
  <c r="AA44"/>
  <c r="AB43"/>
  <c r="AA43"/>
  <c r="AB41"/>
  <c r="AG41" s="1"/>
  <c r="AK42" s="1"/>
  <c r="AA41"/>
  <c r="AF41" s="1"/>
  <c r="AJ42" s="1"/>
  <c r="M40"/>
  <c r="L45"/>
  <c r="AB42" i="8"/>
  <c r="AA42"/>
  <c r="AB44"/>
  <c r="AA44"/>
  <c r="AB43"/>
  <c r="AA43"/>
  <c r="AB41"/>
  <c r="AG41" s="1"/>
  <c r="AK42" s="1"/>
  <c r="AA41"/>
  <c r="AF41" s="1"/>
  <c r="AJ42" s="1"/>
  <c r="M40"/>
  <c r="L45"/>
  <c r="AB42" i="7"/>
  <c r="AA42"/>
  <c r="AB44"/>
  <c r="AA44"/>
  <c r="AB43"/>
  <c r="AA43"/>
  <c r="AB41"/>
  <c r="AG41" s="1"/>
  <c r="AK42" s="1"/>
  <c r="AA41"/>
  <c r="AF41" s="1"/>
  <c r="AJ42" s="1"/>
  <c r="M40"/>
  <c r="L45"/>
  <c r="AB42" i="6"/>
  <c r="AA42"/>
  <c r="AB44"/>
  <c r="AA44"/>
  <c r="AB43"/>
  <c r="AA43"/>
  <c r="AB41"/>
  <c r="AG41" s="1"/>
  <c r="AK42" s="1"/>
  <c r="AA41"/>
  <c r="AF41" s="1"/>
  <c r="AJ42" s="1"/>
  <c r="M40"/>
  <c r="L45"/>
  <c r="AB42" i="5"/>
  <c r="AA42"/>
  <c r="AB44"/>
  <c r="AA44"/>
  <c r="AB43"/>
  <c r="AA43"/>
  <c r="AB41"/>
  <c r="AG41" s="1"/>
  <c r="AK42" s="1"/>
  <c r="AA41"/>
  <c r="AF41" s="1"/>
  <c r="AJ42" s="1"/>
  <c r="M40"/>
  <c r="L45"/>
  <c r="AB42" i="4"/>
  <c r="AA42"/>
  <c r="AB44"/>
  <c r="AA44"/>
  <c r="AB43"/>
  <c r="AA43"/>
  <c r="AB41"/>
  <c r="AG41" s="1"/>
  <c r="AK42" s="1"/>
  <c r="AA41"/>
  <c r="AF41" s="1"/>
  <c r="AJ42" s="1"/>
  <c r="M40"/>
  <c r="L45"/>
  <c r="W41" i="2"/>
  <c r="L45"/>
  <c r="M40"/>
  <c r="P42"/>
  <c r="Q42"/>
  <c r="P43"/>
  <c r="Q43"/>
  <c r="P44"/>
  <c r="Q44"/>
  <c r="AN44"/>
  <c r="AO43"/>
  <c r="X41"/>
  <c r="Y41" s="1"/>
  <c r="U45" i="3" l="1"/>
  <c r="T45"/>
  <c r="S45"/>
  <c r="W45" s="1"/>
  <c r="R45"/>
  <c r="X45" s="1"/>
  <c r="Y45" s="1"/>
  <c r="U45" i="11"/>
  <c r="T45"/>
  <c r="S45"/>
  <c r="W45" s="1"/>
  <c r="R45"/>
  <c r="X45" s="1"/>
  <c r="Y45" s="1"/>
  <c r="U45" i="10"/>
  <c r="T45"/>
  <c r="S45"/>
  <c r="W45" s="1"/>
  <c r="R45"/>
  <c r="X45" s="1"/>
  <c r="Y45" s="1"/>
  <c r="U45" i="9"/>
  <c r="T45"/>
  <c r="S45"/>
  <c r="W45" s="1"/>
  <c r="R45"/>
  <c r="X45" s="1"/>
  <c r="Y45" s="1"/>
  <c r="U45" i="8"/>
  <c r="T45"/>
  <c r="S45"/>
  <c r="W45" s="1"/>
  <c r="R45"/>
  <c r="X45" s="1"/>
  <c r="Y45" s="1"/>
  <c r="U45" i="7"/>
  <c r="T45"/>
  <c r="S45"/>
  <c r="W45" s="1"/>
  <c r="R45"/>
  <c r="X45" s="1"/>
  <c r="Y45" s="1"/>
  <c r="U45" i="6"/>
  <c r="T45"/>
  <c r="S45"/>
  <c r="W45" s="1"/>
  <c r="R45"/>
  <c r="X45" s="1"/>
  <c r="Y45" s="1"/>
  <c r="U45" i="5"/>
  <c r="T45"/>
  <c r="S45"/>
  <c r="W45" s="1"/>
  <c r="R45"/>
  <c r="X45" s="1"/>
  <c r="Y45" s="1"/>
  <c r="U45" i="4"/>
  <c r="T45"/>
  <c r="S45"/>
  <c r="W45" s="1"/>
  <c r="R45"/>
  <c r="X45" s="1"/>
  <c r="Y45" s="1"/>
  <c r="T42" i="2"/>
  <c r="S42"/>
  <c r="W42" s="1"/>
  <c r="X42" s="1"/>
  <c r="Y42" s="1"/>
  <c r="T44"/>
  <c r="S44"/>
  <c r="W44" s="1"/>
  <c r="X44" s="1"/>
  <c r="Y44" s="1"/>
  <c r="T43"/>
  <c r="S43"/>
  <c r="W43" s="1"/>
  <c r="X43" s="1"/>
  <c r="Y43" s="1"/>
  <c r="AO44"/>
  <c r="AN45"/>
  <c r="AO45" s="1"/>
  <c r="U45"/>
  <c r="T45"/>
  <c r="S45"/>
  <c r="W45" s="1"/>
  <c r="R45"/>
  <c r="X45" s="1"/>
  <c r="Y45" s="1"/>
  <c r="AB41"/>
  <c r="AG41" s="1"/>
  <c r="AK42" s="1"/>
  <c r="AA41"/>
  <c r="AF41" s="1"/>
  <c r="AJ42" s="1"/>
  <c r="AB45" i="3" l="1"/>
  <c r="AA45"/>
  <c r="AB45" i="11"/>
  <c r="AA45"/>
  <c r="AB45" i="10"/>
  <c r="AA45"/>
  <c r="AB45" i="9"/>
  <c r="AA45"/>
  <c r="AB45" i="8"/>
  <c r="AA45"/>
  <c r="AB45" i="7"/>
  <c r="AA45"/>
  <c r="AB45" i="6"/>
  <c r="AA45"/>
  <c r="AB45" i="5"/>
  <c r="AA45"/>
  <c r="AB45" i="4"/>
  <c r="AA45"/>
  <c r="AB42" i="2"/>
  <c r="AA42"/>
  <c r="AB43"/>
  <c r="AA43"/>
  <c r="AB44"/>
  <c r="AA44"/>
  <c r="AB45"/>
  <c r="AA45"/>
  <c r="C28"/>
  <c r="C29" s="1"/>
  <c r="AA40" i="3" l="1"/>
  <c r="AB40"/>
  <c r="AA40" i="11"/>
  <c r="AB40"/>
  <c r="AA40" i="10"/>
  <c r="AB40"/>
  <c r="AA40" i="9"/>
  <c r="AB40"/>
  <c r="AA40" i="8"/>
  <c r="AB40"/>
  <c r="AA40" i="7"/>
  <c r="AB40"/>
  <c r="AA40" i="6"/>
  <c r="AB40"/>
  <c r="AA40" i="5"/>
  <c r="AB40"/>
  <c r="AA40" i="4"/>
  <c r="AB40"/>
  <c r="AA40" i="2"/>
  <c r="AB40"/>
  <c r="AE45" i="3" l="1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11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10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9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8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7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6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5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4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E45" i="2"/>
  <c r="AG45" s="1"/>
  <c r="AE42"/>
  <c r="AE43"/>
  <c r="AG43" s="1"/>
  <c r="AE44"/>
  <c r="AG44" s="1"/>
  <c r="AD45"/>
  <c r="AF45" s="1"/>
  <c r="AD42"/>
  <c r="AD43"/>
  <c r="AF43" s="1"/>
  <c r="AD44"/>
  <c r="AF44" s="1"/>
  <c r="B32"/>
  <c r="B33" s="1"/>
  <c r="B35" s="1"/>
  <c r="B34" s="1"/>
  <c r="AF42" i="3" l="1"/>
  <c r="AD40"/>
  <c r="AG42"/>
  <c r="AE40"/>
  <c r="AF42" i="11"/>
  <c r="AD40"/>
  <c r="AG42"/>
  <c r="AE40"/>
  <c r="AF42" i="10"/>
  <c r="AD40"/>
  <c r="AG42"/>
  <c r="AE40"/>
  <c r="AF42" i="9"/>
  <c r="AD40"/>
  <c r="AG42"/>
  <c r="AE40"/>
  <c r="AF42" i="8"/>
  <c r="AD40"/>
  <c r="AG42"/>
  <c r="AE40"/>
  <c r="AF42" i="7"/>
  <c r="AD40"/>
  <c r="AG42"/>
  <c r="AE40"/>
  <c r="AF42" i="6"/>
  <c r="AD40"/>
  <c r="AG42"/>
  <c r="AE40"/>
  <c r="AF42" i="5"/>
  <c r="AD40"/>
  <c r="AG42"/>
  <c r="AE40"/>
  <c r="AF42" i="4"/>
  <c r="AD40"/>
  <c r="AG42"/>
  <c r="AE40"/>
  <c r="AD40" i="2"/>
  <c r="AF42"/>
  <c r="AE40"/>
  <c r="AG42"/>
  <c r="AK43" i="3" l="1"/>
  <c r="AK44" s="1"/>
  <c r="AG40"/>
  <c r="AJ43"/>
  <c r="AJ44" s="1"/>
  <c r="AF40"/>
  <c r="AK43" i="11"/>
  <c r="AK44" s="1"/>
  <c r="AG40"/>
  <c r="AJ43"/>
  <c r="AJ44" s="1"/>
  <c r="AF40"/>
  <c r="AK43" i="10"/>
  <c r="AK44" s="1"/>
  <c r="AG40"/>
  <c r="AJ43"/>
  <c r="AJ44" s="1"/>
  <c r="AF40"/>
  <c r="AK43" i="9"/>
  <c r="AK44" s="1"/>
  <c r="AG40"/>
  <c r="AJ43"/>
  <c r="AJ44" s="1"/>
  <c r="AF40"/>
  <c r="AK43" i="8"/>
  <c r="AK44" s="1"/>
  <c r="AG40"/>
  <c r="AJ43"/>
  <c r="AJ44" s="1"/>
  <c r="AF40"/>
  <c r="AK43" i="7"/>
  <c r="AK44" s="1"/>
  <c r="AG40"/>
  <c r="AJ43"/>
  <c r="AJ44" s="1"/>
  <c r="AF40"/>
  <c r="AK43" i="6"/>
  <c r="AK44" s="1"/>
  <c r="AG40"/>
  <c r="AJ43"/>
  <c r="AJ44" s="1"/>
  <c r="AF40"/>
  <c r="AK43" i="5"/>
  <c r="AK44" s="1"/>
  <c r="AG40"/>
  <c r="AJ43"/>
  <c r="AJ44" s="1"/>
  <c r="AF40"/>
  <c r="AK43" i="4"/>
  <c r="AK44" s="1"/>
  <c r="AG40"/>
  <c r="AJ43"/>
  <c r="AJ44" s="1"/>
  <c r="AF40"/>
  <c r="AG40" i="2"/>
  <c r="AK43"/>
  <c r="AK44" s="1"/>
  <c r="AF40"/>
  <c r="AJ43"/>
  <c r="AJ44" s="1"/>
  <c r="AJ45" i="3" l="1"/>
  <c r="AJ40"/>
  <c r="AK45"/>
  <c r="AK40"/>
  <c r="AJ45" i="11"/>
  <c r="AJ40"/>
  <c r="AK45"/>
  <c r="AK40"/>
  <c r="AJ45" i="10"/>
  <c r="AJ40"/>
  <c r="AK45"/>
  <c r="AK40"/>
  <c r="AJ45" i="9"/>
  <c r="AJ40"/>
  <c r="AK45"/>
  <c r="AK40"/>
  <c r="AJ45" i="8"/>
  <c r="AJ40"/>
  <c r="AK45"/>
  <c r="AK40"/>
  <c r="AJ45" i="7"/>
  <c r="AJ40"/>
  <c r="AK45"/>
  <c r="AK40"/>
  <c r="AJ45" i="6"/>
  <c r="AJ40"/>
  <c r="AK45"/>
  <c r="AK40"/>
  <c r="AJ45" i="5"/>
  <c r="AJ40"/>
  <c r="AK45"/>
  <c r="AK40"/>
  <c r="AJ45" i="4"/>
  <c r="AJ40"/>
  <c r="AK45"/>
  <c r="AK40"/>
  <c r="AJ40" i="2"/>
  <c r="AJ45"/>
  <c r="AK40"/>
  <c r="AK45"/>
</calcChain>
</file>

<file path=xl/sharedStrings.xml><?xml version="1.0" encoding="utf-8"?>
<sst xmlns="http://schemas.openxmlformats.org/spreadsheetml/2006/main" count="930" uniqueCount="97">
  <si>
    <t>Lot No.</t>
  </si>
  <si>
    <t>=</t>
  </si>
  <si>
    <t>Owner</t>
  </si>
  <si>
    <t>Barrio</t>
  </si>
  <si>
    <t>Mun / City</t>
  </si>
  <si>
    <t>Province</t>
  </si>
  <si>
    <t>Island</t>
  </si>
  <si>
    <t>COORDINATES</t>
  </si>
  <si>
    <t>TECHNICAL DESCRIPTION</t>
  </si>
  <si>
    <t>STATIONS</t>
  </si>
  <si>
    <t>NORTHINGS</t>
  </si>
  <si>
    <t>EASTINGS</t>
  </si>
  <si>
    <t>DISTANCES</t>
  </si>
  <si>
    <t>LINE</t>
  </si>
  <si>
    <t>DMD</t>
  </si>
  <si>
    <t>DPA</t>
  </si>
  <si>
    <t>DOUBLE AREA</t>
  </si>
  <si>
    <t>AREA</t>
  </si>
  <si>
    <t>AREA COMPUTATION</t>
  </si>
  <si>
    <t>INSTRUCTIONS:</t>
  </si>
  <si>
    <t>1.  Enter required data in the yellow colored cells.</t>
  </si>
  <si>
    <t>COMPUTATIONS</t>
  </si>
  <si>
    <t>ERROR CHECKING:</t>
  </si>
  <si>
    <t>2.  Compare declared area with computed area for error checking.</t>
  </si>
  <si>
    <t>BEARINGS</t>
  </si>
  <si>
    <t>ERROR CHECK</t>
  </si>
  <si>
    <t>N/S</t>
  </si>
  <si>
    <t>DEG</t>
  </si>
  <si>
    <t>MIN</t>
  </si>
  <si>
    <t>E/W</t>
  </si>
  <si>
    <t>LAT</t>
  </si>
  <si>
    <t>DEP</t>
  </si>
  <si>
    <t>CORR</t>
  </si>
  <si>
    <t>AZIMUTH</t>
  </si>
  <si>
    <t>RAD</t>
  </si>
  <si>
    <t>STA</t>
  </si>
  <si>
    <t>NO</t>
  </si>
  <si>
    <t>ADJ</t>
  </si>
  <si>
    <t>TIE POINT DATA:</t>
  </si>
  <si>
    <t>N</t>
  </si>
  <si>
    <t>E</t>
  </si>
  <si>
    <t>ACCURACY STANDARDS:</t>
  </si>
  <si>
    <t>L.E.C.</t>
  </si>
  <si>
    <t>R.E.C.</t>
  </si>
  <si>
    <t>ACC</t>
  </si>
  <si>
    <t>NO.OF CORNERS:</t>
  </si>
  <si>
    <t>CHANGE IN</t>
  </si>
  <si>
    <t>Cad Survey No.</t>
  </si>
  <si>
    <t>LOT DATA COMPUTATION</t>
  </si>
  <si>
    <t>Geodetic Engr.</t>
  </si>
  <si>
    <t>Date Surveyed</t>
  </si>
  <si>
    <t>CM Quadrangle</t>
  </si>
  <si>
    <t>Declared Area</t>
  </si>
  <si>
    <t>Surv. Sym. &amp; No.</t>
  </si>
  <si>
    <t>L.R.C. No.</t>
  </si>
  <si>
    <t>COORDINATES FROM TD</t>
  </si>
  <si>
    <t>For Plotting</t>
  </si>
  <si>
    <t>3636</t>
  </si>
  <si>
    <t>Huenda, Justa</t>
  </si>
  <si>
    <t>409 C-4</t>
  </si>
  <si>
    <t>6 31 N. 124 39 E.</t>
  </si>
  <si>
    <t>Poblacion</t>
  </si>
  <si>
    <t>Norala</t>
  </si>
  <si>
    <t>South Cotabato</t>
  </si>
  <si>
    <t>Mindanao</t>
  </si>
  <si>
    <t>M.R. Malate</t>
  </si>
  <si>
    <t>July 2, 1970</t>
  </si>
  <si>
    <t>303.50</t>
  </si>
  <si>
    <t>BLLM 1</t>
  </si>
  <si>
    <t>3637</t>
  </si>
  <si>
    <t>Castro, Maria</t>
  </si>
  <si>
    <t>305.54</t>
  </si>
  <si>
    <t>3638</t>
  </si>
  <si>
    <t>Laud, Rotino</t>
  </si>
  <si>
    <t>299.41</t>
  </si>
  <si>
    <t>3639</t>
  </si>
  <si>
    <t>Dangang, Isaac</t>
  </si>
  <si>
    <t>302.45</t>
  </si>
  <si>
    <t>3640</t>
  </si>
  <si>
    <t>Venus, Noe</t>
  </si>
  <si>
    <t>311.49</t>
  </si>
  <si>
    <t>3641</t>
  </si>
  <si>
    <t>Venus, Uldarico</t>
  </si>
  <si>
    <t>307.18</t>
  </si>
  <si>
    <t>3642</t>
  </si>
  <si>
    <t>Hambala, Cirilo</t>
  </si>
  <si>
    <t>300.35</t>
  </si>
  <si>
    <t>3643</t>
  </si>
  <si>
    <t>Diaz, Remedios</t>
  </si>
  <si>
    <t>308.61</t>
  </si>
  <si>
    <t>3644</t>
  </si>
  <si>
    <t>Venus, Suplicio</t>
  </si>
  <si>
    <t>310.48</t>
  </si>
  <si>
    <t>3645</t>
  </si>
  <si>
    <t>Hayana,Asuncion</t>
  </si>
  <si>
    <t xml:space="preserve"> 6 31 N. 124 39 E.</t>
  </si>
  <si>
    <t>310.10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</si>
</sst>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0"/>
  </numFmts>
  <fonts count="8">
    <font>
      <sz val="10"/>
      <name val="Arial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4" fontId="0" fillId="0" borderId="0" xfId="0" applyNumberFormat="1" applyFill="1"/>
    <xf numFmtId="0" fontId="0" fillId="2" borderId="1" xfId="0" applyFill="1" applyBorder="1"/>
    <xf numFmtId="49" fontId="0" fillId="0" borderId="0" xfId="0" applyNumberFormat="1" applyFill="1" applyBorder="1" applyAlignme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4" fontId="3" fillId="0" borderId="0" xfId="0" applyNumberFormat="1" applyFont="1"/>
    <xf numFmtId="4" fontId="3" fillId="0" borderId="0" xfId="0" applyNumberFormat="1" applyFont="1" applyFill="1"/>
    <xf numFmtId="4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4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0" applyFont="1"/>
    <xf numFmtId="0" fontId="3" fillId="5" borderId="1" xfId="0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2" xfId="0" applyFill="1" applyBorder="1"/>
    <xf numFmtId="4" fontId="0" fillId="2" borderId="2" xfId="0" applyNumberFormat="1" applyFill="1" applyBorder="1"/>
    <xf numFmtId="0" fontId="0" fillId="6" borderId="1" xfId="0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4" fontId="3" fillId="5" borderId="2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" fontId="0" fillId="2" borderId="1" xfId="0" applyNumberFormat="1" applyFill="1" applyBorder="1"/>
    <xf numFmtId="2" fontId="3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/>
    <xf numFmtId="2" fontId="3" fillId="6" borderId="4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0" fillId="6" borderId="2" xfId="0" applyNumberFormat="1" applyFill="1" applyBorder="1"/>
    <xf numFmtId="2" fontId="0" fillId="6" borderId="1" xfId="0" applyNumberFormat="1" applyFill="1" applyBorder="1"/>
    <xf numFmtId="2" fontId="3" fillId="6" borderId="7" xfId="0" applyNumberFormat="1" applyFont="1" applyFill="1" applyBorder="1" applyAlignment="1">
      <alignment horizontal="center"/>
    </xf>
    <xf numFmtId="2" fontId="4" fillId="6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" fontId="3" fillId="5" borderId="1" xfId="0" applyNumberFormat="1" applyFont="1" applyFill="1" applyBorder="1"/>
    <xf numFmtId="4" fontId="0" fillId="4" borderId="1" xfId="0" applyNumberFormat="1" applyFill="1" applyBorder="1"/>
    <xf numFmtId="0" fontId="3" fillId="3" borderId="1" xfId="0" applyFont="1" applyFill="1" applyBorder="1"/>
    <xf numFmtId="0" fontId="3" fillId="6" borderId="1" xfId="0" applyFont="1" applyFill="1" applyBorder="1" applyAlignment="1">
      <alignment horizontal="center"/>
    </xf>
    <xf numFmtId="4" fontId="0" fillId="6" borderId="2" xfId="0" applyNumberFormat="1" applyFill="1" applyBorder="1"/>
    <xf numFmtId="4" fontId="0" fillId="6" borderId="1" xfId="0" applyNumberFormat="1" applyFill="1" applyBorder="1"/>
    <xf numFmtId="4" fontId="3" fillId="6" borderId="1" xfId="0" applyNumberFormat="1" applyFont="1" applyFill="1" applyBorder="1" applyAlignment="1">
      <alignment horizontal="center"/>
    </xf>
    <xf numFmtId="164" fontId="0" fillId="6" borderId="2" xfId="0" applyNumberFormat="1" applyFill="1" applyBorder="1"/>
    <xf numFmtId="164" fontId="0" fillId="6" borderId="1" xfId="0" applyNumberFormat="1" applyFill="1" applyBorder="1"/>
    <xf numFmtId="2" fontId="3" fillId="6" borderId="2" xfId="0" applyNumberFormat="1" applyFont="1" applyFill="1" applyBorder="1" applyAlignment="1">
      <alignment horizontal="center" vertical="center"/>
    </xf>
    <xf numFmtId="2" fontId="3" fillId="6" borderId="8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2" fontId="3" fillId="5" borderId="1" xfId="0" applyNumberFormat="1" applyFont="1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2" fontId="7" fillId="5" borderId="1" xfId="0" applyNumberFormat="1" applyFont="1" applyFill="1" applyBorder="1"/>
    <xf numFmtId="2" fontId="7" fillId="5" borderId="2" xfId="0" applyNumberFormat="1" applyFont="1" applyFill="1" applyBorder="1"/>
    <xf numFmtId="1" fontId="7" fillId="5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3" fontId="3" fillId="0" borderId="5" xfId="0" applyNumberFormat="1" applyFont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5" borderId="10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/>
    </xf>
    <xf numFmtId="2" fontId="3" fillId="5" borderId="10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3" fillId="6" borderId="8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47"/>
  <sheetViews>
    <sheetView topLeftCell="A30" workbookViewId="0">
      <selection activeCell="D53" sqref="D53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57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58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67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605.9938000016399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302.99690000081995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1.8851329408860573E-3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37361.644423776575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37000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37000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70.431666628933101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1.8274809362672784E-3</v>
      </c>
      <c r="AB40" s="91">
        <f>SUM(AB42:AB65536)</f>
        <v>-4.6264417471031383E-4</v>
      </c>
      <c r="AC40" s="91"/>
      <c r="AD40" s="91">
        <f>SUM(AD42:AD65536)</f>
        <v>1.8274809362672784E-3</v>
      </c>
      <c r="AE40" s="91">
        <f>SUM(AE42:AE65536)</f>
        <v>-4.6264417471031383E-4</v>
      </c>
      <c r="AF40" s="91">
        <f>SUM(AF42:AF65536)</f>
        <v>0</v>
      </c>
      <c r="AG40" s="91">
        <f>SUM(AG42:AG65536)</f>
        <v>0</v>
      </c>
      <c r="AH40" s="92"/>
      <c r="AI40" s="93">
        <v>1</v>
      </c>
      <c r="AJ40" s="92">
        <f>AJ44+AF44</f>
        <v>720834.97860391496</v>
      </c>
      <c r="AK40" s="92">
        <f>AK44+AG44</f>
        <v>461680.54112201795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378.70999999996275</v>
      </c>
      <c r="G41" s="72">
        <f>IF(D42=0,D41-$D$41,D41-D42)</f>
        <v>769.07999999995809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857.26618415746884</v>
      </c>
      <c r="N41" s="36">
        <f>IF(F41=0,,ATAN(G41/F41))</f>
        <v>1.1132314757240647</v>
      </c>
      <c r="O41" s="36">
        <f>ABS(DEGREES(N41))</f>
        <v>63.783465180109268</v>
      </c>
      <c r="P41" s="37" t="str">
        <f>TEXT(INT(O41),"00")</f>
        <v>63</v>
      </c>
      <c r="Q41" s="38" t="str">
        <f>TEXT((O41-P41)*60,"00")</f>
        <v>47</v>
      </c>
      <c r="R41" s="39" t="str">
        <f>IF(L41="",IF(F41&gt;0,"S","N"),"")</f>
        <v>S</v>
      </c>
      <c r="S41" s="25" t="str">
        <f>IF(L41="",IF(INT(Q41)=60,INT(P41+1),P41),"due")</f>
        <v>63</v>
      </c>
      <c r="T41" s="38" t="str">
        <f>IF(L41="",IF(INT(Q41)=60,"00",Q41),L41)</f>
        <v>47</v>
      </c>
      <c r="U41" s="40" t="str">
        <f>IF(L41="",IF(G41&gt;0,"W","E"),"")</f>
        <v>W</v>
      </c>
      <c r="V41" s="41"/>
      <c r="W41" s="22">
        <f>IF(S41="due",90*(I41+K41),S41+T41/60)</f>
        <v>63.783333333333331</v>
      </c>
      <c r="X41" s="22">
        <f>IF(R41="",W41,IF(R41="N",IF(U41="E",180+W41,180-W41),IF(U41="E",360-W41,W41)))</f>
        <v>63.783333333333331</v>
      </c>
      <c r="Y41" s="22">
        <f>RADIANS(X41)</f>
        <v>1.1132291745637164</v>
      </c>
      <c r="Z41" s="64"/>
      <c r="AA41" s="58">
        <f>-M41*COS(Y41)</f>
        <v>-378.71176977536061</v>
      </c>
      <c r="AB41" s="58">
        <f>-M41*SIN(Y41)</f>
        <v>-769.07912852548634</v>
      </c>
      <c r="AC41" s="64"/>
      <c r="AD41" s="22">
        <v>0</v>
      </c>
      <c r="AE41" s="22">
        <v>0</v>
      </c>
      <c r="AF41" s="22">
        <f t="shared" ref="AF41:AG43" si="0">AA41-AD41</f>
        <v>-378.71176977536061</v>
      </c>
      <c r="AG41" s="22">
        <f t="shared" si="0"/>
        <v>-769.07912852548634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720849.91</v>
      </c>
      <c r="D42" s="60">
        <v>461681.14</v>
      </c>
      <c r="E42" s="79"/>
      <c r="F42" s="72">
        <f>IF(C43=0,C42-$C$42,C42-C43)</f>
        <v>0.16000000003259629</v>
      </c>
      <c r="G42" s="72">
        <f>IF(D43=0,D42-$D$42,D42-D43)</f>
        <v>-20.179999999993015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20.180634281402767</v>
      </c>
      <c r="N42" s="36">
        <f>IF(F42=0,,ATAN(G42/F42))</f>
        <v>-1.5628678507073757</v>
      </c>
      <c r="O42" s="36">
        <f>ABS(DEGREES(N42))</f>
        <v>89.545731782214659</v>
      </c>
      <c r="P42" s="37" t="str">
        <f>TEXT(INT(O42),"00")</f>
        <v>89</v>
      </c>
      <c r="Q42" s="38" t="str">
        <f>TEXT((O42-P42)*60,"00")</f>
        <v>33</v>
      </c>
      <c r="R42" s="39" t="str">
        <f>IF(L42="",IF(F42&gt;0,"S","N"),"")</f>
        <v>S</v>
      </c>
      <c r="S42" s="25" t="str">
        <f>IF(L42="",IF(INT(Q42)=60,INT(P42+1),P42),"due")</f>
        <v>89</v>
      </c>
      <c r="T42" s="38" t="str">
        <f>IF(L42="",IF(INT(Q42)=60,"00",Q42),L42)</f>
        <v>33</v>
      </c>
      <c r="U42" s="40" t="str">
        <f>IF(L42="",IF(G42&gt;0,"W","E"),"")</f>
        <v>E</v>
      </c>
      <c r="V42" s="44"/>
      <c r="W42" s="22">
        <f>IF(S42="due",90*(I42+K42),S42+T42/60)</f>
        <v>89.55</v>
      </c>
      <c r="X42" s="22">
        <f>IF(R42="",W42,IF(R42="N",IF(U42="E",180+W42,180-W42),IF(U42="E",360-W42,W42)))</f>
        <v>270.45</v>
      </c>
      <c r="Y42" s="22">
        <f>RADIANS(X42)</f>
        <v>4.7202429620186637</v>
      </c>
      <c r="Z42" s="64"/>
      <c r="AA42" s="58">
        <f>-M42*COS(Y42)</f>
        <v>-0.15849670151745401</v>
      </c>
      <c r="AB42" s="58">
        <f>-M42*SIN(Y42)</f>
        <v>20.18001186311189</v>
      </c>
      <c r="AC42" s="64"/>
      <c r="AD42" s="82">
        <f>$AA$40/$M$40*M42</f>
        <v>5.2362419059803127E-4</v>
      </c>
      <c r="AE42" s="82">
        <f>$AB$40/$M$40*M42</f>
        <v>-1.3256044247027466E-4</v>
      </c>
      <c r="AF42" s="22">
        <f t="shared" si="0"/>
        <v>-0.15902032570805205</v>
      </c>
      <c r="AG42" s="22">
        <f t="shared" si="0"/>
        <v>20.18014442355436</v>
      </c>
      <c r="AH42" s="63"/>
      <c r="AI42" s="38">
        <f>A42</f>
        <v>1</v>
      </c>
      <c r="AJ42" s="82">
        <f t="shared" ref="AJ42:AK44" si="1">AJ41+AF41</f>
        <v>720849.90823022462</v>
      </c>
      <c r="AK42" s="82">
        <f t="shared" si="1"/>
        <v>461681.14087147446</v>
      </c>
      <c r="AL42" s="66"/>
      <c r="AM42" s="9" t="str">
        <f>IF(A43=0,A42&amp;" - 1",A42&amp;" - "&amp;A43)</f>
        <v>1 - 2</v>
      </c>
      <c r="AN42" s="18">
        <f>F42</f>
        <v>0.16000000003259629</v>
      </c>
      <c r="AO42" s="18">
        <f>AN42*G42</f>
        <v>-3.2288000006566757</v>
      </c>
      <c r="AP42" s="9" t="str">
        <f>D42&amp;","&amp;C42</f>
        <v>461681.14,720849.91</v>
      </c>
    </row>
    <row r="43" spans="1:44">
      <c r="A43" s="20">
        <f>A42+1</f>
        <v>2</v>
      </c>
      <c r="B43" s="44"/>
      <c r="C43" s="60">
        <v>720849.75</v>
      </c>
      <c r="D43" s="60">
        <v>461701.32</v>
      </c>
      <c r="E43" s="79"/>
      <c r="F43" s="72">
        <f>IF(C44=0,C43-$C$42,C43-C44)</f>
        <v>15</v>
      </c>
      <c r="G43" s="72">
        <f>IF(D44=0,D43-$D$42,D43-D44)</f>
        <v>0.47999999998137355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15.007678034925394</v>
      </c>
      <c r="N43" s="36">
        <f>IF(F43=0,,ATAN(G43/F43))</f>
        <v>3.1989084038074614E-2</v>
      </c>
      <c r="O43" s="36">
        <f>ABS(DEGREES(N43))</f>
        <v>1.8328395058709841</v>
      </c>
      <c r="P43" s="37" t="str">
        <f>TEXT(INT(O43),"00")</f>
        <v>01</v>
      </c>
      <c r="Q43" s="38" t="str">
        <f>TEXT((O43-P43)*60,"00")</f>
        <v>50</v>
      </c>
      <c r="R43" s="39" t="str">
        <f>IF(L43="",IF(F43&gt;0,"S","N"),"")</f>
        <v>S</v>
      </c>
      <c r="S43" s="25" t="str">
        <f>IF(L43="",IF(INT(Q43)=60,INT(P43+1),P43),"due")</f>
        <v>01</v>
      </c>
      <c r="T43" s="38" t="str">
        <f>IF(L43="",IF(INT(Q43)=60,"00",Q43),L43)</f>
        <v>50</v>
      </c>
      <c r="U43" s="40" t="str">
        <f>IF(L43="",IF(G43&gt;0,"W","E"),"")</f>
        <v>W</v>
      </c>
      <c r="V43" s="44"/>
      <c r="W43" s="22">
        <f>IF(S43="due",90*(I43+K43),S43+T43/60)</f>
        <v>1.8333333333333335</v>
      </c>
      <c r="X43" s="22">
        <f>IF(R43="",W43,IF(R43="N",IF(U43="E",180+W43,180-W43),IF(U43="E",360-W43,W43)))</f>
        <v>1.8333333333333335</v>
      </c>
      <c r="Y43" s="22">
        <f>RADIANS(X43)</f>
        <v>3.199770295322938E-2</v>
      </c>
      <c r="Z43" s="64"/>
      <c r="AA43" s="58">
        <f>-M43*COS(Y43)</f>
        <v>-14.999995862363585</v>
      </c>
      <c r="AB43" s="58">
        <f>-M43*SIN(Y43)</f>
        <v>-0.48012928369086494</v>
      </c>
      <c r="AC43" s="64"/>
      <c r="AD43" s="82">
        <f>$AA$40/$M$40*M43</f>
        <v>3.8940219391594966E-4</v>
      </c>
      <c r="AE43" s="82">
        <f>$AB$40/$M$40*M43</f>
        <v>-9.8580867827056549E-5</v>
      </c>
      <c r="AF43" s="22">
        <f t="shared" si="0"/>
        <v>-15.000385264557501</v>
      </c>
      <c r="AG43" s="22">
        <f t="shared" si="0"/>
        <v>-0.48003070282303789</v>
      </c>
      <c r="AH43" s="64"/>
      <c r="AI43" s="25">
        <f>A43</f>
        <v>2</v>
      </c>
      <c r="AJ43" s="82">
        <f t="shared" si="1"/>
        <v>720849.74920989887</v>
      </c>
      <c r="AK43" s="82">
        <f t="shared" si="1"/>
        <v>461701.32101589802</v>
      </c>
      <c r="AL43" s="66"/>
      <c r="AM43" s="9" t="str">
        <f>IF(A44=0,A43&amp;" - 1",A43&amp;" - "&amp;A44)</f>
        <v>2 - 3</v>
      </c>
      <c r="AN43" s="18">
        <f>AN42+F42+F43</f>
        <v>15.320000000065193</v>
      </c>
      <c r="AO43" s="18">
        <f>AN43*G43</f>
        <v>7.3535999997459349</v>
      </c>
      <c r="AP43" s="9" t="str">
        <f>D43&amp;","&amp;C43</f>
        <v>461701.32,720849.75</v>
      </c>
    </row>
    <row r="44" spans="1:44" s="46" customFormat="1">
      <c r="A44" s="20">
        <f>A43+1</f>
        <v>3</v>
      </c>
      <c r="B44" s="44"/>
      <c r="C44" s="60">
        <v>720834.75</v>
      </c>
      <c r="D44" s="60">
        <v>461700.84</v>
      </c>
      <c r="E44" s="79"/>
      <c r="F44" s="72">
        <f>IF(C45=0,C44-$C$42,C44-C45)</f>
        <v>-0.22999999998137355</v>
      </c>
      <c r="G44" s="72">
        <f>IF(D45=0,D44-$D$42,D44-D45)</f>
        <v>20.300000000046566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20.301302913898951</v>
      </c>
      <c r="N44" s="22">
        <f>IF(F44=0,,ATAN(G44/F44))</f>
        <v>-1.5594667623102878</v>
      </c>
      <c r="O44" s="22">
        <f>ABS(DEGREES(N44))</f>
        <v>89.350863771310614</v>
      </c>
      <c r="P44" s="24" t="str">
        <f>TEXT(INT(O44),"00")</f>
        <v>89</v>
      </c>
      <c r="Q44" s="25" t="str">
        <f>TEXT((O44-P44)*60,"00")</f>
        <v>21</v>
      </c>
      <c r="R44" s="23" t="str">
        <f>IF(L44="",IF(F44&gt;0,"S","N"),"")</f>
        <v>N</v>
      </c>
      <c r="S44" s="25" t="str">
        <f>IF(L44="",IF(INT(Q44)=60,INT(P44+1),P44),"due")</f>
        <v>89</v>
      </c>
      <c r="T44" s="25" t="str">
        <f>IF(L44="",IF(INT(Q44)=60,"00",Q44),L44)</f>
        <v>21</v>
      </c>
      <c r="U44" s="24" t="str">
        <f>IF(L44="",IF(G44&gt;0,"W","E"),"")</f>
        <v>W</v>
      </c>
      <c r="V44" s="44"/>
      <c r="W44" s="22">
        <f>IF(S44="due",90*(I44+K44),S44+T44/60)</f>
        <v>89.35</v>
      </c>
      <c r="X44" s="22">
        <f>IF(R44="",W44,IF(R44="N",IF(U44="E",180+W44,180-W44),IF(U44="E",360-W44,W44)))</f>
        <v>90.65</v>
      </c>
      <c r="Y44" s="22">
        <f>RADIANS(X44)</f>
        <v>1.5821409669328599</v>
      </c>
      <c r="Z44" s="64"/>
      <c r="AA44" s="58">
        <f>-M44*COS(Y44)</f>
        <v>0.2303060357183202</v>
      </c>
      <c r="AB44" s="58">
        <f>-M44*SIN(Y44)</f>
        <v>-20.299996530339449</v>
      </c>
      <c r="AC44" s="64"/>
      <c r="AD44" s="82">
        <f>$AA$40/$M$40*M44</f>
        <v>5.2675516329890484E-4</v>
      </c>
      <c r="AE44" s="82">
        <f>$AB$40/$M$40*M44</f>
        <v>-1.3335307797879869E-4</v>
      </c>
      <c r="AF44" s="22">
        <f>AA44-AD44</f>
        <v>0.22977928055502131</v>
      </c>
      <c r="AG44" s="22">
        <f>AB44-AE44</f>
        <v>-20.299863177261471</v>
      </c>
      <c r="AH44" s="64"/>
      <c r="AI44" s="25">
        <f>A44</f>
        <v>3</v>
      </c>
      <c r="AJ44" s="82">
        <f t="shared" si="1"/>
        <v>720834.74882463436</v>
      </c>
      <c r="AK44" s="82">
        <f t="shared" si="1"/>
        <v>461700.84098519519</v>
      </c>
      <c r="AL44" s="66"/>
      <c r="AM44" s="9" t="str">
        <f>IF(A45=0,A44&amp;" - 1",A44&amp;" - "&amp;A45)</f>
        <v>3 - 4</v>
      </c>
      <c r="AN44" s="18">
        <f>AN43+F43+F44</f>
        <v>30.090000000083819</v>
      </c>
      <c r="AO44" s="18">
        <f>AN44*G44</f>
        <v>610.82700000310274</v>
      </c>
      <c r="AP44" s="9" t="str">
        <f>D44&amp;","&amp;C44</f>
        <v>461700.84,720834.75</v>
      </c>
    </row>
    <row r="45" spans="1:44" s="46" customFormat="1">
      <c r="A45" s="20">
        <f>A44+1</f>
        <v>4</v>
      </c>
      <c r="B45" s="44"/>
      <c r="C45" s="60">
        <v>720834.98</v>
      </c>
      <c r="D45" s="60">
        <v>461680.54</v>
      </c>
      <c r="E45" s="79"/>
      <c r="F45" s="72">
        <f>IF(C46=0,C45-$C$42,C45-C46)</f>
        <v>-14.930000000051223</v>
      </c>
      <c r="G45" s="72">
        <f>IF(D46=0,D45-$D$42,D45-D46)</f>
        <v>-0.6000000000349246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14.942051398705983</v>
      </c>
      <c r="N45" s="22">
        <f>IF(F45=0,,ATAN(G45/F45))</f>
        <v>4.0165927995307153E-2</v>
      </c>
      <c r="O45" s="22">
        <f>ABS(DEGREES(N45))</f>
        <v>2.3013381543574591</v>
      </c>
      <c r="P45" s="24" t="str">
        <f>TEXT(INT(O45),"00")</f>
        <v>02</v>
      </c>
      <c r="Q45" s="25" t="str">
        <f>TEXT((O45-P45)*60,"00")</f>
        <v>18</v>
      </c>
      <c r="R45" s="23" t="str">
        <f>IF(L45="",IF(F45&gt;0,"S","N"),"")</f>
        <v>N</v>
      </c>
      <c r="S45" s="25" t="str">
        <f>IF(L45="",IF(INT(Q45)=60,INT(P45+1),P45),"due")</f>
        <v>02</v>
      </c>
      <c r="T45" s="25" t="str">
        <f>IF(L45="",IF(INT(Q45)=60,"00",Q45),L45)</f>
        <v>18</v>
      </c>
      <c r="U45" s="24" t="str">
        <f>IF(L45="",IF(G45&gt;0,"W","E"),"")</f>
        <v>E</v>
      </c>
      <c r="V45" s="44"/>
      <c r="W45" s="22">
        <f>IF(S45="due",90*(I45+K45),S45+T45/60)</f>
        <v>2.2999999999999998</v>
      </c>
      <c r="X45" s="22">
        <f>IF(R45="",W45,IF(R45="N",IF(U45="E",180+W45,180-W45),IF(U45="E",360-W45,W45)))</f>
        <v>182.3</v>
      </c>
      <c r="Y45" s="22">
        <f>RADIANS(X45)</f>
        <v>3.1817352263856629</v>
      </c>
      <c r="Z45" s="64"/>
      <c r="AA45" s="58">
        <f>-M45*COS(Y45)</f>
        <v>14.930014009098986</v>
      </c>
      <c r="AB45" s="58">
        <f>-M45*SIN(Y45)</f>
        <v>0.59965130674371314</v>
      </c>
      <c r="AC45" s="64"/>
      <c r="AD45" s="82">
        <f>$AA$40/$M$40*M45</f>
        <v>3.8769938845439249E-4</v>
      </c>
      <c r="AE45" s="82">
        <f>$AB$40/$M$40*M45</f>
        <v>-9.8149786434183886E-5</v>
      </c>
      <c r="AF45" s="22">
        <f>AA45-AD45</f>
        <v>14.929626309710532</v>
      </c>
      <c r="AG45" s="22">
        <f>AB45-AE45</f>
        <v>0.59974945653014733</v>
      </c>
      <c r="AH45" s="64"/>
      <c r="AI45" s="25">
        <f>A45</f>
        <v>4</v>
      </c>
      <c r="AJ45" s="82">
        <f t="shared" ref="AJ45" si="2">AJ44+AF44</f>
        <v>720834.97860391496</v>
      </c>
      <c r="AK45" s="82">
        <f t="shared" ref="AK45" si="3">AK44+AG44</f>
        <v>461680.54112201795</v>
      </c>
      <c r="AL45" s="66"/>
      <c r="AM45" s="9" t="str">
        <f>IF(A46=0,A45&amp;" - 1",A45&amp;" - "&amp;A46)</f>
        <v>4 - 1</v>
      </c>
      <c r="AN45" s="18">
        <f>AN44+F44+F45</f>
        <v>14.930000000051223</v>
      </c>
      <c r="AO45" s="18">
        <f>AN45*G45</f>
        <v>-8.9580000005521576</v>
      </c>
      <c r="AP45" s="9" t="str">
        <f>D45&amp;","&amp;C45</f>
        <v>461680.54,720834.98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C19:D19"/>
    <mergeCell ref="A1:AJ1"/>
    <mergeCell ref="C10:D10"/>
    <mergeCell ref="C11:D11"/>
    <mergeCell ref="C12:D12"/>
    <mergeCell ref="A28:B28"/>
    <mergeCell ref="N39:Q39"/>
    <mergeCell ref="R39:U39"/>
    <mergeCell ref="C7:D7"/>
    <mergeCell ref="C8:D8"/>
    <mergeCell ref="C9:D9"/>
    <mergeCell ref="C13:D13"/>
    <mergeCell ref="C14:D14"/>
    <mergeCell ref="C15:D15"/>
    <mergeCell ref="C16:D16"/>
    <mergeCell ref="A29:B29"/>
    <mergeCell ref="A38:A39"/>
    <mergeCell ref="B35:C35"/>
    <mergeCell ref="B32:C32"/>
    <mergeCell ref="B33:C33"/>
    <mergeCell ref="B34:C34"/>
    <mergeCell ref="AP38:AP39"/>
    <mergeCell ref="A40:L40"/>
    <mergeCell ref="AJ38:AK38"/>
    <mergeCell ref="AA38:AA39"/>
    <mergeCell ref="AB38:AB39"/>
    <mergeCell ref="C38:D38"/>
    <mergeCell ref="AM38:AO38"/>
    <mergeCell ref="M38:U38"/>
    <mergeCell ref="V38:V39"/>
  </mergeCells>
  <phoneticPr fontId="0" type="noConversion"/>
  <printOptions verticalCentered="1"/>
  <pageMargins left="0.75" right="0.75" top="1" bottom="1" header="0.5" footer="0.5"/>
  <pageSetup orientation="landscape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S47"/>
  <sheetViews>
    <sheetView workbookViewId="0">
      <selection activeCell="D17" sqref="D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69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70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71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611.08339999780787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305.54169999890394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1.1392935839964426E-3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62134.834182888604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62000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62000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70.789817927247825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1.0497935247198165E-3</v>
      </c>
      <c r="AB40" s="91">
        <f>SUM(AB42:AB65536)</f>
        <v>4.426323824482381E-4</v>
      </c>
      <c r="AC40" s="91"/>
      <c r="AD40" s="91">
        <f>SUM(AD42:AD65536)</f>
        <v>1.0497935247198165E-3</v>
      </c>
      <c r="AE40" s="91">
        <f>SUM(AE42:AE65536)</f>
        <v>4.4263238244823816E-4</v>
      </c>
      <c r="AF40" s="91">
        <f>SUM(AF42:AF65536)</f>
        <v>1.27675647831893E-15</v>
      </c>
      <c r="AG40" s="91">
        <f>SUM(AG42:AG65536)</f>
        <v>0</v>
      </c>
      <c r="AH40" s="92"/>
      <c r="AI40" s="93">
        <v>1</v>
      </c>
      <c r="AJ40" s="92">
        <f>AJ44+AF44</f>
        <v>720819.87834296015</v>
      </c>
      <c r="AK40" s="92">
        <f>AK44+AG44</f>
        <v>461700.31329211831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408.5899999999674</v>
      </c>
      <c r="G41" s="72">
        <f>IF(D42=0,D41-$D$41,D41-D42)</f>
        <v>770.43999999994412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872.08003170574159</v>
      </c>
      <c r="N41" s="36">
        <f>IF(F41=0,,ATAN(G41/F41))</f>
        <v>1.0831775630003977</v>
      </c>
      <c r="O41" s="36">
        <f>ABS(DEGREES(N41))</f>
        <v>62.061502823188626</v>
      </c>
      <c r="P41" s="37" t="str">
        <f>TEXT(INT(O41),"00")</f>
        <v>62</v>
      </c>
      <c r="Q41" s="38" t="str">
        <f>TEXT((O41-P41)*60,"00")</f>
        <v>04</v>
      </c>
      <c r="R41" s="39" t="str">
        <f>IF(L41="",IF(F41&gt;0,"S","N"),"")</f>
        <v>S</v>
      </c>
      <c r="S41" s="25" t="str">
        <f>IF(L41="",IF(INT(Q41)=60,INT(P41+1),P41),"due")</f>
        <v>62</v>
      </c>
      <c r="T41" s="38" t="str">
        <f>IF(L41="",IF(INT(Q41)=60,"00",Q41),L41)</f>
        <v>04</v>
      </c>
      <c r="U41" s="40" t="str">
        <f>IF(L41="",IF(G41&gt;0,"W","E"),"")</f>
        <v>W</v>
      </c>
      <c r="V41" s="41"/>
      <c r="W41" s="22">
        <f>IF(S41="due",90*(I41+K41),S41+T41/60)</f>
        <v>62.06666666666667</v>
      </c>
      <c r="X41" s="22">
        <f>IF(R41="",W41,IF(R41="N",IF(U41="E",180+W41,180-W41),IF(U41="E",360-W41,W41)))</f>
        <v>62.06666666666667</v>
      </c>
      <c r="Y41" s="22">
        <f>RADIANS(X41)</f>
        <v>1.0832676890711472</v>
      </c>
      <c r="Z41" s="64"/>
      <c r="AA41" s="58">
        <f>-M41*COS(Y41)</f>
        <v>-408.52056161068441</v>
      </c>
      <c r="AB41" s="58">
        <f>-M41*SIN(Y41)</f>
        <v>-770.47682148211197</v>
      </c>
      <c r="AC41" s="64"/>
      <c r="AD41" s="22">
        <v>0</v>
      </c>
      <c r="AE41" s="22">
        <v>0</v>
      </c>
      <c r="AF41" s="22">
        <f t="shared" ref="AF41:AG43" si="0">AA41-AD41</f>
        <v>-408.52056161068441</v>
      </c>
      <c r="AG41" s="22">
        <f t="shared" si="0"/>
        <v>-770.47682148211197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720820.03</v>
      </c>
      <c r="D42" s="60">
        <v>461679.78</v>
      </c>
      <c r="E42" s="79"/>
      <c r="F42" s="72">
        <f>IF(C43=0,C42-$C$42,C42-C43)</f>
        <v>-14.949999999953434</v>
      </c>
      <c r="G42" s="72">
        <f>IF(D43=0,D42-$D$42,D42-D43)</f>
        <v>-0.75999999995110556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14.96930526105114</v>
      </c>
      <c r="N42" s="36">
        <f>IF(F42=0,,ATAN(G42/F42))</f>
        <v>5.079239605923408E-2</v>
      </c>
      <c r="O42" s="36">
        <f>ABS(DEGREES(N42))</f>
        <v>2.9101899255510273</v>
      </c>
      <c r="P42" s="37" t="str">
        <f>TEXT(INT(O42),"00")</f>
        <v>02</v>
      </c>
      <c r="Q42" s="38" t="str">
        <f>TEXT((O42-P42)*60,"00")</f>
        <v>55</v>
      </c>
      <c r="R42" s="39" t="str">
        <f>IF(L42="",IF(F42&gt;0,"S","N"),"")</f>
        <v>N</v>
      </c>
      <c r="S42" s="25" t="str">
        <f>IF(L42="",IF(INT(Q42)=60,INT(P42+1),P42),"due")</f>
        <v>02</v>
      </c>
      <c r="T42" s="38" t="str">
        <f>IF(L42="",IF(INT(Q42)=60,"00",Q42),L42)</f>
        <v>55</v>
      </c>
      <c r="U42" s="40" t="str">
        <f>IF(L42="",IF(G42&gt;0,"W","E"),"")</f>
        <v>E</v>
      </c>
      <c r="V42" s="44"/>
      <c r="W42" s="22">
        <f>IF(S42="due",90*(I42+K42),S42+T42/60)</f>
        <v>2.9166666666666665</v>
      </c>
      <c r="X42" s="22">
        <f>IF(R42="",W42,IF(R42="N",IF(U42="E",180+W42,180-W42),IF(U42="E",360-W42,W42)))</f>
        <v>182.91666666666666</v>
      </c>
      <c r="Y42" s="22">
        <f>RADIANS(X42)</f>
        <v>3.1924980901062945</v>
      </c>
      <c r="Z42" s="64"/>
      <c r="AA42" s="58">
        <f>-M42*COS(Y42)</f>
        <v>14.949913993689465</v>
      </c>
      <c r="AB42" s="58">
        <f>-M42*SIN(Y42)</f>
        <v>0.76168994992795025</v>
      </c>
      <c r="AC42" s="64"/>
      <c r="AD42" s="82">
        <f>$AA$40/$M$40*M42</f>
        <v>2.2199067878315599E-4</v>
      </c>
      <c r="AE42" s="82">
        <f>$AB$40/$M$40*M42</f>
        <v>9.3599608606192294E-5</v>
      </c>
      <c r="AF42" s="22">
        <f t="shared" si="0"/>
        <v>14.949692003010682</v>
      </c>
      <c r="AG42" s="22">
        <f t="shared" si="0"/>
        <v>0.76159635031934403</v>
      </c>
      <c r="AH42" s="63"/>
      <c r="AI42" s="38">
        <f>A42</f>
        <v>1</v>
      </c>
      <c r="AJ42" s="82">
        <f t="shared" ref="AJ42:AK44" si="1">AJ41+AF41</f>
        <v>720820.0994383893</v>
      </c>
      <c r="AK42" s="82">
        <f t="shared" si="1"/>
        <v>461679.74317851785</v>
      </c>
      <c r="AL42" s="66"/>
      <c r="AM42" s="9" t="str">
        <f>IF(A43=0,A42&amp;" - 1",A42&amp;" - "&amp;A43)</f>
        <v>1 - 2</v>
      </c>
      <c r="AN42" s="18">
        <f>F42</f>
        <v>-14.949999999953434</v>
      </c>
      <c r="AO42" s="18">
        <f>AN42*G42</f>
        <v>11.361999999233637</v>
      </c>
      <c r="AP42" s="9" t="str">
        <f>D42&amp;","&amp;C42</f>
        <v>461679.78,720820.03</v>
      </c>
    </row>
    <row r="43" spans="1:44">
      <c r="A43" s="20">
        <f>A42+1</f>
        <v>2</v>
      </c>
      <c r="B43" s="44"/>
      <c r="C43" s="60">
        <v>720834.98</v>
      </c>
      <c r="D43" s="60">
        <v>461680.54</v>
      </c>
      <c r="E43" s="79"/>
      <c r="F43" s="72">
        <f>IF(C44=0,C43-$C$42,C43-C44)</f>
        <v>0.22999999998137355</v>
      </c>
      <c r="G43" s="72">
        <f>IF(D44=0,D43-$D$42,D43-D44)</f>
        <v>-20.300000000046566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20.301302913898951</v>
      </c>
      <c r="N43" s="36">
        <f>IF(F43=0,,ATAN(G43/F43))</f>
        <v>-1.5594667623102878</v>
      </c>
      <c r="O43" s="36">
        <f>ABS(DEGREES(N43))</f>
        <v>89.350863771310614</v>
      </c>
      <c r="P43" s="37" t="str">
        <f>TEXT(INT(O43),"00")</f>
        <v>89</v>
      </c>
      <c r="Q43" s="38" t="str">
        <f>TEXT((O43-P43)*60,"00")</f>
        <v>21</v>
      </c>
      <c r="R43" s="39" t="str">
        <f>IF(L43="",IF(F43&gt;0,"S","N"),"")</f>
        <v>S</v>
      </c>
      <c r="S43" s="25" t="str">
        <f>IF(L43="",IF(INT(Q43)=60,INT(P43+1),P43),"due")</f>
        <v>89</v>
      </c>
      <c r="T43" s="38" t="str">
        <f>IF(L43="",IF(INT(Q43)=60,"00",Q43),L43)</f>
        <v>21</v>
      </c>
      <c r="U43" s="40" t="str">
        <f>IF(L43="",IF(G43&gt;0,"W","E"),"")</f>
        <v>E</v>
      </c>
      <c r="V43" s="44"/>
      <c r="W43" s="22">
        <f>IF(S43="due",90*(I43+K43),S43+T43/60)</f>
        <v>89.35</v>
      </c>
      <c r="X43" s="22">
        <f>IF(R43="",W43,IF(R43="N",IF(U43="E",180+W43,180-W43),IF(U43="E",360-W43,W43)))</f>
        <v>270.64999999999998</v>
      </c>
      <c r="Y43" s="22">
        <f>RADIANS(X43)</f>
        <v>4.7237336205226521</v>
      </c>
      <c r="Z43" s="64"/>
      <c r="AA43" s="58">
        <f>-M43*COS(Y43)</f>
        <v>-0.23030603571829969</v>
      </c>
      <c r="AB43" s="58">
        <f>-M43*SIN(Y43)</f>
        <v>20.299996530339453</v>
      </c>
      <c r="AC43" s="64"/>
      <c r="AD43" s="82">
        <f>$AA$40/$M$40*M43</f>
        <v>3.0106273707738068E-4</v>
      </c>
      <c r="AE43" s="82">
        <f>$AB$40/$M$40*M43</f>
        <v>1.2693935849386652E-4</v>
      </c>
      <c r="AF43" s="22">
        <f t="shared" si="0"/>
        <v>-0.23060709845537708</v>
      </c>
      <c r="AG43" s="22">
        <f t="shared" si="0"/>
        <v>20.299869590980958</v>
      </c>
      <c r="AH43" s="64"/>
      <c r="AI43" s="25">
        <f>A43</f>
        <v>2</v>
      </c>
      <c r="AJ43" s="82">
        <f t="shared" si="1"/>
        <v>720835.04913039226</v>
      </c>
      <c r="AK43" s="82">
        <f t="shared" si="1"/>
        <v>461680.50477486814</v>
      </c>
      <c r="AL43" s="66"/>
      <c r="AM43" s="9" t="str">
        <f>IF(A44=0,A43&amp;" - 1",A43&amp;" - "&amp;A44)</f>
        <v>2 - 3</v>
      </c>
      <c r="AN43" s="18">
        <f>AN42+F42+F43</f>
        <v>-29.669999999925494</v>
      </c>
      <c r="AO43" s="18">
        <f>AN43*G43</f>
        <v>602.30099999986919</v>
      </c>
      <c r="AP43" s="9" t="str">
        <f>D43&amp;","&amp;C43</f>
        <v>461680.54,720834.98</v>
      </c>
    </row>
    <row r="44" spans="1:44" s="46" customFormat="1">
      <c r="A44" s="20">
        <f>A43+1</f>
        <v>3</v>
      </c>
      <c r="B44" s="44"/>
      <c r="C44" s="60">
        <v>720834.75</v>
      </c>
      <c r="D44" s="60">
        <v>461700.84</v>
      </c>
      <c r="E44" s="79"/>
      <c r="F44" s="72">
        <f>IF(C45=0,C44-$C$42,C44-C45)</f>
        <v>14.939999999944121</v>
      </c>
      <c r="G44" s="72">
        <f>IF(D45=0,D44-$D$42,D44-D45)</f>
        <v>0.49000000004889444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14.948033315402339</v>
      </c>
      <c r="N44" s="22">
        <f>IF(F44=0,,ATAN(G44/F44))</f>
        <v>3.2786105473759604E-2</v>
      </c>
      <c r="O44" s="22">
        <f>ABS(DEGREES(N44))</f>
        <v>1.8785054703171917</v>
      </c>
      <c r="P44" s="24" t="str">
        <f>TEXT(INT(O44),"00")</f>
        <v>01</v>
      </c>
      <c r="Q44" s="25" t="str">
        <f>TEXT((O44-P44)*60,"00")</f>
        <v>53</v>
      </c>
      <c r="R44" s="23" t="str">
        <f>IF(L44="",IF(F44&gt;0,"S","N"),"")</f>
        <v>S</v>
      </c>
      <c r="S44" s="25" t="str">
        <f>IF(L44="",IF(INT(Q44)=60,INT(P44+1),P44),"due")</f>
        <v>01</v>
      </c>
      <c r="T44" s="25" t="str">
        <f>IF(L44="",IF(INT(Q44)=60,"00",Q44),L44)</f>
        <v>53</v>
      </c>
      <c r="U44" s="24" t="str">
        <f>IF(L44="",IF(G44&gt;0,"W","E"),"")</f>
        <v>W</v>
      </c>
      <c r="V44" s="44"/>
      <c r="W44" s="22">
        <f>IF(S44="due",90*(I44+K44),S44+T44/60)</f>
        <v>1.8833333333333333</v>
      </c>
      <c r="X44" s="22">
        <f>IF(R44="",W44,IF(R44="N",IF(U44="E",180+W44,180-W44),IF(U44="E",360-W44,W44)))</f>
        <v>1.8833333333333333</v>
      </c>
      <c r="Y44" s="22">
        <f>RADIANS(X44)</f>
        <v>3.2870367579226539E-2</v>
      </c>
      <c r="Z44" s="64"/>
      <c r="AA44" s="58">
        <f>-M44*COS(Y44)</f>
        <v>-14.939958658474723</v>
      </c>
      <c r="AB44" s="58">
        <f>-M44*SIN(Y44)</f>
        <v>-0.49125887416355102</v>
      </c>
      <c r="AC44" s="64"/>
      <c r="AD44" s="82">
        <f>$AA$40/$M$40*M44</f>
        <v>2.2167522168135565E-4</v>
      </c>
      <c r="AE44" s="82">
        <f>$AB$40/$M$40*M44</f>
        <v>9.3466600042848988E-5</v>
      </c>
      <c r="AF44" s="22">
        <f>AA44-AD44</f>
        <v>-14.940180333696404</v>
      </c>
      <c r="AG44" s="22">
        <f>AB44-AE44</f>
        <v>-0.49135234076359385</v>
      </c>
      <c r="AH44" s="64"/>
      <c r="AI44" s="25">
        <f>A44</f>
        <v>3</v>
      </c>
      <c r="AJ44" s="82">
        <f t="shared" si="1"/>
        <v>720834.81852329383</v>
      </c>
      <c r="AK44" s="82">
        <f t="shared" si="1"/>
        <v>461700.8046444591</v>
      </c>
      <c r="AL44" s="66"/>
      <c r="AM44" s="9" t="str">
        <f>IF(A45=0,A44&amp;" - 1",A44&amp;" - "&amp;A45)</f>
        <v>3 - 4</v>
      </c>
      <c r="AN44" s="18">
        <f>AN43+F43+F44</f>
        <v>-14.5</v>
      </c>
      <c r="AO44" s="18">
        <f>AN44*G44</f>
        <v>-7.1050000007089693</v>
      </c>
      <c r="AP44" s="9" t="str">
        <f>D44&amp;","&amp;C44</f>
        <v>461700.84,720834.75</v>
      </c>
    </row>
    <row r="45" spans="1:44" s="46" customFormat="1">
      <c r="A45" s="20">
        <f>A44+1</f>
        <v>4</v>
      </c>
      <c r="B45" s="44"/>
      <c r="C45" s="60">
        <v>720819.81</v>
      </c>
      <c r="D45" s="60">
        <v>461700.35</v>
      </c>
      <c r="E45" s="79"/>
      <c r="F45" s="72">
        <f>IF(C46=0,C45-$C$42,C45-C46)</f>
        <v>-0.21999999997206032</v>
      </c>
      <c r="G45" s="72">
        <f>IF(D46=0,D45-$D$42,D45-D46)</f>
        <v>20.569999999948777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20.571176436895396</v>
      </c>
      <c r="N45" s="22">
        <f>IF(F45=0,,ATAN(G45/F45))</f>
        <v>-1.56010154739936</v>
      </c>
      <c r="O45" s="22">
        <f>ABS(DEGREES(N45))</f>
        <v>89.387234277812283</v>
      </c>
      <c r="P45" s="24" t="str">
        <f>TEXT(INT(O45),"00")</f>
        <v>89</v>
      </c>
      <c r="Q45" s="25" t="str">
        <f>TEXT((O45-P45)*60,"00")</f>
        <v>23</v>
      </c>
      <c r="R45" s="23" t="str">
        <f>IF(L45="",IF(F45&gt;0,"S","N"),"")</f>
        <v>N</v>
      </c>
      <c r="S45" s="25" t="str">
        <f>IF(L45="",IF(INT(Q45)=60,INT(P45+1),P45),"due")</f>
        <v>89</v>
      </c>
      <c r="T45" s="25" t="str">
        <f>IF(L45="",IF(INT(Q45)=60,"00",Q45),L45)</f>
        <v>23</v>
      </c>
      <c r="U45" s="24" t="str">
        <f>IF(L45="",IF(G45&gt;0,"W","E"),"")</f>
        <v>W</v>
      </c>
      <c r="V45" s="44"/>
      <c r="W45" s="22">
        <f>IF(S45="due",90*(I45+K45),S45+T45/60)</f>
        <v>89.38333333333334</v>
      </c>
      <c r="X45" s="22">
        <f>IF(R45="",W45,IF(R45="N",IF(U45="E",180+W45,180-W45),IF(U45="E",360-W45,W45)))</f>
        <v>90.61666666666666</v>
      </c>
      <c r="Y45" s="22">
        <f>RADIANS(X45)</f>
        <v>1.5815591905155282</v>
      </c>
      <c r="Z45" s="64"/>
      <c r="AA45" s="58">
        <f>-M45*COS(Y45)</f>
        <v>0.22140049402827702</v>
      </c>
      <c r="AB45" s="58">
        <f>-M45*SIN(Y45)</f>
        <v>-20.569984973721404</v>
      </c>
      <c r="AC45" s="64"/>
      <c r="AD45" s="82">
        <f>$AA$40/$M$40*M45</f>
        <v>3.0506488717792419E-4</v>
      </c>
      <c r="AE45" s="82">
        <f>$AB$40/$M$40*M45</f>
        <v>1.2862681530533031E-4</v>
      </c>
      <c r="AF45" s="22">
        <f>AA45-AD45</f>
        <v>0.22109542914109909</v>
      </c>
      <c r="AG45" s="22">
        <f>AB45-AE45</f>
        <v>-20.570113600536708</v>
      </c>
      <c r="AH45" s="64"/>
      <c r="AI45" s="25">
        <f>A45</f>
        <v>4</v>
      </c>
      <c r="AJ45" s="82">
        <f t="shared" ref="AJ45" si="2">AJ44+AF44</f>
        <v>720819.87834296015</v>
      </c>
      <c r="AK45" s="82">
        <f t="shared" ref="AK45" si="3">AK44+AG44</f>
        <v>461700.31329211831</v>
      </c>
      <c r="AL45" s="66"/>
      <c r="AM45" s="9" t="str">
        <f>IF(A46=0,A45&amp;" - 1",A45&amp;" - "&amp;A46)</f>
        <v>4 - 1</v>
      </c>
      <c r="AN45" s="18">
        <f>AN44+F44+F45</f>
        <v>0.21999999997206032</v>
      </c>
      <c r="AO45" s="18">
        <f>AN45*G45</f>
        <v>4.5253999994140122</v>
      </c>
      <c r="AP45" s="9" t="str">
        <f>D45&amp;","&amp;C45</f>
        <v>461700.35,720819.81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S47"/>
  <sheetViews>
    <sheetView workbookViewId="0">
      <selection activeCell="D17" sqref="D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72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73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74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598.81239999976651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299.40619999988326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1.2049805311270501E-3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58048.313569361162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58000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58000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69.947087715838364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1.2041998423431011E-3</v>
      </c>
      <c r="AB40" s="91">
        <f>SUM(AB42:AB65536)</f>
        <v>4.3368422799061612E-5</v>
      </c>
      <c r="AC40" s="91"/>
      <c r="AD40" s="91">
        <f>SUM(AD42:AD65536)</f>
        <v>1.2041998423431011E-3</v>
      </c>
      <c r="AE40" s="91">
        <f>SUM(AE42:AE65536)</f>
        <v>4.3368422799061605E-5</v>
      </c>
      <c r="AF40" s="91">
        <f>SUM(AF42:AF65536)</f>
        <v>0</v>
      </c>
      <c r="AG40" s="91">
        <f>SUM(AG42:AG65536)</f>
        <v>0</v>
      </c>
      <c r="AH40" s="92"/>
      <c r="AI40" s="93">
        <v>1</v>
      </c>
      <c r="AJ40" s="92">
        <f>AJ44+AF44</f>
        <v>720835.04961009254</v>
      </c>
      <c r="AK40" s="92">
        <f>AK44+AG44</f>
        <v>461680.50487774902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408.5899999999674</v>
      </c>
      <c r="G41" s="72">
        <f>IF(D42=0,D41-$D$41,D41-D42)</f>
        <v>770.43999999994412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872.08003170574159</v>
      </c>
      <c r="N41" s="36">
        <f>IF(F41=0,,ATAN(G41/F41))</f>
        <v>1.0831775630003977</v>
      </c>
      <c r="O41" s="36">
        <f>ABS(DEGREES(N41))</f>
        <v>62.061502823188626</v>
      </c>
      <c r="P41" s="37" t="str">
        <f>TEXT(INT(O41),"00")</f>
        <v>62</v>
      </c>
      <c r="Q41" s="38" t="str">
        <f>TEXT((O41-P41)*60,"00")</f>
        <v>04</v>
      </c>
      <c r="R41" s="39" t="str">
        <f>IF(L41="",IF(F41&gt;0,"S","N"),"")</f>
        <v>S</v>
      </c>
      <c r="S41" s="25" t="str">
        <f>IF(L41="",IF(INT(Q41)=60,INT(P41+1),P41),"due")</f>
        <v>62</v>
      </c>
      <c r="T41" s="38" t="str">
        <f>IF(L41="",IF(INT(Q41)=60,"00",Q41),L41)</f>
        <v>04</v>
      </c>
      <c r="U41" s="40" t="str">
        <f>IF(L41="",IF(G41&gt;0,"W","E"),"")</f>
        <v>W</v>
      </c>
      <c r="V41" s="41"/>
      <c r="W41" s="22">
        <f>IF(S41="due",90*(I41+K41),S41+T41/60)</f>
        <v>62.06666666666667</v>
      </c>
      <c r="X41" s="22">
        <f>IF(R41="",W41,IF(R41="N",IF(U41="E",180+W41,180-W41),IF(U41="E",360-W41,W41)))</f>
        <v>62.06666666666667</v>
      </c>
      <c r="Y41" s="22">
        <f>RADIANS(X41)</f>
        <v>1.0832676890711472</v>
      </c>
      <c r="Z41" s="64"/>
      <c r="AA41" s="58">
        <f>-M41*COS(Y41)</f>
        <v>-408.52056161068441</v>
      </c>
      <c r="AB41" s="58">
        <f>-M41*SIN(Y41)</f>
        <v>-770.47682148211197</v>
      </c>
      <c r="AC41" s="64"/>
      <c r="AD41" s="22">
        <v>0</v>
      </c>
      <c r="AE41" s="22">
        <v>0</v>
      </c>
      <c r="AF41" s="22">
        <f t="shared" ref="AF41:AG43" si="0">AA41-AD41</f>
        <v>-408.52056161068441</v>
      </c>
      <c r="AG41" s="22">
        <f t="shared" si="0"/>
        <v>-770.47682148211197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720820.03</v>
      </c>
      <c r="D42" s="60">
        <v>461679.78</v>
      </c>
      <c r="E42" s="79"/>
      <c r="F42" s="72">
        <f>IF(C43=0,C42-$C$42,C42-C43)</f>
        <v>4.0000000037252903E-2</v>
      </c>
      <c r="G42" s="72">
        <f>IF(D43=0,D42-$D$42,D42-D43)</f>
        <v>19.820000000006985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19.820040363235385</v>
      </c>
      <c r="N42" s="36">
        <f>IF(F42=0,,ATAN(G42/F42))</f>
        <v>1.5687781660617524</v>
      </c>
      <c r="O42" s="36">
        <f>ABS(DEGREES(N42))</f>
        <v>89.884367907611804</v>
      </c>
      <c r="P42" s="37" t="str">
        <f>TEXT(INT(O42),"00")</f>
        <v>89</v>
      </c>
      <c r="Q42" s="38" t="str">
        <f>TEXT((O42-P42)*60,"00")</f>
        <v>53</v>
      </c>
      <c r="R42" s="39" t="str">
        <f>IF(L42="",IF(F42&gt;0,"S","N"),"")</f>
        <v>S</v>
      </c>
      <c r="S42" s="25" t="str">
        <f>IF(L42="",IF(INT(Q42)=60,INT(P42+1),P42),"due")</f>
        <v>89</v>
      </c>
      <c r="T42" s="38" t="str">
        <f>IF(L42="",IF(INT(Q42)=60,"00",Q42),L42)</f>
        <v>53</v>
      </c>
      <c r="U42" s="40" t="str">
        <f>IF(L42="",IF(G42&gt;0,"W","E"),"")</f>
        <v>W</v>
      </c>
      <c r="V42" s="44"/>
      <c r="W42" s="22">
        <f>IF(S42="due",90*(I42+K42),S42+T42/60)</f>
        <v>89.88333333333334</v>
      </c>
      <c r="X42" s="22">
        <f>IF(R42="",W42,IF(R42="N",IF(U42="E",180+W42,180-W42),IF(U42="E",360-W42,W42)))</f>
        <v>89.88333333333334</v>
      </c>
      <c r="Y42" s="22">
        <f>RADIANS(X42)</f>
        <v>1.5687601093342367</v>
      </c>
      <c r="Z42" s="64"/>
      <c r="AA42" s="58">
        <f>-M42*COS(Y42)</f>
        <v>-4.035788437007138E-2</v>
      </c>
      <c r="AB42" s="58">
        <f>-M42*SIN(Y42)</f>
        <v>-19.819999274506774</v>
      </c>
      <c r="AC42" s="64"/>
      <c r="AD42" s="82">
        <f>$AA$40/$M$40*M42</f>
        <v>3.4121920240058254E-4</v>
      </c>
      <c r="AE42" s="82">
        <f>$AB$40/$M$40*M42</f>
        <v>1.2288773106026325E-5</v>
      </c>
      <c r="AF42" s="22">
        <f t="shared" si="0"/>
        <v>-4.0699103572471959E-2</v>
      </c>
      <c r="AG42" s="22">
        <f t="shared" si="0"/>
        <v>-19.820011563279881</v>
      </c>
      <c r="AH42" s="63"/>
      <c r="AI42" s="38">
        <f>A42</f>
        <v>1</v>
      </c>
      <c r="AJ42" s="82">
        <f t="shared" ref="AJ42:AK44" si="1">AJ41+AF41</f>
        <v>720820.0994383893</v>
      </c>
      <c r="AK42" s="82">
        <f t="shared" si="1"/>
        <v>461679.74317851785</v>
      </c>
      <c r="AL42" s="66"/>
      <c r="AM42" s="9" t="str">
        <f>IF(A43=0,A42&amp;" - 1",A42&amp;" - "&amp;A43)</f>
        <v>1 - 2</v>
      </c>
      <c r="AN42" s="18">
        <f>F42</f>
        <v>4.0000000037252903E-2</v>
      </c>
      <c r="AO42" s="18">
        <f>AN42*G42</f>
        <v>0.79280000073863188</v>
      </c>
      <c r="AP42" s="9" t="str">
        <f>D42&amp;","&amp;C42</f>
        <v>461679.78,720820.03</v>
      </c>
    </row>
    <row r="43" spans="1:44">
      <c r="A43" s="20">
        <f>A42+1</f>
        <v>2</v>
      </c>
      <c r="B43" s="44"/>
      <c r="C43" s="60">
        <v>720819.99</v>
      </c>
      <c r="D43" s="60">
        <v>461659.96</v>
      </c>
      <c r="E43" s="79"/>
      <c r="F43" s="72">
        <f>IF(C44=0,C43-$C$42,C43-C44)</f>
        <v>-15.050000000046566</v>
      </c>
      <c r="G43" s="72">
        <f>IF(D44=0,D43-$D$42,D43-D44)</f>
        <v>-0.47999999998137355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15.05765253953563</v>
      </c>
      <c r="N43" s="36">
        <f>IF(F43=0,,ATAN(G43/F43))</f>
        <v>3.1882880137510158E-2</v>
      </c>
      <c r="O43" s="36">
        <f>ABS(DEGREES(N43))</f>
        <v>1.8267544706008139</v>
      </c>
      <c r="P43" s="37" t="str">
        <f>TEXT(INT(O43),"00")</f>
        <v>01</v>
      </c>
      <c r="Q43" s="38" t="str">
        <f>TEXT((O43-P43)*60,"00")</f>
        <v>50</v>
      </c>
      <c r="R43" s="39" t="str">
        <f>IF(L43="",IF(F43&gt;0,"S","N"),"")</f>
        <v>N</v>
      </c>
      <c r="S43" s="25" t="str">
        <f>IF(L43="",IF(INT(Q43)=60,INT(P43+1),P43),"due")</f>
        <v>01</v>
      </c>
      <c r="T43" s="38" t="str">
        <f>IF(L43="",IF(INT(Q43)=60,"00",Q43),L43)</f>
        <v>50</v>
      </c>
      <c r="U43" s="40" t="str">
        <f>IF(L43="",IF(G43&gt;0,"W","E"),"")</f>
        <v>E</v>
      </c>
      <c r="V43" s="44"/>
      <c r="W43" s="22">
        <f>IF(S43="due",90*(I43+K43),S43+T43/60)</f>
        <v>1.8333333333333335</v>
      </c>
      <c r="X43" s="22">
        <f>IF(R43="",W43,IF(R43="N",IF(U43="E",180+W43,180-W43),IF(U43="E",360-W43,W43)))</f>
        <v>181.83333333333334</v>
      </c>
      <c r="Y43" s="22">
        <f>RADIANS(X43)</f>
        <v>3.1735903565430226</v>
      </c>
      <c r="Z43" s="64"/>
      <c r="AA43" s="58">
        <f>-M43*COS(Y43)</f>
        <v>15.049944785883447</v>
      </c>
      <c r="AB43" s="58">
        <f>-M43*SIN(Y43)</f>
        <v>0.48172808018992819</v>
      </c>
      <c r="AC43" s="64"/>
      <c r="AD43" s="82">
        <f>$AA$40/$M$40*M43</f>
        <v>2.5923056136131615E-4</v>
      </c>
      <c r="AE43" s="82">
        <f>$AB$40/$M$40*M43</f>
        <v>9.3360090179719924E-6</v>
      </c>
      <c r="AF43" s="22">
        <f t="shared" si="0"/>
        <v>15.049685555322085</v>
      </c>
      <c r="AG43" s="22">
        <f t="shared" si="0"/>
        <v>0.48171874418091021</v>
      </c>
      <c r="AH43" s="64"/>
      <c r="AI43" s="25">
        <f>A43</f>
        <v>2</v>
      </c>
      <c r="AJ43" s="82">
        <f t="shared" si="1"/>
        <v>720820.05873928568</v>
      </c>
      <c r="AK43" s="82">
        <f t="shared" si="1"/>
        <v>461659.92316695454</v>
      </c>
      <c r="AL43" s="66"/>
      <c r="AM43" s="9" t="str">
        <f>IF(A44=0,A43&amp;" - 1",A43&amp;" - "&amp;A44)</f>
        <v>2 - 3</v>
      </c>
      <c r="AN43" s="18">
        <f>AN42+F42+F43</f>
        <v>-14.96999999997206</v>
      </c>
      <c r="AO43" s="18">
        <f>AN43*G43</f>
        <v>7.1855999997077511</v>
      </c>
      <c r="AP43" s="9" t="str">
        <f>D43&amp;","&amp;C43</f>
        <v>461659.96,720819.99</v>
      </c>
    </row>
    <row r="44" spans="1:44" s="46" customFormat="1">
      <c r="A44" s="20">
        <f>A43+1</f>
        <v>3</v>
      </c>
      <c r="B44" s="44"/>
      <c r="C44" s="60">
        <v>720835.04</v>
      </c>
      <c r="D44" s="60">
        <v>461660.44</v>
      </c>
      <c r="E44" s="79"/>
      <c r="F44" s="72">
        <f>IF(C45=0,C44-$C$42,C44-C45)</f>
        <v>6.0000000055879354E-2</v>
      </c>
      <c r="G44" s="72">
        <f>IF(D45=0,D44-$D$42,D44-D45)</f>
        <v>-20.099999999976717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20.100089552016197</v>
      </c>
      <c r="N44" s="22">
        <f>IF(F44=0,,ATAN(G44/F44))</f>
        <v>-1.5678112610315389</v>
      </c>
      <c r="O44" s="22">
        <f>ABS(DEGREES(N44))</f>
        <v>89.828968330190605</v>
      </c>
      <c r="P44" s="24" t="str">
        <f>TEXT(INT(O44),"00")</f>
        <v>89</v>
      </c>
      <c r="Q44" s="25" t="str">
        <f>TEXT((O44-P44)*60,"00")</f>
        <v>50</v>
      </c>
      <c r="R44" s="23" t="str">
        <f>IF(L44="",IF(F44&gt;0,"S","N"),"")</f>
        <v>S</v>
      </c>
      <c r="S44" s="25" t="str">
        <f>IF(L44="",IF(INT(Q44)=60,INT(P44+1),P44),"due")</f>
        <v>89</v>
      </c>
      <c r="T44" s="25" t="str">
        <f>IF(L44="",IF(INT(Q44)=60,"00",Q44),L44)</f>
        <v>50</v>
      </c>
      <c r="U44" s="24" t="str">
        <f>IF(L44="",IF(G44&gt;0,"W","E"),"")</f>
        <v>E</v>
      </c>
      <c r="V44" s="44"/>
      <c r="W44" s="22">
        <f>IF(S44="due",90*(I44+K44),S44+T44/60)</f>
        <v>89.833333333333329</v>
      </c>
      <c r="X44" s="22">
        <f>IF(R44="",W44,IF(R44="N",IF(U44="E",180+W44,180-W44),IF(U44="E",360-W44,W44)))</f>
        <v>270.16666666666669</v>
      </c>
      <c r="Y44" s="22">
        <f>RADIANS(X44)</f>
        <v>4.7152978624713473</v>
      </c>
      <c r="Z44" s="64"/>
      <c r="AA44" s="58">
        <f>-M44*COS(Y44)</f>
        <v>-5.8468707981567822E-2</v>
      </c>
      <c r="AB44" s="58">
        <f>-M44*SIN(Y44)</f>
        <v>20.100004512667596</v>
      </c>
      <c r="AC44" s="64"/>
      <c r="AD44" s="82">
        <f>$AA$40/$M$40*M44</f>
        <v>3.4604049232116071E-4</v>
      </c>
      <c r="AE44" s="82">
        <f>$AB$40/$M$40*M44</f>
        <v>1.2462408521312248E-5</v>
      </c>
      <c r="AF44" s="22">
        <f>AA44-AD44</f>
        <v>-5.8814748473888984E-2</v>
      </c>
      <c r="AG44" s="22">
        <f>AB44-AE44</f>
        <v>20.099992050259075</v>
      </c>
      <c r="AH44" s="64"/>
      <c r="AI44" s="25">
        <f>A44</f>
        <v>3</v>
      </c>
      <c r="AJ44" s="82">
        <f t="shared" si="1"/>
        <v>720835.10842484096</v>
      </c>
      <c r="AK44" s="82">
        <f t="shared" si="1"/>
        <v>461660.40488569875</v>
      </c>
      <c r="AL44" s="66"/>
      <c r="AM44" s="9" t="str">
        <f>IF(A45=0,A44&amp;" - 1",A44&amp;" - "&amp;A45)</f>
        <v>3 - 4</v>
      </c>
      <c r="AN44" s="18">
        <f>AN43+F43+F44</f>
        <v>-29.959999999962747</v>
      </c>
      <c r="AO44" s="18">
        <f>AN44*G44</f>
        <v>602.1959999985537</v>
      </c>
      <c r="AP44" s="9" t="str">
        <f>D44&amp;","&amp;C44</f>
        <v>461660.44,720835.04</v>
      </c>
    </row>
    <row r="45" spans="1:44" s="46" customFormat="1">
      <c r="A45" s="20">
        <f>A44+1</f>
        <v>4</v>
      </c>
      <c r="B45" s="44"/>
      <c r="C45" s="60">
        <v>720834.98</v>
      </c>
      <c r="D45" s="60">
        <v>461680.54</v>
      </c>
      <c r="E45" s="79"/>
      <c r="F45" s="72">
        <f>IF(C46=0,C45-$C$42,C45-C46)</f>
        <v>14.949999999953434</v>
      </c>
      <c r="G45" s="72">
        <f>IF(D46=0,D45-$D$42,D45-D46)</f>
        <v>0.75999999995110556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14.96930526105114</v>
      </c>
      <c r="N45" s="22">
        <f>IF(F45=0,,ATAN(G45/F45))</f>
        <v>5.079239605923408E-2</v>
      </c>
      <c r="O45" s="22">
        <f>ABS(DEGREES(N45))</f>
        <v>2.9101899255510273</v>
      </c>
      <c r="P45" s="24" t="str">
        <f>TEXT(INT(O45),"00")</f>
        <v>02</v>
      </c>
      <c r="Q45" s="25" t="str">
        <f>TEXT((O45-P45)*60,"00")</f>
        <v>55</v>
      </c>
      <c r="R45" s="23" t="str">
        <f>IF(L45="",IF(F45&gt;0,"S","N"),"")</f>
        <v>S</v>
      </c>
      <c r="S45" s="25" t="str">
        <f>IF(L45="",IF(INT(Q45)=60,INT(P45+1),P45),"due")</f>
        <v>02</v>
      </c>
      <c r="T45" s="25" t="str">
        <f>IF(L45="",IF(INT(Q45)=60,"00",Q45),L45)</f>
        <v>55</v>
      </c>
      <c r="U45" s="24" t="str">
        <f>IF(L45="",IF(G45&gt;0,"W","E"),"")</f>
        <v>W</v>
      </c>
      <c r="V45" s="44"/>
      <c r="W45" s="22">
        <f>IF(S45="due",90*(I45+K45),S45+T45/60)</f>
        <v>2.9166666666666665</v>
      </c>
      <c r="X45" s="22">
        <f>IF(R45="",W45,IF(R45="N",IF(U45="E",180+W45,180-W45),IF(U45="E",360-W45,W45)))</f>
        <v>2.9166666666666665</v>
      </c>
      <c r="Y45" s="22">
        <f>RADIANS(X45)</f>
        <v>5.0905436516501278E-2</v>
      </c>
      <c r="Z45" s="64"/>
      <c r="AA45" s="58">
        <f>-M45*COS(Y45)</f>
        <v>-14.949913993689465</v>
      </c>
      <c r="AB45" s="58">
        <f>-M45*SIN(Y45)</f>
        <v>-0.76168994992795069</v>
      </c>
      <c r="AC45" s="64"/>
      <c r="AD45" s="82">
        <f>$AA$40/$M$40*M45</f>
        <v>2.5770958626004155E-4</v>
      </c>
      <c r="AE45" s="82">
        <f>$AB$40/$M$40*M45</f>
        <v>9.2812321537510364E-6</v>
      </c>
      <c r="AF45" s="22">
        <f>AA45-AD45</f>
        <v>-14.950171703275725</v>
      </c>
      <c r="AG45" s="22">
        <f>AB45-AE45</f>
        <v>-0.76169923116010441</v>
      </c>
      <c r="AH45" s="64"/>
      <c r="AI45" s="25">
        <f>A45</f>
        <v>4</v>
      </c>
      <c r="AJ45" s="82">
        <f t="shared" ref="AJ45" si="2">AJ44+AF44</f>
        <v>720835.04961009254</v>
      </c>
      <c r="AK45" s="82">
        <f t="shared" ref="AK45" si="3">AK44+AG44</f>
        <v>461680.50487774902</v>
      </c>
      <c r="AL45" s="66"/>
      <c r="AM45" s="9" t="str">
        <f>IF(A46=0,A45&amp;" - 1",A45&amp;" - "&amp;A46)</f>
        <v>4 - 1</v>
      </c>
      <c r="AN45" s="18">
        <f>AN44+F44+F45</f>
        <v>-14.949999999953434</v>
      </c>
      <c r="AO45" s="18">
        <f>AN45*G45</f>
        <v>-11.361999999233637</v>
      </c>
      <c r="AP45" s="9" t="str">
        <f>D45&amp;","&amp;C45</f>
        <v>461680.54,720834.98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S47"/>
  <sheetViews>
    <sheetView workbookViewId="0">
      <selection activeCell="M18" sqref="M18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75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76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77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604.90460000119481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302.4523000005974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2.7287079552034219E-3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25749.072842780351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26000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26000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70.261699905207138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2.7263882393814068E-3</v>
      </c>
      <c r="AB40" s="91">
        <f>SUM(AB42:AB65536)</f>
        <v>1.124912127821176E-4</v>
      </c>
      <c r="AC40" s="91"/>
      <c r="AD40" s="91">
        <f>SUM(AD42:AD65536)</f>
        <v>2.7263882393814072E-3</v>
      </c>
      <c r="AE40" s="91">
        <f>SUM(AE42:AE65536)</f>
        <v>1.124912127821176E-4</v>
      </c>
      <c r="AF40" s="91">
        <f>SUM(AF42:AF65536)</f>
        <v>-3.0531133177191805E-16</v>
      </c>
      <c r="AG40" s="91">
        <f>SUM(AG42:AG65536)</f>
        <v>0</v>
      </c>
      <c r="AH40" s="92"/>
      <c r="AI40" s="93">
        <v>1</v>
      </c>
      <c r="AJ40" s="92">
        <f>AJ44+AF44</f>
        <v>720820.05984958843</v>
      </c>
      <c r="AK40" s="92">
        <f>AK44+AG44</f>
        <v>461659.92321097589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408.5899999999674</v>
      </c>
      <c r="G41" s="72">
        <f>IF(D42=0,D41-$D$41,D41-D42)</f>
        <v>770.43999999994412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872.08003170574159</v>
      </c>
      <c r="N41" s="36">
        <f>IF(F41=0,,ATAN(G41/F41))</f>
        <v>1.0831775630003977</v>
      </c>
      <c r="O41" s="36">
        <f>ABS(DEGREES(N41))</f>
        <v>62.061502823188626</v>
      </c>
      <c r="P41" s="37" t="str">
        <f>TEXT(INT(O41),"00")</f>
        <v>62</v>
      </c>
      <c r="Q41" s="38" t="str">
        <f>TEXT((O41-P41)*60,"00")</f>
        <v>04</v>
      </c>
      <c r="R41" s="39" t="str">
        <f>IF(L41="",IF(F41&gt;0,"S","N"),"")</f>
        <v>S</v>
      </c>
      <c r="S41" s="25" t="str">
        <f>IF(L41="",IF(INT(Q41)=60,INT(P41+1),P41),"due")</f>
        <v>62</v>
      </c>
      <c r="T41" s="38" t="str">
        <f>IF(L41="",IF(INT(Q41)=60,"00",Q41),L41)</f>
        <v>04</v>
      </c>
      <c r="U41" s="40" t="str">
        <f>IF(L41="",IF(G41&gt;0,"W","E"),"")</f>
        <v>W</v>
      </c>
      <c r="V41" s="41"/>
      <c r="W41" s="22">
        <f>IF(S41="due",90*(I41+K41),S41+T41/60)</f>
        <v>62.06666666666667</v>
      </c>
      <c r="X41" s="22">
        <f>IF(R41="",W41,IF(R41="N",IF(U41="E",180+W41,180-W41),IF(U41="E",360-W41,W41)))</f>
        <v>62.06666666666667</v>
      </c>
      <c r="Y41" s="22">
        <f>RADIANS(X41)</f>
        <v>1.0832676890711472</v>
      </c>
      <c r="Z41" s="64"/>
      <c r="AA41" s="58">
        <f>-M41*COS(Y41)</f>
        <v>-408.52056161068441</v>
      </c>
      <c r="AB41" s="58">
        <f>-M41*SIN(Y41)</f>
        <v>-770.47682148211197</v>
      </c>
      <c r="AC41" s="64"/>
      <c r="AD41" s="22">
        <v>0</v>
      </c>
      <c r="AE41" s="22">
        <v>0</v>
      </c>
      <c r="AF41" s="22">
        <f t="shared" ref="AF41:AG43" si="0">AA41-AD41</f>
        <v>-408.52056161068441</v>
      </c>
      <c r="AG41" s="22">
        <f t="shared" si="0"/>
        <v>-770.47682148211197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720820.03</v>
      </c>
      <c r="D42" s="60">
        <v>461679.78</v>
      </c>
      <c r="E42" s="79"/>
      <c r="F42" s="72">
        <f>IF(C43=0,C42-$C$42,C42-C43)</f>
        <v>15.310000000055879</v>
      </c>
      <c r="G42" s="72">
        <f>IF(D43=0,D42-$D$42,D42-D43)</f>
        <v>0.31000000005587935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15.313138150024823</v>
      </c>
      <c r="N42" s="36">
        <f>IF(F42=0,,ATAN(G42/F42))</f>
        <v>2.0245437287078113E-2</v>
      </c>
      <c r="O42" s="36">
        <f>ABS(DEGREES(N42))</f>
        <v>1.1599781109463632</v>
      </c>
      <c r="P42" s="37" t="str">
        <f>TEXT(INT(O42),"00")</f>
        <v>01</v>
      </c>
      <c r="Q42" s="38" t="str">
        <f>TEXT((O42-P42)*60,"00")</f>
        <v>10</v>
      </c>
      <c r="R42" s="39" t="str">
        <f>IF(L42="",IF(F42&gt;0,"S","N"),"")</f>
        <v>S</v>
      </c>
      <c r="S42" s="25" t="str">
        <f>IF(L42="",IF(INT(Q42)=60,INT(P42+1),P42),"due")</f>
        <v>01</v>
      </c>
      <c r="T42" s="38" t="str">
        <f>IF(L42="",IF(INT(Q42)=60,"00",Q42),L42)</f>
        <v>10</v>
      </c>
      <c r="U42" s="40" t="str">
        <f>IF(L42="",IF(G42&gt;0,"W","E"),"")</f>
        <v>W</v>
      </c>
      <c r="V42" s="44"/>
      <c r="W42" s="22">
        <f>IF(S42="due",90*(I42+K42),S42+T42/60)</f>
        <v>1.1666666666666667</v>
      </c>
      <c r="X42" s="22">
        <f>IF(R42="",W42,IF(R42="N",IF(U42="E",180+W42,180-W42),IF(U42="E",360-W42,W42)))</f>
        <v>1.1666666666666667</v>
      </c>
      <c r="Y42" s="22">
        <f>RADIANS(X42)</f>
        <v>2.0362174606600513E-2</v>
      </c>
      <c r="Z42" s="64"/>
      <c r="AA42" s="58">
        <f>-M42*COS(Y42)</f>
        <v>-15.309963707167611</v>
      </c>
      <c r="AB42" s="58">
        <f>-M42*SIN(Y42)</f>
        <v>-0.31178724630143617</v>
      </c>
      <c r="AC42" s="64"/>
      <c r="AD42" s="82">
        <f>$AA$40/$M$40*M42</f>
        <v>5.9420082088216522E-4</v>
      </c>
      <c r="AE42" s="82">
        <f>$AB$40/$M$40*M42</f>
        <v>2.4516820462932501E-5</v>
      </c>
      <c r="AF42" s="22">
        <f t="shared" si="0"/>
        <v>-15.310557907988494</v>
      </c>
      <c r="AG42" s="22">
        <f t="shared" si="0"/>
        <v>-0.31181176312189912</v>
      </c>
      <c r="AH42" s="63"/>
      <c r="AI42" s="38">
        <f>A42</f>
        <v>1</v>
      </c>
      <c r="AJ42" s="82">
        <f t="shared" ref="AJ42:AK44" si="1">AJ41+AF41</f>
        <v>720820.0994383893</v>
      </c>
      <c r="AK42" s="82">
        <f t="shared" si="1"/>
        <v>461679.74317851785</v>
      </c>
      <c r="AL42" s="66"/>
      <c r="AM42" s="9" t="str">
        <f>IF(A43=0,A42&amp;" - 1",A42&amp;" - "&amp;A43)</f>
        <v>1 - 2</v>
      </c>
      <c r="AN42" s="18">
        <f>F42</f>
        <v>15.310000000055879</v>
      </c>
      <c r="AO42" s="18">
        <f>AN42*G42</f>
        <v>4.7461000008728353</v>
      </c>
      <c r="AP42" s="9" t="str">
        <f>D42&amp;","&amp;C42</f>
        <v>461679.78,720820.03</v>
      </c>
    </row>
    <row r="43" spans="1:44">
      <c r="A43" s="20">
        <f>A42+1</f>
        <v>2</v>
      </c>
      <c r="B43" s="44"/>
      <c r="C43" s="60">
        <v>720804.72</v>
      </c>
      <c r="D43" s="60">
        <v>461679.47</v>
      </c>
      <c r="E43" s="79"/>
      <c r="F43" s="72">
        <f>IF(C44=0,C43-$C$42,C43-C44)</f>
        <v>-0.34999999997671694</v>
      </c>
      <c r="G43" s="72">
        <f>IF(D44=0,D43-$D$42,D43-D44)</f>
        <v>20.189999999944121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20.193033452102419</v>
      </c>
      <c r="N43" s="36">
        <f>IF(F43=0,,ATAN(G43/F43))</f>
        <v>-1.5534627484673666</v>
      </c>
      <c r="O43" s="36">
        <f>ABS(DEGREES(N43))</f>
        <v>89.006859117973107</v>
      </c>
      <c r="P43" s="37" t="str">
        <f>TEXT(INT(O43),"00")</f>
        <v>89</v>
      </c>
      <c r="Q43" s="38" t="str">
        <f>TEXT((O43-P43)*60,"00")</f>
        <v>00</v>
      </c>
      <c r="R43" s="39" t="str">
        <f>IF(L43="",IF(F43&gt;0,"S","N"),"")</f>
        <v>N</v>
      </c>
      <c r="S43" s="25" t="str">
        <f>IF(L43="",IF(INT(Q43)=60,INT(P43+1),P43),"due")</f>
        <v>89</v>
      </c>
      <c r="T43" s="38" t="str">
        <f>IF(L43="",IF(INT(Q43)=60,"00",Q43),L43)</f>
        <v>00</v>
      </c>
      <c r="U43" s="40" t="str">
        <f>IF(L43="",IF(G43&gt;0,"W","E"),"")</f>
        <v>W</v>
      </c>
      <c r="V43" s="44"/>
      <c r="W43" s="22">
        <f>IF(S43="due",90*(I43+K43),S43+T43/60)</f>
        <v>89</v>
      </c>
      <c r="X43" s="22">
        <f>IF(R43="",W43,IF(R43="N",IF(U43="E",180+W43,180-W43),IF(U43="E",360-W43,W43)))</f>
        <v>91</v>
      </c>
      <c r="Y43" s="22">
        <f>RADIANS(X43)</f>
        <v>1.5882496193148399</v>
      </c>
      <c r="Z43" s="64"/>
      <c r="AA43" s="58">
        <f>-M43*COS(Y43)</f>
        <v>0.35241702700775285</v>
      </c>
      <c r="AB43" s="58">
        <f>-M43*SIN(Y43)</f>
        <v>-20.18995795530051</v>
      </c>
      <c r="AC43" s="64"/>
      <c r="AD43" s="82">
        <f>$AA$40/$M$40*M43</f>
        <v>7.8355703029563736E-4</v>
      </c>
      <c r="AE43" s="82">
        <f>$AB$40/$M$40*M43</f>
        <v>3.2329687807745832E-5</v>
      </c>
      <c r="AF43" s="22">
        <f t="shared" si="0"/>
        <v>0.3516334699774572</v>
      </c>
      <c r="AG43" s="22">
        <f t="shared" si="0"/>
        <v>-20.189990284988319</v>
      </c>
      <c r="AH43" s="64"/>
      <c r="AI43" s="25">
        <f>A43</f>
        <v>2</v>
      </c>
      <c r="AJ43" s="82">
        <f t="shared" si="1"/>
        <v>720804.78888048127</v>
      </c>
      <c r="AK43" s="82">
        <f t="shared" si="1"/>
        <v>461679.43136675475</v>
      </c>
      <c r="AL43" s="66"/>
      <c r="AM43" s="9" t="str">
        <f>IF(A44=0,A43&amp;" - 1",A43&amp;" - "&amp;A44)</f>
        <v>2 - 3</v>
      </c>
      <c r="AN43" s="18">
        <f>AN42+F42+F43</f>
        <v>30.270000000135042</v>
      </c>
      <c r="AO43" s="18">
        <f>AN43*G43</f>
        <v>611.151300001035</v>
      </c>
      <c r="AP43" s="9" t="str">
        <f>D43&amp;","&amp;C43</f>
        <v>461679.47,720804.72</v>
      </c>
    </row>
    <row r="44" spans="1:44" s="46" customFormat="1">
      <c r="A44" s="20">
        <f>A43+1</f>
        <v>3</v>
      </c>
      <c r="B44" s="44"/>
      <c r="C44" s="60">
        <v>720805.07</v>
      </c>
      <c r="D44" s="60">
        <v>461659.28</v>
      </c>
      <c r="E44" s="79"/>
      <c r="F44" s="72">
        <f>IF(C45=0,C44-$C$42,C44-C45)</f>
        <v>-14.92000000004191</v>
      </c>
      <c r="G44" s="72">
        <f>IF(D45=0,D44-$D$42,D44-D45)</f>
        <v>-0.67999999999301508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14.935487939844521</v>
      </c>
      <c r="N44" s="22">
        <f>IF(F44=0,,ATAN(G44/F44))</f>
        <v>4.5544889538344388E-2</v>
      </c>
      <c r="O44" s="22">
        <f>ABS(DEGREES(N44))</f>
        <v>2.6095299489366699</v>
      </c>
      <c r="P44" s="24" t="str">
        <f>TEXT(INT(O44),"00")</f>
        <v>02</v>
      </c>
      <c r="Q44" s="25" t="str">
        <f>TEXT((O44-P44)*60,"00")</f>
        <v>37</v>
      </c>
      <c r="R44" s="23" t="str">
        <f>IF(L44="",IF(F44&gt;0,"S","N"),"")</f>
        <v>N</v>
      </c>
      <c r="S44" s="25" t="str">
        <f>IF(L44="",IF(INT(Q44)=60,INT(P44+1),P44),"due")</f>
        <v>02</v>
      </c>
      <c r="T44" s="25" t="str">
        <f>IF(L44="",IF(INT(Q44)=60,"00",Q44),L44)</f>
        <v>37</v>
      </c>
      <c r="U44" s="24" t="str">
        <f>IF(L44="",IF(G44&gt;0,"W","E"),"")</f>
        <v>E</v>
      </c>
      <c r="V44" s="44"/>
      <c r="W44" s="22">
        <f>IF(S44="due",90*(I44+K44),S44+T44/60)</f>
        <v>2.6166666666666667</v>
      </c>
      <c r="X44" s="22">
        <f>IF(R44="",W44,IF(R44="N",IF(U44="E",180+W44,180-W44),IF(U44="E",360-W44,W44)))</f>
        <v>182.61666666666667</v>
      </c>
      <c r="Y44" s="22">
        <f>RADIANS(X44)</f>
        <v>3.1872621023503118</v>
      </c>
      <c r="Z44" s="64"/>
      <c r="AA44" s="58">
        <f>-M44*COS(Y44)</f>
        <v>14.919915184029152</v>
      </c>
      <c r="AB44" s="58">
        <f>-M44*SIN(Y44)</f>
        <v>0.6818584183079538</v>
      </c>
      <c r="AC44" s="64"/>
      <c r="AD44" s="82">
        <f>$AA$40/$M$40*M44</f>
        <v>5.7954673347715522E-4</v>
      </c>
      <c r="AE44" s="82">
        <f>$AB$40/$M$40*M44</f>
        <v>2.3912190483755817E-5</v>
      </c>
      <c r="AF44" s="22">
        <f>AA44-AD44</f>
        <v>14.919335637295676</v>
      </c>
      <c r="AG44" s="22">
        <f>AB44-AE44</f>
        <v>0.68183450611746999</v>
      </c>
      <c r="AH44" s="64"/>
      <c r="AI44" s="25">
        <f>A44</f>
        <v>3</v>
      </c>
      <c r="AJ44" s="82">
        <f t="shared" si="1"/>
        <v>720805.14051395119</v>
      </c>
      <c r="AK44" s="82">
        <f t="shared" si="1"/>
        <v>461659.24137646978</v>
      </c>
      <c r="AL44" s="66"/>
      <c r="AM44" s="9" t="str">
        <f>IF(A45=0,A44&amp;" - 1",A44&amp;" - "&amp;A45)</f>
        <v>3 - 4</v>
      </c>
      <c r="AN44" s="18">
        <f>AN43+F43+F44</f>
        <v>15.000000000116415</v>
      </c>
      <c r="AO44" s="18">
        <f>AN44*G44</f>
        <v>-10.199999999974388</v>
      </c>
      <c r="AP44" s="9" t="str">
        <f>D44&amp;","&amp;C44</f>
        <v>461659.28,720805.07</v>
      </c>
    </row>
    <row r="45" spans="1:44" s="46" customFormat="1">
      <c r="A45" s="20">
        <f>A44+1</f>
        <v>4</v>
      </c>
      <c r="B45" s="44"/>
      <c r="C45" s="60">
        <v>720819.99</v>
      </c>
      <c r="D45" s="60">
        <v>461659.96</v>
      </c>
      <c r="E45" s="79"/>
      <c r="F45" s="72">
        <f>IF(C46=0,C45-$C$42,C45-C46)</f>
        <v>-4.0000000037252903E-2</v>
      </c>
      <c r="G45" s="72">
        <f>IF(D46=0,D45-$D$42,D45-D46)</f>
        <v>-19.820000000006985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19.820040363235385</v>
      </c>
      <c r="N45" s="22">
        <f>IF(F45=0,,ATAN(G45/F45))</f>
        <v>1.5687781660617524</v>
      </c>
      <c r="O45" s="22">
        <f>ABS(DEGREES(N45))</f>
        <v>89.884367907611804</v>
      </c>
      <c r="P45" s="24" t="str">
        <f>TEXT(INT(O45),"00")</f>
        <v>89</v>
      </c>
      <c r="Q45" s="25" t="str">
        <f>TEXT((O45-P45)*60,"00")</f>
        <v>53</v>
      </c>
      <c r="R45" s="23" t="str">
        <f>IF(L45="",IF(F45&gt;0,"S","N"),"")</f>
        <v>N</v>
      </c>
      <c r="S45" s="25" t="str">
        <f>IF(L45="",IF(INT(Q45)=60,INT(P45+1),P45),"due")</f>
        <v>89</v>
      </c>
      <c r="T45" s="25" t="str">
        <f>IF(L45="",IF(INT(Q45)=60,"00",Q45),L45)</f>
        <v>53</v>
      </c>
      <c r="U45" s="24" t="str">
        <f>IF(L45="",IF(G45&gt;0,"W","E"),"")</f>
        <v>E</v>
      </c>
      <c r="V45" s="44"/>
      <c r="W45" s="22">
        <f>IF(S45="due",90*(I45+K45),S45+T45/60)</f>
        <v>89.88333333333334</v>
      </c>
      <c r="X45" s="22">
        <f>IF(R45="",W45,IF(R45="N",IF(U45="E",180+W45,180-W45),IF(U45="E",360-W45,W45)))</f>
        <v>269.88333333333333</v>
      </c>
      <c r="Y45" s="22">
        <f>RADIANS(X45)</f>
        <v>4.7103527629240292</v>
      </c>
      <c r="Z45" s="64"/>
      <c r="AA45" s="58">
        <f>-M45*COS(Y45)</f>
        <v>4.0357884370087006E-2</v>
      </c>
      <c r="AB45" s="58">
        <f>-M45*SIN(Y45)</f>
        <v>19.819999274506774</v>
      </c>
      <c r="AC45" s="64"/>
      <c r="AD45" s="82">
        <f>$AA$40/$M$40*M45</f>
        <v>7.6908365472644965E-4</v>
      </c>
      <c r="AE45" s="82">
        <f>$AB$40/$M$40*M45</f>
        <v>3.1732514027683462E-5</v>
      </c>
      <c r="AF45" s="22">
        <f>AA45-AD45</f>
        <v>3.9588800715360556E-2</v>
      </c>
      <c r="AG45" s="22">
        <f>AB45-AE45</f>
        <v>19.819967541992746</v>
      </c>
      <c r="AH45" s="64"/>
      <c r="AI45" s="25">
        <f>A45</f>
        <v>4</v>
      </c>
      <c r="AJ45" s="82">
        <f t="shared" ref="AJ45" si="2">AJ44+AF44</f>
        <v>720820.05984958843</v>
      </c>
      <c r="AK45" s="82">
        <f t="shared" ref="AK45" si="3">AK44+AG44</f>
        <v>461659.92321097589</v>
      </c>
      <c r="AL45" s="66"/>
      <c r="AM45" s="9" t="str">
        <f>IF(A46=0,A45&amp;" - 1",A45&amp;" - "&amp;A46)</f>
        <v>4 - 1</v>
      </c>
      <c r="AN45" s="18">
        <f>AN44+F44+F45</f>
        <v>4.0000000037252903E-2</v>
      </c>
      <c r="AO45" s="18">
        <f>AN45*G45</f>
        <v>-0.79280000073863188</v>
      </c>
      <c r="AP45" s="9" t="str">
        <f>D45&amp;","&amp;C45</f>
        <v>461659.96,720819.99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S47"/>
  <sheetViews>
    <sheetView workbookViewId="0">
      <selection activeCell="M17" sqref="M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78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79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80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622.97130000081381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311.48565000040691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3.7767419611969273E-3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18910.157952755737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19000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19000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71.418787033034377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9.2002114427458537E-4</v>
      </c>
      <c r="AB40" s="91">
        <f>SUM(AB42:AB65536)</f>
        <v>3.6629688690396067E-3</v>
      </c>
      <c r="AC40" s="91"/>
      <c r="AD40" s="91">
        <f>SUM(AD42:AD65536)</f>
        <v>9.2002114427458537E-4</v>
      </c>
      <c r="AE40" s="91">
        <f>SUM(AE42:AE65536)</f>
        <v>3.6629688690396067E-3</v>
      </c>
      <c r="AF40" s="91">
        <f>SUM(AF42:AF65536)</f>
        <v>0</v>
      </c>
      <c r="AG40" s="91">
        <f>SUM(AG42:AG65536)</f>
        <v>0</v>
      </c>
      <c r="AH40" s="92"/>
      <c r="AI40" s="93">
        <v>1</v>
      </c>
      <c r="AJ40" s="92">
        <f>AJ44+AF44</f>
        <v>720804.7896719469</v>
      </c>
      <c r="AK40" s="92">
        <f>AK44+AG44</f>
        <v>461679.4321766608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408.5899999999674</v>
      </c>
      <c r="G41" s="72">
        <f>IF(D42=0,D41-$D$41,D41-D42)</f>
        <v>770.43999999994412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872.08003170574159</v>
      </c>
      <c r="N41" s="36">
        <f>IF(F41=0,,ATAN(G41/F41))</f>
        <v>1.0831775630003977</v>
      </c>
      <c r="O41" s="36">
        <f>ABS(DEGREES(N41))</f>
        <v>62.061502823188626</v>
      </c>
      <c r="P41" s="37" t="str">
        <f>TEXT(INT(O41),"00")</f>
        <v>62</v>
      </c>
      <c r="Q41" s="38" t="str">
        <f>TEXT((O41-P41)*60,"00")</f>
        <v>04</v>
      </c>
      <c r="R41" s="39" t="str">
        <f>IF(L41="",IF(F41&gt;0,"S","N"),"")</f>
        <v>S</v>
      </c>
      <c r="S41" s="25" t="str">
        <f>IF(L41="",IF(INT(Q41)=60,INT(P41+1),P41),"due")</f>
        <v>62</v>
      </c>
      <c r="T41" s="38" t="str">
        <f>IF(L41="",IF(INT(Q41)=60,"00",Q41),L41)</f>
        <v>04</v>
      </c>
      <c r="U41" s="40" t="str">
        <f>IF(L41="",IF(G41&gt;0,"W","E"),"")</f>
        <v>W</v>
      </c>
      <c r="V41" s="41"/>
      <c r="W41" s="22">
        <f>IF(S41="due",90*(I41+K41),S41+T41/60)</f>
        <v>62.06666666666667</v>
      </c>
      <c r="X41" s="22">
        <f>IF(R41="",W41,IF(R41="N",IF(U41="E",180+W41,180-W41),IF(U41="E",360-W41,W41)))</f>
        <v>62.06666666666667</v>
      </c>
      <c r="Y41" s="22">
        <f>RADIANS(X41)</f>
        <v>1.0832676890711472</v>
      </c>
      <c r="Z41" s="64"/>
      <c r="AA41" s="58">
        <f>-M41*COS(Y41)</f>
        <v>-408.52056161068441</v>
      </c>
      <c r="AB41" s="58">
        <f>-M41*SIN(Y41)</f>
        <v>-770.47682148211197</v>
      </c>
      <c r="AC41" s="64"/>
      <c r="AD41" s="22">
        <v>0</v>
      </c>
      <c r="AE41" s="22">
        <v>0</v>
      </c>
      <c r="AF41" s="22">
        <f t="shared" ref="AF41:AG43" si="0">AA41-AD41</f>
        <v>-408.52056161068441</v>
      </c>
      <c r="AG41" s="22">
        <f t="shared" si="0"/>
        <v>-770.47682148211197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720820.03</v>
      </c>
      <c r="D42" s="60">
        <v>461679.78</v>
      </c>
      <c r="E42" s="79"/>
      <c r="F42" s="72">
        <f>IF(C43=0,C42-$C$42,C42-C43)</f>
        <v>0.21999999997206032</v>
      </c>
      <c r="G42" s="72">
        <f>IF(D43=0,D42-$D$42,D42-D43)</f>
        <v>-20.569999999948777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20.571176436895396</v>
      </c>
      <c r="N42" s="36">
        <f>IF(F42=0,,ATAN(G42/F42))</f>
        <v>-1.56010154739936</v>
      </c>
      <c r="O42" s="36">
        <f>ABS(DEGREES(N42))</f>
        <v>89.387234277812283</v>
      </c>
      <c r="P42" s="37" t="str">
        <f>TEXT(INT(O42),"00")</f>
        <v>89</v>
      </c>
      <c r="Q42" s="38" t="str">
        <f>TEXT((O42-P42)*60,"00")</f>
        <v>23</v>
      </c>
      <c r="R42" s="39" t="str">
        <f>IF(L42="",IF(F42&gt;0,"S","N"),"")</f>
        <v>S</v>
      </c>
      <c r="S42" s="25" t="str">
        <f>IF(L42="",IF(INT(Q42)=60,INT(P42+1),P42),"due")</f>
        <v>89</v>
      </c>
      <c r="T42" s="38" t="str">
        <f>IF(L42="",IF(INT(Q42)=60,"00",Q42),L42)</f>
        <v>23</v>
      </c>
      <c r="U42" s="40" t="str">
        <f>IF(L42="",IF(G42&gt;0,"W","E"),"")</f>
        <v>E</v>
      </c>
      <c r="V42" s="44"/>
      <c r="W42" s="22">
        <f>IF(S42="due",90*(I42+K42),S42+T42/60)</f>
        <v>89.38333333333334</v>
      </c>
      <c r="X42" s="22">
        <f>IF(R42="",W42,IF(R42="N",IF(U42="E",180+W42,180-W42),IF(U42="E",360-W42,W42)))</f>
        <v>270.61666666666667</v>
      </c>
      <c r="Y42" s="22">
        <f>RADIANS(X42)</f>
        <v>4.7231518441053213</v>
      </c>
      <c r="Z42" s="64"/>
      <c r="AA42" s="58">
        <f>-M42*COS(Y42)</f>
        <v>-0.2214004940282745</v>
      </c>
      <c r="AB42" s="58">
        <f>-M42*SIN(Y42)</f>
        <v>20.569984973721404</v>
      </c>
      <c r="AC42" s="64"/>
      <c r="AD42" s="82">
        <f>$AA$40/$M$40*M42</f>
        <v>2.6499914197356515E-4</v>
      </c>
      <c r="AE42" s="82">
        <f>$AB$40/$M$40*M42</f>
        <v>1.055066629079201E-3</v>
      </c>
      <c r="AF42" s="22">
        <f t="shared" si="0"/>
        <v>-0.22166549317024806</v>
      </c>
      <c r="AG42" s="22">
        <f t="shared" si="0"/>
        <v>20.568929907092325</v>
      </c>
      <c r="AH42" s="63"/>
      <c r="AI42" s="38">
        <f>A42</f>
        <v>1</v>
      </c>
      <c r="AJ42" s="82">
        <f t="shared" ref="AJ42:AK44" si="1">AJ41+AF41</f>
        <v>720820.0994383893</v>
      </c>
      <c r="AK42" s="82">
        <f t="shared" si="1"/>
        <v>461679.74317851785</v>
      </c>
      <c r="AL42" s="66"/>
      <c r="AM42" s="9" t="str">
        <f>IF(A43=0,A42&amp;" - 1",A42&amp;" - "&amp;A43)</f>
        <v>1 - 2</v>
      </c>
      <c r="AN42" s="18">
        <f>F42</f>
        <v>0.21999999997206032</v>
      </c>
      <c r="AO42" s="18">
        <f>AN42*G42</f>
        <v>-4.5253999994140122</v>
      </c>
      <c r="AP42" s="9" t="str">
        <f>D42&amp;","&amp;C42</f>
        <v>461679.78,720820.03</v>
      </c>
    </row>
    <row r="43" spans="1:44">
      <c r="A43" s="20">
        <f>A42+1</f>
        <v>2</v>
      </c>
      <c r="B43" s="44"/>
      <c r="C43" s="60">
        <v>720819.81</v>
      </c>
      <c r="D43" s="60">
        <v>461700.35</v>
      </c>
      <c r="E43" s="79"/>
      <c r="F43" s="72">
        <f>IF(C44=0,C43-$C$42,C43-C44)</f>
        <v>15.010000000009313</v>
      </c>
      <c r="G43" s="72">
        <f>IF(D44=0,D43-$D$42,D43-D44)</f>
        <v>0.35999999998603016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15.014316501268699</v>
      </c>
      <c r="N43" s="36">
        <f>IF(F43=0,,ATAN(G43/F43))</f>
        <v>2.397941344891601E-2</v>
      </c>
      <c r="O43" s="36">
        <f>ABS(DEGREES(N43))</f>
        <v>1.3739191858221327</v>
      </c>
      <c r="P43" s="37" t="str">
        <f>TEXT(INT(O43),"00")</f>
        <v>01</v>
      </c>
      <c r="Q43" s="38" t="str">
        <f>TEXT((O43-P43)*60,"00")</f>
        <v>22</v>
      </c>
      <c r="R43" s="39" t="str">
        <f>IF(L43="",IF(F43&gt;0,"S","N"),"")</f>
        <v>S</v>
      </c>
      <c r="S43" s="25" t="str">
        <f>IF(L43="",IF(INT(Q43)=60,INT(P43+1),P43),"due")</f>
        <v>01</v>
      </c>
      <c r="T43" s="38" t="str">
        <f>IF(L43="",IF(INT(Q43)=60,"00",Q43),L43)</f>
        <v>22</v>
      </c>
      <c r="U43" s="40" t="str">
        <f>IF(L43="",IF(G43&gt;0,"W","E"),"")</f>
        <v>W</v>
      </c>
      <c r="V43" s="44"/>
      <c r="W43" s="22">
        <f>IF(S43="due",90*(I43+K43),S43+T43/60)</f>
        <v>1.3666666666666667</v>
      </c>
      <c r="X43" s="22">
        <f>IF(R43="",W43,IF(R43="N",IF(U43="E",180+W43,180-W43),IF(U43="E",360-W43,W43)))</f>
        <v>1.3666666666666667</v>
      </c>
      <c r="Y43" s="22">
        <f>RADIANS(X43)</f>
        <v>2.385283311058917E-2</v>
      </c>
      <c r="Z43" s="64"/>
      <c r="AA43" s="58">
        <f>-M43*COS(Y43)</f>
        <v>-15.01004544868151</v>
      </c>
      <c r="AB43" s="58">
        <f>-M43*SIN(Y43)</f>
        <v>-0.35810002622875209</v>
      </c>
      <c r="AC43" s="64"/>
      <c r="AD43" s="82">
        <f>$AA$40/$M$40*M43</f>
        <v>1.934153354019953E-4</v>
      </c>
      <c r="AE43" s="82">
        <f>$AB$40/$M$40*M43</f>
        <v>7.7006311950686521E-4</v>
      </c>
      <c r="AF43" s="22">
        <f t="shared" si="0"/>
        <v>-15.010238864016912</v>
      </c>
      <c r="AG43" s="22">
        <f t="shared" si="0"/>
        <v>-0.35887008934825898</v>
      </c>
      <c r="AH43" s="64"/>
      <c r="AI43" s="25">
        <f>A43</f>
        <v>2</v>
      </c>
      <c r="AJ43" s="82">
        <f t="shared" si="1"/>
        <v>720819.87777289608</v>
      </c>
      <c r="AK43" s="82">
        <f t="shared" si="1"/>
        <v>461700.31210842496</v>
      </c>
      <c r="AL43" s="66"/>
      <c r="AM43" s="9" t="str">
        <f>IF(A44=0,A43&amp;" - 1",A43&amp;" - "&amp;A44)</f>
        <v>2 - 3</v>
      </c>
      <c r="AN43" s="18">
        <f>AN42+F42+F43</f>
        <v>15.449999999953434</v>
      </c>
      <c r="AO43" s="18">
        <f>AN43*G43</f>
        <v>5.5619999997674023</v>
      </c>
      <c r="AP43" s="9" t="str">
        <f>D43&amp;","&amp;C43</f>
        <v>461700.35,720819.81</v>
      </c>
    </row>
    <row r="44" spans="1:44" s="46" customFormat="1">
      <c r="A44" s="20">
        <f>A43+1</f>
        <v>3</v>
      </c>
      <c r="B44" s="44"/>
      <c r="C44" s="60">
        <v>720804.8</v>
      </c>
      <c r="D44" s="60">
        <v>461699.99</v>
      </c>
      <c r="E44" s="79"/>
      <c r="F44" s="72">
        <f>IF(C45=0,C44-$C$42,C44-C45)</f>
        <v>8.0000000074505806E-2</v>
      </c>
      <c r="G44" s="72">
        <f>IF(D45=0,D44-$D$42,D44-D45)</f>
        <v>20.520000000018626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20.520155944845456</v>
      </c>
      <c r="N44" s="22">
        <f>IF(F44=0,,ATAN(G44/F44))</f>
        <v>1.5668977110657591</v>
      </c>
      <c r="O44" s="22">
        <f>ABS(DEGREES(N44))</f>
        <v>89.776625772777109</v>
      </c>
      <c r="P44" s="24" t="str">
        <f>TEXT(INT(O44),"00")</f>
        <v>89</v>
      </c>
      <c r="Q44" s="25" t="str">
        <f>TEXT((O44-P44)*60,"00")</f>
        <v>47</v>
      </c>
      <c r="R44" s="23" t="str">
        <f>IF(L44="",IF(F44&gt;0,"S","N"),"")</f>
        <v>S</v>
      </c>
      <c r="S44" s="25" t="str">
        <f>IF(L44="",IF(INT(Q44)=60,INT(P44+1),P44),"due")</f>
        <v>89</v>
      </c>
      <c r="T44" s="25" t="str">
        <f>IF(L44="",IF(INT(Q44)=60,"00",Q44),L44)</f>
        <v>47</v>
      </c>
      <c r="U44" s="24" t="str">
        <f>IF(L44="",IF(G44&gt;0,"W","E"),"")</f>
        <v>W</v>
      </c>
      <c r="V44" s="44"/>
      <c r="W44" s="22">
        <f>IF(S44="due",90*(I44+K44),S44+T44/60)</f>
        <v>89.783333333333331</v>
      </c>
      <c r="X44" s="22">
        <f>IF(R44="",W44,IF(R44="N",IF(U44="E",180+W44,180-W44),IF(U44="E",360-W44,W44)))</f>
        <v>89.783333333333331</v>
      </c>
      <c r="Y44" s="22">
        <f>RADIANS(X44)</f>
        <v>1.5670147800822423</v>
      </c>
      <c r="Z44" s="64"/>
      <c r="AA44" s="58">
        <f>-M44*COS(Y44)</f>
        <v>-7.7597743313552653E-2</v>
      </c>
      <c r="AB44" s="58">
        <f>-M44*SIN(Y44)</f>
        <v>-20.520009224925044</v>
      </c>
      <c r="AC44" s="64"/>
      <c r="AD44" s="82">
        <f>$AA$40/$M$40*M44</f>
        <v>2.6434189290189546E-4</v>
      </c>
      <c r="AE44" s="82">
        <f>$AB$40/$M$40*M44</f>
        <v>1.0524498599932802E-3</v>
      </c>
      <c r="AF44" s="22">
        <f>AA44-AD44</f>
        <v>-7.7862085206454545E-2</v>
      </c>
      <c r="AG44" s="22">
        <f>AB44-AE44</f>
        <v>-20.521061674785038</v>
      </c>
      <c r="AH44" s="64"/>
      <c r="AI44" s="25">
        <f>A44</f>
        <v>3</v>
      </c>
      <c r="AJ44" s="82">
        <f t="shared" si="1"/>
        <v>720804.86753403209</v>
      </c>
      <c r="AK44" s="82">
        <f t="shared" si="1"/>
        <v>461699.95323833561</v>
      </c>
      <c r="AL44" s="66"/>
      <c r="AM44" s="9" t="str">
        <f>IF(A45=0,A44&amp;" - 1",A44&amp;" - "&amp;A45)</f>
        <v>3 - 4</v>
      </c>
      <c r="AN44" s="18">
        <f>AN43+F43+F44</f>
        <v>30.540000000037253</v>
      </c>
      <c r="AO44" s="18">
        <f>AN44*G44</f>
        <v>626.6808000013333</v>
      </c>
      <c r="AP44" s="9" t="str">
        <f>D44&amp;","&amp;C44</f>
        <v>461699.99,720804.8</v>
      </c>
    </row>
    <row r="45" spans="1:44" s="46" customFormat="1">
      <c r="A45" s="20">
        <f>A44+1</f>
        <v>4</v>
      </c>
      <c r="B45" s="44"/>
      <c r="C45" s="60">
        <v>720804.72</v>
      </c>
      <c r="D45" s="60">
        <v>461679.47</v>
      </c>
      <c r="E45" s="79"/>
      <c r="F45" s="72">
        <f>IF(C46=0,C45-$C$42,C45-C46)</f>
        <v>-15.310000000055879</v>
      </c>
      <c r="G45" s="72">
        <f>IF(D46=0,D45-$D$42,D45-D46)</f>
        <v>-0.31000000005587935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15.313138150024823</v>
      </c>
      <c r="N45" s="22">
        <f>IF(F45=0,,ATAN(G45/F45))</f>
        <v>2.0245437287078113E-2</v>
      </c>
      <c r="O45" s="22">
        <f>ABS(DEGREES(N45))</f>
        <v>1.1599781109463632</v>
      </c>
      <c r="P45" s="24" t="str">
        <f>TEXT(INT(O45),"00")</f>
        <v>01</v>
      </c>
      <c r="Q45" s="25" t="str">
        <f>TEXT((O45-P45)*60,"00")</f>
        <v>10</v>
      </c>
      <c r="R45" s="23" t="str">
        <f>IF(L45="",IF(F45&gt;0,"S","N"),"")</f>
        <v>N</v>
      </c>
      <c r="S45" s="25" t="str">
        <f>IF(L45="",IF(INT(Q45)=60,INT(P45+1),P45),"due")</f>
        <v>01</v>
      </c>
      <c r="T45" s="25" t="str">
        <f>IF(L45="",IF(INT(Q45)=60,"00",Q45),L45)</f>
        <v>10</v>
      </c>
      <c r="U45" s="24" t="str">
        <f>IF(L45="",IF(G45&gt;0,"W","E"),"")</f>
        <v>E</v>
      </c>
      <c r="V45" s="44"/>
      <c r="W45" s="22">
        <f>IF(S45="due",90*(I45+K45),S45+T45/60)</f>
        <v>1.1666666666666667</v>
      </c>
      <c r="X45" s="22">
        <f>IF(R45="",W45,IF(R45="N",IF(U45="E",180+W45,180-W45),IF(U45="E",360-W45,W45)))</f>
        <v>181.16666666666666</v>
      </c>
      <c r="Y45" s="22">
        <f>RADIANS(X45)</f>
        <v>3.1619548281963934</v>
      </c>
      <c r="Z45" s="64"/>
      <c r="AA45" s="58">
        <f>-M45*COS(Y45)</f>
        <v>15.309963707167611</v>
      </c>
      <c r="AB45" s="58">
        <f>-M45*SIN(Y45)</f>
        <v>0.31178724630143073</v>
      </c>
      <c r="AC45" s="64"/>
      <c r="AD45" s="82">
        <f>$AA$40/$M$40*M45</f>
        <v>1.9726477399712944E-4</v>
      </c>
      <c r="AE45" s="82">
        <f>$AB$40/$M$40*M45</f>
        <v>7.8538926046026007E-4</v>
      </c>
      <c r="AF45" s="22">
        <f>AA45-AD45</f>
        <v>15.309766442393615</v>
      </c>
      <c r="AG45" s="22">
        <f>AB45-AE45</f>
        <v>0.3110018570409705</v>
      </c>
      <c r="AH45" s="64"/>
      <c r="AI45" s="25">
        <f>A45</f>
        <v>4</v>
      </c>
      <c r="AJ45" s="82">
        <f t="shared" ref="AJ45" si="2">AJ44+AF44</f>
        <v>720804.7896719469</v>
      </c>
      <c r="AK45" s="82">
        <f t="shared" ref="AK45" si="3">AK44+AG44</f>
        <v>461679.4321766608</v>
      </c>
      <c r="AL45" s="66"/>
      <c r="AM45" s="9" t="str">
        <f>IF(A46=0,A45&amp;" - 1",A45&amp;" - "&amp;A46)</f>
        <v>4 - 1</v>
      </c>
      <c r="AN45" s="18">
        <f>AN44+F44+F45</f>
        <v>15.310000000055879</v>
      </c>
      <c r="AO45" s="18">
        <f>AN45*G45</f>
        <v>-4.7461000008728353</v>
      </c>
      <c r="AP45" s="9" t="str">
        <f>D45&amp;","&amp;C45</f>
        <v>461679.47,720804.72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S47"/>
  <sheetViews>
    <sheetView workbookViewId="0">
      <selection activeCell="M19" sqref="M19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81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82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83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614.35000000070431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307.17500000035216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2.6618548840754109E-3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26698.354156986625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27000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27000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71.067144409549897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-2.5958291777584512E-3</v>
      </c>
      <c r="AB40" s="91">
        <f>SUM(AB42:AB65536)</f>
        <v>5.891878340342771E-4</v>
      </c>
      <c r="AC40" s="91"/>
      <c r="AD40" s="91">
        <f>SUM(AD42:AD65536)</f>
        <v>-2.5958291777584512E-3</v>
      </c>
      <c r="AE40" s="91">
        <f>SUM(AE42:AE65536)</f>
        <v>5.891878340342771E-4</v>
      </c>
      <c r="AF40" s="91">
        <f>SUM(AF42:AF65536)</f>
        <v>-1.4849232954361469E-15</v>
      </c>
      <c r="AG40" s="91">
        <f>SUM(AG42:AG65536)</f>
        <v>0</v>
      </c>
      <c r="AH40" s="92"/>
      <c r="AI40" s="93">
        <v>1</v>
      </c>
      <c r="AJ40" s="92">
        <f>AJ44+AF44</f>
        <v>720789.81479055714</v>
      </c>
      <c r="AK40" s="92">
        <f>AK44+AG44</f>
        <v>461699.5069173121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438.77000000001863</v>
      </c>
      <c r="G41" s="72">
        <f>IF(D42=0,D41-$D$41,D41-D42)</f>
        <v>771.47999999998137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887.52493108643864</v>
      </c>
      <c r="N41" s="36">
        <f>IF(F41=0,,ATAN(G41/F41))</f>
        <v>1.0536808326120879</v>
      </c>
      <c r="O41" s="36">
        <f>ABS(DEGREES(N41))</f>
        <v>60.371464662503193</v>
      </c>
      <c r="P41" s="37" t="str">
        <f>TEXT(INT(O41),"00")</f>
        <v>60</v>
      </c>
      <c r="Q41" s="38" t="str">
        <f>TEXT((O41-P41)*60,"00")</f>
        <v>22</v>
      </c>
      <c r="R41" s="39" t="str">
        <f>IF(L41="",IF(F41&gt;0,"S","N"),"")</f>
        <v>S</v>
      </c>
      <c r="S41" s="25" t="str">
        <f>IF(L41="",IF(INT(Q41)=60,INT(P41+1),P41),"due")</f>
        <v>60</v>
      </c>
      <c r="T41" s="38" t="str">
        <f>IF(L41="",IF(INT(Q41)=60,"00",Q41),L41)</f>
        <v>22</v>
      </c>
      <c r="U41" s="40" t="str">
        <f>IF(L41="",IF(G41&gt;0,"W","E"),"")</f>
        <v>W</v>
      </c>
      <c r="V41" s="41"/>
      <c r="W41" s="22">
        <f>IF(S41="due",90*(I41+K41),S41+T41/60)</f>
        <v>60.366666666666667</v>
      </c>
      <c r="X41" s="22">
        <f>IF(R41="",W41,IF(R41="N",IF(U41="E",180+W41,180-W41),IF(U41="E",360-W41,W41)))</f>
        <v>60.366666666666667</v>
      </c>
      <c r="Y41" s="22">
        <f>RADIANS(X41)</f>
        <v>1.0535970917872437</v>
      </c>
      <c r="Z41" s="64"/>
      <c r="AA41" s="58">
        <f>-M41*COS(Y41)</f>
        <v>-438.83460283305089</v>
      </c>
      <c r="AB41" s="58">
        <f>-M41*SIN(Y41)</f>
        <v>-771.44325433329584</v>
      </c>
      <c r="AC41" s="64"/>
      <c r="AD41" s="22">
        <v>0</v>
      </c>
      <c r="AE41" s="22">
        <v>0</v>
      </c>
      <c r="AF41" s="22">
        <f t="shared" ref="AF41:AG43" si="0">AA41-AD41</f>
        <v>-438.83460283305089</v>
      </c>
      <c r="AG41" s="22">
        <f t="shared" si="0"/>
        <v>-771.44325433329584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720789.85</v>
      </c>
      <c r="D42" s="60">
        <v>461678.74</v>
      </c>
      <c r="E42" s="79"/>
      <c r="F42" s="72">
        <f>IF(C43=0,C42-$C$42,C42-C43)</f>
        <v>-14.869999999995343</v>
      </c>
      <c r="G42" s="72">
        <f>IF(D43=0,D42-$D$42,D42-D43)</f>
        <v>-0.72999999998137355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14.887907844953714</v>
      </c>
      <c r="N42" s="36">
        <f>IF(F42=0,,ATAN(G42/F42))</f>
        <v>4.9052750779969054E-2</v>
      </c>
      <c r="O42" s="36">
        <f>ABS(DEGREES(N42))</f>
        <v>2.810515593199284</v>
      </c>
      <c r="P42" s="37" t="str">
        <f>TEXT(INT(O42),"00")</f>
        <v>02</v>
      </c>
      <c r="Q42" s="38" t="str">
        <f>TEXT((O42-P42)*60,"00")</f>
        <v>49</v>
      </c>
      <c r="R42" s="39" t="str">
        <f>IF(L42="",IF(F42&gt;0,"S","N"),"")</f>
        <v>N</v>
      </c>
      <c r="S42" s="25" t="str">
        <f>IF(L42="",IF(INT(Q42)=60,INT(P42+1),P42),"due")</f>
        <v>02</v>
      </c>
      <c r="T42" s="38" t="str">
        <f>IF(L42="",IF(INT(Q42)=60,"00",Q42),L42)</f>
        <v>49</v>
      </c>
      <c r="U42" s="40" t="str">
        <f>IF(L42="",IF(G42&gt;0,"W","E"),"")</f>
        <v>E</v>
      </c>
      <c r="V42" s="44"/>
      <c r="W42" s="22">
        <f>IF(S42="due",90*(I42+K42),S42+T42/60)</f>
        <v>2.8166666666666664</v>
      </c>
      <c r="X42" s="22">
        <f>IF(R42="",W42,IF(R42="N",IF(U42="E",180+W42,180-W42),IF(U42="E",360-W42,W42)))</f>
        <v>182.81666666666666</v>
      </c>
      <c r="Y42" s="22">
        <f>RADIANS(X42)</f>
        <v>3.1907527608543003</v>
      </c>
      <c r="Z42" s="64"/>
      <c r="AA42" s="58">
        <f>-M42*COS(Y42)</f>
        <v>14.869921544070326</v>
      </c>
      <c r="AB42" s="58">
        <f>-M42*SIN(Y42)</f>
        <v>0.73159638669660976</v>
      </c>
      <c r="AC42" s="64"/>
      <c r="AD42" s="82">
        <f>$AA$40/$M$40*M42</f>
        <v>-5.4380214515157221E-4</v>
      </c>
      <c r="AE42" s="82">
        <f>$AB$40/$M$40*M42</f>
        <v>1.2342938849378425E-4</v>
      </c>
      <c r="AF42" s="22">
        <f t="shared" si="0"/>
        <v>14.870465346215477</v>
      </c>
      <c r="AG42" s="22">
        <f t="shared" si="0"/>
        <v>0.73147295730811601</v>
      </c>
      <c r="AH42" s="63"/>
      <c r="AI42" s="38">
        <f>A42</f>
        <v>1</v>
      </c>
      <c r="AJ42" s="82">
        <f t="shared" ref="AJ42:AK44" si="1">AJ41+AF41</f>
        <v>720789.78539716697</v>
      </c>
      <c r="AK42" s="82">
        <f t="shared" si="1"/>
        <v>461678.77674566669</v>
      </c>
      <c r="AL42" s="66"/>
      <c r="AM42" s="9" t="str">
        <f>IF(A43=0,A42&amp;" - 1",A42&amp;" - "&amp;A43)</f>
        <v>1 - 2</v>
      </c>
      <c r="AN42" s="18">
        <f>F42</f>
        <v>-14.869999999995343</v>
      </c>
      <c r="AO42" s="18">
        <f>AN42*G42</f>
        <v>10.855099999719625</v>
      </c>
      <c r="AP42" s="9" t="str">
        <f>D42&amp;","&amp;C42</f>
        <v>461678.74,720789.85</v>
      </c>
    </row>
    <row r="43" spans="1:44">
      <c r="A43" s="20">
        <f>A42+1</f>
        <v>2</v>
      </c>
      <c r="B43" s="44"/>
      <c r="C43" s="60">
        <v>720804.72</v>
      </c>
      <c r="D43" s="60">
        <v>461679.47</v>
      </c>
      <c r="E43" s="79"/>
      <c r="F43" s="72">
        <f>IF(C44=0,C43-$C$42,C43-C44)</f>
        <v>-8.0000000074505806E-2</v>
      </c>
      <c r="G43" s="72">
        <f>IF(D44=0,D43-$D$42,D43-D44)</f>
        <v>-20.520000000018626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20.520155944845456</v>
      </c>
      <c r="N43" s="36">
        <f>IF(F43=0,,ATAN(G43/F43))</f>
        <v>1.5668977110657591</v>
      </c>
      <c r="O43" s="36">
        <f>ABS(DEGREES(N43))</f>
        <v>89.776625772777109</v>
      </c>
      <c r="P43" s="37" t="str">
        <f>TEXT(INT(O43),"00")</f>
        <v>89</v>
      </c>
      <c r="Q43" s="38" t="str">
        <f>TEXT((O43-P43)*60,"00")</f>
        <v>47</v>
      </c>
      <c r="R43" s="39" t="str">
        <f>IF(L43="",IF(F43&gt;0,"S","N"),"")</f>
        <v>N</v>
      </c>
      <c r="S43" s="25" t="str">
        <f>IF(L43="",IF(INT(Q43)=60,INT(P43+1),P43),"due")</f>
        <v>89</v>
      </c>
      <c r="T43" s="38" t="str">
        <f>IF(L43="",IF(INT(Q43)=60,"00",Q43),L43)</f>
        <v>47</v>
      </c>
      <c r="U43" s="40" t="str">
        <f>IF(L43="",IF(G43&gt;0,"W","E"),"")</f>
        <v>E</v>
      </c>
      <c r="V43" s="44"/>
      <c r="W43" s="22">
        <f>IF(S43="due",90*(I43+K43),S43+T43/60)</f>
        <v>89.783333333333331</v>
      </c>
      <c r="X43" s="22">
        <f>IF(R43="",W43,IF(R43="N",IF(U43="E",180+W43,180-W43),IF(U43="E",360-W43,W43)))</f>
        <v>269.7833333333333</v>
      </c>
      <c r="Y43" s="22">
        <f>RADIANS(X43)</f>
        <v>4.7086074336720349</v>
      </c>
      <c r="Z43" s="64"/>
      <c r="AA43" s="58">
        <f>-M43*COS(Y43)</f>
        <v>7.7597743313564282E-2</v>
      </c>
      <c r="AB43" s="58">
        <f>-M43*SIN(Y43)</f>
        <v>20.520009224925044</v>
      </c>
      <c r="AC43" s="64"/>
      <c r="AD43" s="82">
        <f>$AA$40/$M$40*M43</f>
        <v>-7.4952806921316879E-4</v>
      </c>
      <c r="AE43" s="82">
        <f>$AB$40/$M$40*M43</f>
        <v>1.7012399098963125E-4</v>
      </c>
      <c r="AF43" s="22">
        <f t="shared" si="0"/>
        <v>7.8347271382777445E-2</v>
      </c>
      <c r="AG43" s="22">
        <f t="shared" si="0"/>
        <v>20.519839100934053</v>
      </c>
      <c r="AH43" s="64"/>
      <c r="AI43" s="25">
        <f>A43</f>
        <v>2</v>
      </c>
      <c r="AJ43" s="82">
        <f t="shared" si="1"/>
        <v>720804.65586251323</v>
      </c>
      <c r="AK43" s="82">
        <f t="shared" si="1"/>
        <v>461679.50821862399</v>
      </c>
      <c r="AL43" s="66"/>
      <c r="AM43" s="9" t="str">
        <f>IF(A44=0,A43&amp;" - 1",A43&amp;" - "&amp;A44)</f>
        <v>2 - 3</v>
      </c>
      <c r="AN43" s="18">
        <f>AN42+F42+F43</f>
        <v>-29.820000000065193</v>
      </c>
      <c r="AO43" s="18">
        <f>AN43*G43</f>
        <v>611.90640000189319</v>
      </c>
      <c r="AP43" s="9" t="str">
        <f>D43&amp;","&amp;C43</f>
        <v>461679.47,720804.72</v>
      </c>
    </row>
    <row r="44" spans="1:44" s="46" customFormat="1">
      <c r="A44" s="20">
        <f>A43+1</f>
        <v>3</v>
      </c>
      <c r="B44" s="44"/>
      <c r="C44" s="60">
        <v>720804.8</v>
      </c>
      <c r="D44" s="60">
        <v>461699.99</v>
      </c>
      <c r="E44" s="79"/>
      <c r="F44" s="72">
        <f>IF(C45=0,C44-$C$42,C44-C45)</f>
        <v>14.92000000004191</v>
      </c>
      <c r="G44" s="72">
        <f>IF(D45=0,D44-$D$42,D44-D45)</f>
        <v>0.52000000001862645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14.929058912110635</v>
      </c>
      <c r="N44" s="22">
        <f>IF(F44=0,,ATAN(G44/F44))</f>
        <v>3.4838445397528138E-2</v>
      </c>
      <c r="O44" s="22">
        <f>ABS(DEGREES(N44))</f>
        <v>1.9960958860753297</v>
      </c>
      <c r="P44" s="24" t="str">
        <f>TEXT(INT(O44),"00")</f>
        <v>01</v>
      </c>
      <c r="Q44" s="25" t="str">
        <f>TEXT((O44-P44)*60,"00")</f>
        <v>60</v>
      </c>
      <c r="R44" s="23" t="str">
        <f>IF(L44="",IF(F44&gt;0,"S","N"),"")</f>
        <v>S</v>
      </c>
      <c r="S44" s="25">
        <f>IF(L44="",IF(INT(Q44)=60,INT(P44+1),P44),"due")</f>
        <v>2</v>
      </c>
      <c r="T44" s="25" t="str">
        <f>IF(L44="",IF(INT(Q44)=60,"00",Q44),L44)</f>
        <v>00</v>
      </c>
      <c r="U44" s="24" t="str">
        <f>IF(L44="",IF(G44&gt;0,"W","E"),"")</f>
        <v>W</v>
      </c>
      <c r="V44" s="44"/>
      <c r="W44" s="22">
        <f>IF(S44="due",90*(I44+K44),S44+T44/60)</f>
        <v>2</v>
      </c>
      <c r="X44" s="22">
        <f>IF(R44="",W44,IF(R44="N",IF(U44="E",180+W44,180-W44),IF(U44="E",360-W44,W44)))</f>
        <v>2</v>
      </c>
      <c r="Y44" s="22">
        <f>RADIANS(X44)</f>
        <v>3.4906585039886591E-2</v>
      </c>
      <c r="Z44" s="64"/>
      <c r="AA44" s="58">
        <f>-M44*COS(Y44)</f>
        <v>-14.919964532791051</v>
      </c>
      <c r="AB44" s="58">
        <f>-M44*SIN(Y44)</f>
        <v>-0.52101664227464783</v>
      </c>
      <c r="AC44" s="64"/>
      <c r="AD44" s="82">
        <f>$AA$40/$M$40*M44</f>
        <v>-5.4530524678467337E-4</v>
      </c>
      <c r="AE44" s="82">
        <f>$AB$40/$M$40*M44</f>
        <v>1.2377055470114809E-4</v>
      </c>
      <c r="AF44" s="22">
        <f>AA44-AD44</f>
        <v>-14.919419227544266</v>
      </c>
      <c r="AG44" s="22">
        <f>AB44-AE44</f>
        <v>-0.52114041282934898</v>
      </c>
      <c r="AH44" s="64"/>
      <c r="AI44" s="25">
        <f>A44</f>
        <v>3</v>
      </c>
      <c r="AJ44" s="82">
        <f t="shared" si="1"/>
        <v>720804.73420978466</v>
      </c>
      <c r="AK44" s="82">
        <f t="shared" si="1"/>
        <v>461700.02805772494</v>
      </c>
      <c r="AL44" s="66"/>
      <c r="AM44" s="9" t="str">
        <f>IF(A45=0,A44&amp;" - 1",A44&amp;" - "&amp;A45)</f>
        <v>3 - 4</v>
      </c>
      <c r="AN44" s="18">
        <f>AN43+F43+F44</f>
        <v>-14.980000000097789</v>
      </c>
      <c r="AO44" s="18">
        <f>AN44*G44</f>
        <v>-7.7896000003298749</v>
      </c>
      <c r="AP44" s="9" t="str">
        <f>D44&amp;","&amp;C44</f>
        <v>461699.99,720804.8</v>
      </c>
    </row>
    <row r="45" spans="1:44" s="46" customFormat="1">
      <c r="A45" s="20">
        <f>A44+1</f>
        <v>4</v>
      </c>
      <c r="B45" s="44"/>
      <c r="C45" s="60">
        <v>720789.88</v>
      </c>
      <c r="D45" s="60">
        <v>461699.47</v>
      </c>
      <c r="E45" s="79"/>
      <c r="F45" s="72">
        <f>IF(C46=0,C45-$C$42,C45-C46)</f>
        <v>3.0000000027939677E-2</v>
      </c>
      <c r="G45" s="72">
        <f>IF(D46=0,D45-$D$42,D45-D46)</f>
        <v>20.729999999981374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20.730021707640091</v>
      </c>
      <c r="N45" s="22">
        <f>IF(F45=0,,ATAN(G45/F45))</f>
        <v>1.5693491498009384</v>
      </c>
      <c r="O45" s="22">
        <f>ABS(DEGREES(N45))</f>
        <v>89.917082866037774</v>
      </c>
      <c r="P45" s="24" t="str">
        <f>TEXT(INT(O45),"00")</f>
        <v>89</v>
      </c>
      <c r="Q45" s="25" t="str">
        <f>TEXT((O45-P45)*60,"00")</f>
        <v>55</v>
      </c>
      <c r="R45" s="23" t="str">
        <f>IF(L45="",IF(F45&gt;0,"S","N"),"")</f>
        <v>S</v>
      </c>
      <c r="S45" s="25" t="str">
        <f>IF(L45="",IF(INT(Q45)=60,INT(P45+1),P45),"due")</f>
        <v>89</v>
      </c>
      <c r="T45" s="25" t="str">
        <f>IF(L45="",IF(INT(Q45)=60,"00",Q45),L45)</f>
        <v>55</v>
      </c>
      <c r="U45" s="24" t="str">
        <f>IF(L45="",IF(G45&gt;0,"W","E"),"")</f>
        <v>W</v>
      </c>
      <c r="V45" s="44"/>
      <c r="W45" s="22">
        <f>IF(S45="due",90*(I45+K45),S45+T45/60)</f>
        <v>89.916666666666671</v>
      </c>
      <c r="X45" s="22">
        <f>IF(R45="",W45,IF(R45="N",IF(U45="E",180+W45,180-W45),IF(U45="E",360-W45,W45)))</f>
        <v>89.916666666666671</v>
      </c>
      <c r="Y45" s="22">
        <f>RADIANS(X45)</f>
        <v>1.569341885751568</v>
      </c>
      <c r="Z45" s="64"/>
      <c r="AA45" s="58">
        <f>-M45*COS(Y45)</f>
        <v>-3.0150583770598521E-2</v>
      </c>
      <c r="AB45" s="58">
        <f>-M45*SIN(Y45)</f>
        <v>-20.729999781512969</v>
      </c>
      <c r="AC45" s="64"/>
      <c r="AD45" s="82">
        <f>$AA$40/$M$40*M45</f>
        <v>-7.5719371660903684E-4</v>
      </c>
      <c r="AE45" s="82">
        <f>$AB$40/$M$40*M45</f>
        <v>1.7186389984971353E-4</v>
      </c>
      <c r="AF45" s="22">
        <f>AA45-AD45</f>
        <v>-2.9393390053989485E-2</v>
      </c>
      <c r="AG45" s="22">
        <f>AB45-AE45</f>
        <v>-20.73017164541282</v>
      </c>
      <c r="AH45" s="64"/>
      <c r="AI45" s="25">
        <f>A45</f>
        <v>4</v>
      </c>
      <c r="AJ45" s="82">
        <f t="shared" ref="AJ45" si="2">AJ44+AF44</f>
        <v>720789.81479055714</v>
      </c>
      <c r="AK45" s="82">
        <f t="shared" ref="AK45" si="3">AK44+AG44</f>
        <v>461699.5069173121</v>
      </c>
      <c r="AL45" s="66"/>
      <c r="AM45" s="9" t="str">
        <f>IF(A46=0,A45&amp;" - 1",A45&amp;" - "&amp;A46)</f>
        <v>4 - 1</v>
      </c>
      <c r="AN45" s="18">
        <f>AN44+F44+F45</f>
        <v>-3.0000000027939677E-2</v>
      </c>
      <c r="AO45" s="18">
        <f>AN45*G45</f>
        <v>-0.62190000057863071</v>
      </c>
      <c r="AP45" s="9" t="str">
        <f>D45&amp;","&amp;C45</f>
        <v>461699.47,720789.88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S47"/>
  <sheetViews>
    <sheetView workbookViewId="0">
      <selection activeCell="C17" sqref="C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84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85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86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600.28180000078919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300.14090000039459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1.512209342139589E-3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46369.207971423937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46000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46000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70.119949482000777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1.284552117136073E-3</v>
      </c>
      <c r="AB40" s="91">
        <f>SUM(AB42:AB65536)</f>
        <v>-7.979366847159497E-4</v>
      </c>
      <c r="AC40" s="91"/>
      <c r="AD40" s="91">
        <f>SUM(AD42:AD65536)</f>
        <v>1.284552117136073E-3</v>
      </c>
      <c r="AE40" s="91">
        <f>SUM(AE42:AE65536)</f>
        <v>-7.979366847159497E-4</v>
      </c>
      <c r="AF40" s="91">
        <f>SUM(AF42:AF65536)</f>
        <v>0</v>
      </c>
      <c r="AG40" s="91">
        <f>SUM(AG42:AG65536)</f>
        <v>0</v>
      </c>
      <c r="AH40" s="92"/>
      <c r="AI40" s="93">
        <v>1</v>
      </c>
      <c r="AJ40" s="92">
        <f>AJ44+AF44</f>
        <v>720804.65559144784</v>
      </c>
      <c r="AK40" s="92">
        <f>AK44+AG44</f>
        <v>461679.50817263499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438.77000000001863</v>
      </c>
      <c r="G41" s="72">
        <f>IF(D42=0,D41-$D$41,D41-D42)</f>
        <v>771.47999999998137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887.52493108643864</v>
      </c>
      <c r="N41" s="36">
        <f>IF(F41=0,,ATAN(G41/F41))</f>
        <v>1.0536808326120879</v>
      </c>
      <c r="O41" s="36">
        <f>ABS(DEGREES(N41))</f>
        <v>60.371464662503193</v>
      </c>
      <c r="P41" s="37" t="str">
        <f>TEXT(INT(O41),"00")</f>
        <v>60</v>
      </c>
      <c r="Q41" s="38" t="str">
        <f>TEXT((O41-P41)*60,"00")</f>
        <v>22</v>
      </c>
      <c r="R41" s="39" t="str">
        <f>IF(L41="",IF(F41&gt;0,"S","N"),"")</f>
        <v>S</v>
      </c>
      <c r="S41" s="25" t="str">
        <f>IF(L41="",IF(INT(Q41)=60,INT(P41+1),P41),"due")</f>
        <v>60</v>
      </c>
      <c r="T41" s="38" t="str">
        <f>IF(L41="",IF(INT(Q41)=60,"00",Q41),L41)</f>
        <v>22</v>
      </c>
      <c r="U41" s="40" t="str">
        <f>IF(L41="",IF(G41&gt;0,"W","E"),"")</f>
        <v>W</v>
      </c>
      <c r="V41" s="41"/>
      <c r="W41" s="22">
        <f>IF(S41="due",90*(I41+K41),S41+T41/60)</f>
        <v>60.366666666666667</v>
      </c>
      <c r="X41" s="22">
        <f>IF(R41="",W41,IF(R41="N",IF(U41="E",180+W41,180-W41),IF(U41="E",360-W41,W41)))</f>
        <v>60.366666666666667</v>
      </c>
      <c r="Y41" s="22">
        <f>RADIANS(X41)</f>
        <v>1.0535970917872437</v>
      </c>
      <c r="Z41" s="64"/>
      <c r="AA41" s="58">
        <f>-M41*COS(Y41)</f>
        <v>-438.83460283305089</v>
      </c>
      <c r="AB41" s="58">
        <f>-M41*SIN(Y41)</f>
        <v>-771.44325433329584</v>
      </c>
      <c r="AC41" s="64"/>
      <c r="AD41" s="22">
        <v>0</v>
      </c>
      <c r="AE41" s="22">
        <v>0</v>
      </c>
      <c r="AF41" s="22">
        <f t="shared" ref="AF41:AG43" si="0">AA41-AD41</f>
        <v>-438.83460283305089</v>
      </c>
      <c r="AG41" s="22">
        <f t="shared" si="0"/>
        <v>-771.44325433329584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720789.85</v>
      </c>
      <c r="D42" s="60">
        <v>461678.74</v>
      </c>
      <c r="E42" s="79"/>
      <c r="F42" s="72">
        <f>IF(C43=0,C42-$C$42,C42-C43)</f>
        <v>-0.33999999996740371</v>
      </c>
      <c r="G42" s="72">
        <f>IF(D43=0,D42-$D$42,D42-D43)</f>
        <v>20.159999999974389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20.162866859624533</v>
      </c>
      <c r="N42" s="36">
        <f>IF(F42=0,,ATAN(G42/F42))</f>
        <v>-1.5539328461418329</v>
      </c>
      <c r="O42" s="36">
        <f>ABS(DEGREES(N42))</f>
        <v>89.033793730678937</v>
      </c>
      <c r="P42" s="37" t="str">
        <f>TEXT(INT(O42),"00")</f>
        <v>89</v>
      </c>
      <c r="Q42" s="38" t="str">
        <f>TEXT((O42-P42)*60,"00")</f>
        <v>02</v>
      </c>
      <c r="R42" s="39" t="str">
        <f>IF(L42="",IF(F42&gt;0,"S","N"),"")</f>
        <v>N</v>
      </c>
      <c r="S42" s="25" t="str">
        <f>IF(L42="",IF(INT(Q42)=60,INT(P42+1),P42),"due")</f>
        <v>89</v>
      </c>
      <c r="T42" s="38" t="str">
        <f>IF(L42="",IF(INT(Q42)=60,"00",Q42),L42)</f>
        <v>02</v>
      </c>
      <c r="U42" s="40" t="str">
        <f>IF(L42="",IF(G42&gt;0,"W","E"),"")</f>
        <v>W</v>
      </c>
      <c r="V42" s="44"/>
      <c r="W42" s="22">
        <f>IF(S42="due",90*(I42+K42),S42+T42/60)</f>
        <v>89.033333333333331</v>
      </c>
      <c r="X42" s="22">
        <f>IF(R42="",W42,IF(R42="N",IF(U42="E",180+W42,180-W42),IF(U42="E",360-W42,W42)))</f>
        <v>90.966666666666669</v>
      </c>
      <c r="Y42" s="22">
        <f>RADIANS(X42)</f>
        <v>1.5876678428975084</v>
      </c>
      <c r="Z42" s="64"/>
      <c r="AA42" s="58">
        <f>-M42*COS(Y42)</f>
        <v>0.34016199461931301</v>
      </c>
      <c r="AB42" s="58">
        <f>-M42*SIN(Y42)</f>
        <v>-20.159997267270697</v>
      </c>
      <c r="AC42" s="64"/>
      <c r="AD42" s="82">
        <f>$AA$40/$M$40*M42</f>
        <v>3.6937067843598268E-4</v>
      </c>
      <c r="AE42" s="82">
        <f>$AB$40/$M$40*M42</f>
        <v>-2.2944527563397243E-4</v>
      </c>
      <c r="AF42" s="22">
        <f t="shared" si="0"/>
        <v>0.339792623940877</v>
      </c>
      <c r="AG42" s="22">
        <f t="shared" si="0"/>
        <v>-20.159767821995064</v>
      </c>
      <c r="AH42" s="63"/>
      <c r="AI42" s="38">
        <f>A42</f>
        <v>1</v>
      </c>
      <c r="AJ42" s="82">
        <f t="shared" ref="AJ42:AK44" si="1">AJ41+AF41</f>
        <v>720789.78539716697</v>
      </c>
      <c r="AK42" s="82">
        <f t="shared" si="1"/>
        <v>461678.77674566669</v>
      </c>
      <c r="AL42" s="66"/>
      <c r="AM42" s="9" t="str">
        <f>IF(A43=0,A42&amp;" - 1",A42&amp;" - "&amp;A43)</f>
        <v>1 - 2</v>
      </c>
      <c r="AN42" s="18">
        <f>F42</f>
        <v>-0.33999999996740371</v>
      </c>
      <c r="AO42" s="18">
        <f>AN42*G42</f>
        <v>-6.8543999993341513</v>
      </c>
      <c r="AP42" s="9" t="str">
        <f>D42&amp;","&amp;C42</f>
        <v>461678.74,720789.85</v>
      </c>
    </row>
    <row r="43" spans="1:44">
      <c r="A43" s="20">
        <f>A42+1</f>
        <v>2</v>
      </c>
      <c r="B43" s="44"/>
      <c r="C43" s="60">
        <v>720790.19</v>
      </c>
      <c r="D43" s="60">
        <v>461658.58</v>
      </c>
      <c r="E43" s="79"/>
      <c r="F43" s="72">
        <f>IF(C44=0,C43-$C$42,C43-C44)</f>
        <v>-14.860000000102445</v>
      </c>
      <c r="G43" s="72">
        <f>IF(D44=0,D43-$D$42,D43-D44)</f>
        <v>-0.70000000001164153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14.876478077927617</v>
      </c>
      <c r="N43" s="36">
        <f>IF(F43=0,,ATAN(G43/F43))</f>
        <v>4.7071528951944733E-2</v>
      </c>
      <c r="O43" s="36">
        <f>ABS(DEGREES(N43))</f>
        <v>2.6969999441742964</v>
      </c>
      <c r="P43" s="37" t="str">
        <f>TEXT(INT(O43),"00")</f>
        <v>02</v>
      </c>
      <c r="Q43" s="38" t="str">
        <f>TEXT((O43-P43)*60,"00")</f>
        <v>42</v>
      </c>
      <c r="R43" s="39" t="str">
        <f>IF(L43="",IF(F43&gt;0,"S","N"),"")</f>
        <v>N</v>
      </c>
      <c r="S43" s="25" t="str">
        <f>IF(L43="",IF(INT(Q43)=60,INT(P43+1),P43),"due")</f>
        <v>02</v>
      </c>
      <c r="T43" s="38" t="str">
        <f>IF(L43="",IF(INT(Q43)=60,"00",Q43),L43)</f>
        <v>42</v>
      </c>
      <c r="U43" s="40" t="str">
        <f>IF(L43="",IF(G43&gt;0,"W","E"),"")</f>
        <v>E</v>
      </c>
      <c r="V43" s="44"/>
      <c r="W43" s="22">
        <f>IF(S43="due",90*(I43+K43),S43+T43/60)</f>
        <v>2.7</v>
      </c>
      <c r="X43" s="22">
        <f>IF(R43="",W43,IF(R43="N",IF(U43="E",180+W43,180-W43),IF(U43="E",360-W43,W43)))</f>
        <v>182.7</v>
      </c>
      <c r="Y43" s="22">
        <f>RADIANS(X43)</f>
        <v>3.1887165433936397</v>
      </c>
      <c r="Z43" s="64"/>
      <c r="AA43" s="58">
        <f>-M43*COS(Y43)</f>
        <v>14.859963327135604</v>
      </c>
      <c r="AB43" s="58">
        <f>-M43*SIN(Y43)</f>
        <v>0.70077808131097108</v>
      </c>
      <c r="AC43" s="64"/>
      <c r="AD43" s="82">
        <f>$AA$40/$M$40*M43</f>
        <v>2.7252745547735429E-4</v>
      </c>
      <c r="AE43" s="82">
        <f>$AB$40/$M$40*M43</f>
        <v>-1.6928830789871181E-4</v>
      </c>
      <c r="AF43" s="22">
        <f t="shared" si="0"/>
        <v>14.859690799680127</v>
      </c>
      <c r="AG43" s="22">
        <f t="shared" si="0"/>
        <v>0.70094736961886983</v>
      </c>
      <c r="AH43" s="64"/>
      <c r="AI43" s="25">
        <f>A43</f>
        <v>2</v>
      </c>
      <c r="AJ43" s="82">
        <f t="shared" si="1"/>
        <v>720790.12518979085</v>
      </c>
      <c r="AK43" s="82">
        <f t="shared" si="1"/>
        <v>461658.61697784468</v>
      </c>
      <c r="AL43" s="66"/>
      <c r="AM43" s="9" t="str">
        <f>IF(A44=0,A43&amp;" - 1",A43&amp;" - "&amp;A44)</f>
        <v>2 - 3</v>
      </c>
      <c r="AN43" s="18">
        <f>AN42+F42+F43</f>
        <v>-15.540000000037253</v>
      </c>
      <c r="AO43" s="18">
        <f>AN43*G43</f>
        <v>10.878000000206987</v>
      </c>
      <c r="AP43" s="9" t="str">
        <f>D43&amp;","&amp;C43</f>
        <v>461658.58,720790.19</v>
      </c>
    </row>
    <row r="44" spans="1:44" s="46" customFormat="1">
      <c r="A44" s="20">
        <f>A43+1</f>
        <v>3</v>
      </c>
      <c r="B44" s="44"/>
      <c r="C44" s="60">
        <v>720805.05</v>
      </c>
      <c r="D44" s="60">
        <v>461659.28</v>
      </c>
      <c r="E44" s="79"/>
      <c r="F44" s="72">
        <f>IF(C45=0,C44-$C$42,C44-C45)</f>
        <v>0.33000000007450581</v>
      </c>
      <c r="G44" s="72">
        <f>IF(D45=0,D44-$D$42,D44-D45)</f>
        <v>-20.189999999944121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20.192696699494913</v>
      </c>
      <c r="N44" s="22">
        <f>IF(F44=0,,ATAN(G44/F44))</f>
        <v>-1.554453056944447</v>
      </c>
      <c r="O44" s="22">
        <f>ABS(DEGREES(N44))</f>
        <v>89.063599614125835</v>
      </c>
      <c r="P44" s="24" t="str">
        <f>TEXT(INT(O44),"00")</f>
        <v>89</v>
      </c>
      <c r="Q44" s="25" t="str">
        <f>TEXT((O44-P44)*60,"00")</f>
        <v>04</v>
      </c>
      <c r="R44" s="23" t="str">
        <f>IF(L44="",IF(F44&gt;0,"S","N"),"")</f>
        <v>S</v>
      </c>
      <c r="S44" s="25" t="str">
        <f>IF(L44="",IF(INT(Q44)=60,INT(P44+1),P44),"due")</f>
        <v>89</v>
      </c>
      <c r="T44" s="25" t="str">
        <f>IF(L44="",IF(INT(Q44)=60,"00",Q44),L44)</f>
        <v>04</v>
      </c>
      <c r="U44" s="24" t="str">
        <f>IF(L44="",IF(G44&gt;0,"W","E"),"")</f>
        <v>E</v>
      </c>
      <c r="V44" s="44"/>
      <c r="W44" s="22">
        <f>IF(S44="due",90*(I44+K44),S44+T44/60)</f>
        <v>89.066666666666663</v>
      </c>
      <c r="X44" s="22">
        <f>IF(R44="",W44,IF(R44="N",IF(U44="E",180+W44,180-W44),IF(U44="E",360-W44,W44)))</f>
        <v>270.93333333333334</v>
      </c>
      <c r="Y44" s="22">
        <f>RADIANS(X44)</f>
        <v>4.7286787200699703</v>
      </c>
      <c r="Z44" s="64"/>
      <c r="AA44" s="58">
        <f>-M44*COS(Y44)</f>
        <v>-0.3289192255674549</v>
      </c>
      <c r="AB44" s="58">
        <f>-M44*SIN(Y44)</f>
        <v>20.190017635971618</v>
      </c>
      <c r="AC44" s="64"/>
      <c r="AD44" s="82">
        <f>$AA$40/$M$40*M44</f>
        <v>3.6991714180685493E-4</v>
      </c>
      <c r="AE44" s="82">
        <f>$AB$40/$M$40*M44</f>
        <v>-2.2978472715536706E-4</v>
      </c>
      <c r="AF44" s="22">
        <f>AA44-AD44</f>
        <v>-0.32928914270926174</v>
      </c>
      <c r="AG44" s="22">
        <f>AB44-AE44</f>
        <v>20.190247420698775</v>
      </c>
      <c r="AH44" s="64"/>
      <c r="AI44" s="25">
        <f>A44</f>
        <v>3</v>
      </c>
      <c r="AJ44" s="82">
        <f t="shared" si="1"/>
        <v>720804.98488059058</v>
      </c>
      <c r="AK44" s="82">
        <f t="shared" si="1"/>
        <v>461659.3179252143</v>
      </c>
      <c r="AL44" s="66"/>
      <c r="AM44" s="9" t="str">
        <f>IF(A45=0,A44&amp;" - 1",A44&amp;" - "&amp;A45)</f>
        <v>3 - 4</v>
      </c>
      <c r="AN44" s="18">
        <f>AN43+F43+F44</f>
        <v>-30.070000000065193</v>
      </c>
      <c r="AO44" s="18">
        <f>AN44*G44</f>
        <v>607.11329999963596</v>
      </c>
      <c r="AP44" s="9" t="str">
        <f>D44&amp;","&amp;C44</f>
        <v>461659.28,720805.05</v>
      </c>
    </row>
    <row r="45" spans="1:44" s="46" customFormat="1">
      <c r="A45" s="20">
        <f>A44+1</f>
        <v>4</v>
      </c>
      <c r="B45" s="44"/>
      <c r="C45" s="60">
        <v>720804.72</v>
      </c>
      <c r="D45" s="60">
        <v>461679.47</v>
      </c>
      <c r="E45" s="79"/>
      <c r="F45" s="72">
        <f>IF(C46=0,C45-$C$42,C45-C46)</f>
        <v>14.869999999995343</v>
      </c>
      <c r="G45" s="72">
        <f>IF(D46=0,D45-$D$42,D45-D46)</f>
        <v>0.72999999998137355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14.887907844953714</v>
      </c>
      <c r="N45" s="22">
        <f>IF(F45=0,,ATAN(G45/F45))</f>
        <v>4.9052750779969054E-2</v>
      </c>
      <c r="O45" s="22">
        <f>ABS(DEGREES(N45))</f>
        <v>2.810515593199284</v>
      </c>
      <c r="P45" s="24" t="str">
        <f>TEXT(INT(O45),"00")</f>
        <v>02</v>
      </c>
      <c r="Q45" s="25" t="str">
        <f>TEXT((O45-P45)*60,"00")</f>
        <v>49</v>
      </c>
      <c r="R45" s="23" t="str">
        <f>IF(L45="",IF(F45&gt;0,"S","N"),"")</f>
        <v>S</v>
      </c>
      <c r="S45" s="25" t="str">
        <f>IF(L45="",IF(INT(Q45)=60,INT(P45+1),P45),"due")</f>
        <v>02</v>
      </c>
      <c r="T45" s="25" t="str">
        <f>IF(L45="",IF(INT(Q45)=60,"00",Q45),L45)</f>
        <v>49</v>
      </c>
      <c r="U45" s="24" t="str">
        <f>IF(L45="",IF(G45&gt;0,"W","E"),"")</f>
        <v>W</v>
      </c>
      <c r="V45" s="44"/>
      <c r="W45" s="22">
        <f>IF(S45="due",90*(I45+K45),S45+T45/60)</f>
        <v>2.8166666666666664</v>
      </c>
      <c r="X45" s="22">
        <f>IF(R45="",W45,IF(R45="N",IF(U45="E",180+W45,180-W45),IF(U45="E",360-W45,W45)))</f>
        <v>2.8166666666666664</v>
      </c>
      <c r="Y45" s="22">
        <f>RADIANS(X45)</f>
        <v>4.9160107264506946E-2</v>
      </c>
      <c r="Z45" s="64"/>
      <c r="AA45" s="58">
        <f>-M45*COS(Y45)</f>
        <v>-14.869921544070326</v>
      </c>
      <c r="AB45" s="58">
        <f>-M45*SIN(Y45)</f>
        <v>-0.73159638669660865</v>
      </c>
      <c r="AC45" s="64"/>
      <c r="AD45" s="82">
        <f>$AA$40/$M$40*M45</f>
        <v>2.7273684141588118E-4</v>
      </c>
      <c r="AE45" s="82">
        <f>$AB$40/$M$40*M45</f>
        <v>-1.6941837402789837E-4</v>
      </c>
      <c r="AF45" s="22">
        <f>AA45-AD45</f>
        <v>-14.870194280911742</v>
      </c>
      <c r="AG45" s="22">
        <f>AB45-AE45</f>
        <v>-0.7314269683225807</v>
      </c>
      <c r="AH45" s="64"/>
      <c r="AI45" s="25">
        <f>A45</f>
        <v>4</v>
      </c>
      <c r="AJ45" s="82">
        <f t="shared" ref="AJ45" si="2">AJ44+AF44</f>
        <v>720804.65559144784</v>
      </c>
      <c r="AK45" s="82">
        <f t="shared" ref="AK45" si="3">AK44+AG44</f>
        <v>461679.50817263499</v>
      </c>
      <c r="AL45" s="66"/>
      <c r="AM45" s="9" t="str">
        <f>IF(A46=0,A45&amp;" - 1",A45&amp;" - "&amp;A46)</f>
        <v>4 - 1</v>
      </c>
      <c r="AN45" s="18">
        <f>AN44+F44+F45</f>
        <v>-14.869999999995343</v>
      </c>
      <c r="AO45" s="18">
        <f>AN45*G45</f>
        <v>-10.855099999719625</v>
      </c>
      <c r="AP45" s="9" t="str">
        <f>D45&amp;","&amp;C45</f>
        <v>461679.47,720804.72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S47"/>
  <sheetViews>
    <sheetView workbookViewId="0">
      <selection activeCell="D17" sqref="D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87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88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89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617.21189999779813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308.60594999889906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3.1807300693242565E-3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22350.188831333373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22000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22000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71.089917670897222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-1.8144486510518476E-4</v>
      </c>
      <c r="AB40" s="91">
        <f>SUM(AB42:AB65536)</f>
        <v>3.17555058766672E-3</v>
      </c>
      <c r="AC40" s="91"/>
      <c r="AD40" s="91">
        <f>SUM(AD42:AD65536)</f>
        <v>-1.8144486510518476E-4</v>
      </c>
      <c r="AE40" s="91">
        <f>SUM(AE42:AE65536)</f>
        <v>3.1755505876667205E-3</v>
      </c>
      <c r="AF40" s="91">
        <f>SUM(AF42:AF65536)</f>
        <v>-1.1102230246251565E-15</v>
      </c>
      <c r="AG40" s="91">
        <f>SUM(AG42:AG65536)</f>
        <v>0</v>
      </c>
      <c r="AH40" s="92"/>
      <c r="AI40" s="93">
        <v>1</v>
      </c>
      <c r="AJ40" s="92">
        <f>AJ44+AF44</f>
        <v>720790.12550769933</v>
      </c>
      <c r="AK40" s="92">
        <f>AK44+AG44</f>
        <v>461658.6176490644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438.77000000001863</v>
      </c>
      <c r="G41" s="72">
        <f>IF(D42=0,D41-$D$41,D41-D42)</f>
        <v>771.47999999998137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887.52493108643864</v>
      </c>
      <c r="N41" s="36">
        <f>IF(F41=0,,ATAN(G41/F41))</f>
        <v>1.0536808326120879</v>
      </c>
      <c r="O41" s="36">
        <f>ABS(DEGREES(N41))</f>
        <v>60.371464662503193</v>
      </c>
      <c r="P41" s="37" t="str">
        <f>TEXT(INT(O41),"00")</f>
        <v>60</v>
      </c>
      <c r="Q41" s="38" t="str">
        <f>TEXT((O41-P41)*60,"00")</f>
        <v>22</v>
      </c>
      <c r="R41" s="39" t="str">
        <f>IF(L41="",IF(F41&gt;0,"S","N"),"")</f>
        <v>S</v>
      </c>
      <c r="S41" s="25" t="str">
        <f>IF(L41="",IF(INT(Q41)=60,INT(P41+1),P41),"due")</f>
        <v>60</v>
      </c>
      <c r="T41" s="38" t="str">
        <f>IF(L41="",IF(INT(Q41)=60,"00",Q41),L41)</f>
        <v>22</v>
      </c>
      <c r="U41" s="40" t="str">
        <f>IF(L41="",IF(G41&gt;0,"W","E"),"")</f>
        <v>W</v>
      </c>
      <c r="V41" s="41"/>
      <c r="W41" s="22">
        <f>IF(S41="due",90*(I41+K41),S41+T41/60)</f>
        <v>60.366666666666667</v>
      </c>
      <c r="X41" s="22">
        <f>IF(R41="",W41,IF(R41="N",IF(U41="E",180+W41,180-W41),IF(U41="E",360-W41,W41)))</f>
        <v>60.366666666666667</v>
      </c>
      <c r="Y41" s="22">
        <f>RADIANS(X41)</f>
        <v>1.0535970917872437</v>
      </c>
      <c r="Z41" s="64"/>
      <c r="AA41" s="58">
        <f>-M41*COS(Y41)</f>
        <v>-438.83460283305089</v>
      </c>
      <c r="AB41" s="58">
        <f>-M41*SIN(Y41)</f>
        <v>-771.44325433329584</v>
      </c>
      <c r="AC41" s="64"/>
      <c r="AD41" s="22">
        <v>0</v>
      </c>
      <c r="AE41" s="22">
        <v>0</v>
      </c>
      <c r="AF41" s="22">
        <f t="shared" ref="AF41:AG43" si="0">AA41-AD41</f>
        <v>-438.83460283305089</v>
      </c>
      <c r="AG41" s="22">
        <f t="shared" si="0"/>
        <v>-771.44325433329584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720789.85</v>
      </c>
      <c r="D42" s="60">
        <v>461678.74</v>
      </c>
      <c r="E42" s="79"/>
      <c r="F42" s="72">
        <f>IF(C43=0,C42-$C$42,C42-C43)</f>
        <v>15.119999999995343</v>
      </c>
      <c r="G42" s="72">
        <f>IF(D43=0,D42-$D$42,D42-D43)</f>
        <v>0.22999999998137355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15.121749237434491</v>
      </c>
      <c r="N42" s="36">
        <f>IF(F42=0,,ATAN(G42/F42))</f>
        <v>1.5210467079201071E-2</v>
      </c>
      <c r="O42" s="36">
        <f>ABS(DEGREES(N42))</f>
        <v>0.87149556806090189</v>
      </c>
      <c r="P42" s="37" t="str">
        <f>TEXT(INT(O42),"00")</f>
        <v>00</v>
      </c>
      <c r="Q42" s="38" t="str">
        <f>TEXT((O42-P42)*60,"00")</f>
        <v>52</v>
      </c>
      <c r="R42" s="39" t="str">
        <f>IF(L42="",IF(F42&gt;0,"S","N"),"")</f>
        <v>S</v>
      </c>
      <c r="S42" s="25" t="str">
        <f>IF(L42="",IF(INT(Q42)=60,INT(P42+1),P42),"due")</f>
        <v>00</v>
      </c>
      <c r="T42" s="38" t="str">
        <f>IF(L42="",IF(INT(Q42)=60,"00",Q42),L42)</f>
        <v>52</v>
      </c>
      <c r="U42" s="40" t="str">
        <f>IF(L42="",IF(G42&gt;0,"W","E"),"")</f>
        <v>W</v>
      </c>
      <c r="V42" s="44"/>
      <c r="W42" s="22">
        <f>IF(S42="due",90*(I42+K42),S42+T42/60)</f>
        <v>0.8666666666666667</v>
      </c>
      <c r="X42" s="22">
        <f>IF(R42="",W42,IF(R42="N",IF(U42="E",180+W42,180-W42),IF(U42="E",360-W42,W42)))</f>
        <v>0.8666666666666667</v>
      </c>
      <c r="Y42" s="22">
        <f>RADIANS(X42)</f>
        <v>1.5126186850617522E-2</v>
      </c>
      <c r="Z42" s="64"/>
      <c r="AA42" s="58">
        <f>-M42*COS(Y42)</f>
        <v>-15.120019330748027</v>
      </c>
      <c r="AB42" s="58">
        <f>-M42*SIN(Y42)</f>
        <v>-0.22872568210983624</v>
      </c>
      <c r="AC42" s="64"/>
      <c r="AD42" s="82">
        <f>$AA$40/$M$40*M42</f>
        <v>-3.8595680518898291E-5</v>
      </c>
      <c r="AE42" s="82">
        <f>$AB$40/$M$40*M42</f>
        <v>6.7548087338891718E-4</v>
      </c>
      <c r="AF42" s="22">
        <f t="shared" si="0"/>
        <v>-15.119980735067509</v>
      </c>
      <c r="AG42" s="22">
        <f t="shared" si="0"/>
        <v>-0.22940116298322516</v>
      </c>
      <c r="AH42" s="63"/>
      <c r="AI42" s="38">
        <f>A42</f>
        <v>1</v>
      </c>
      <c r="AJ42" s="82">
        <f t="shared" ref="AJ42:AK44" si="1">AJ41+AF41</f>
        <v>720789.78539716697</v>
      </c>
      <c r="AK42" s="82">
        <f t="shared" si="1"/>
        <v>461678.77674566669</v>
      </c>
      <c r="AL42" s="66"/>
      <c r="AM42" s="9" t="str">
        <f>IF(A43=0,A42&amp;" - 1",A42&amp;" - "&amp;A43)</f>
        <v>1 - 2</v>
      </c>
      <c r="AN42" s="18">
        <f>F42</f>
        <v>15.119999999995343</v>
      </c>
      <c r="AO42" s="18">
        <f>AN42*G42</f>
        <v>3.4775999997172971</v>
      </c>
      <c r="AP42" s="9" t="str">
        <f>D42&amp;","&amp;C42</f>
        <v>461678.74,720789.85</v>
      </c>
    </row>
    <row r="43" spans="1:44">
      <c r="A43" s="20">
        <f>A42+1</f>
        <v>2</v>
      </c>
      <c r="B43" s="44"/>
      <c r="C43" s="60">
        <v>720774.73</v>
      </c>
      <c r="D43" s="60">
        <v>461678.51</v>
      </c>
      <c r="E43" s="79"/>
      <c r="F43" s="72">
        <f>IF(C44=0,C43-$C$42,C43-C44)</f>
        <v>-0.41000000003259629</v>
      </c>
      <c r="G43" s="72">
        <f>IF(D44=0,D43-$D$42,D43-D44)</f>
        <v>20.729999999981374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20.734054113927034</v>
      </c>
      <c r="N43" s="36">
        <f>IF(F43=0,,ATAN(G43/F43))</f>
        <v>-1.5510208057028829</v>
      </c>
      <c r="O43" s="36">
        <f>ABS(DEGREES(N43))</f>
        <v>88.86694610375568</v>
      </c>
      <c r="P43" s="37" t="str">
        <f>TEXT(INT(O43),"00")</f>
        <v>88</v>
      </c>
      <c r="Q43" s="38" t="str">
        <f>TEXT((O43-P43)*60,"00")</f>
        <v>52</v>
      </c>
      <c r="R43" s="39" t="str">
        <f>IF(L43="",IF(F43&gt;0,"S","N"),"")</f>
        <v>N</v>
      </c>
      <c r="S43" s="25" t="str">
        <f>IF(L43="",IF(INT(Q43)=60,INT(P43+1),P43),"due")</f>
        <v>88</v>
      </c>
      <c r="T43" s="38" t="str">
        <f>IF(L43="",IF(INT(Q43)=60,"00",Q43),L43)</f>
        <v>52</v>
      </c>
      <c r="U43" s="40" t="str">
        <f>IF(L43="",IF(G43&gt;0,"W","E"),"")</f>
        <v>W</v>
      </c>
      <c r="V43" s="44"/>
      <c r="W43" s="22">
        <f>IF(S43="due",90*(I43+K43),S43+T43/60)</f>
        <v>88.86666666666666</v>
      </c>
      <c r="X43" s="22">
        <f>IF(R43="",W43,IF(R43="N",IF(U43="E",180+W43,180-W43),IF(U43="E",360-W43,W43)))</f>
        <v>91.13333333333334</v>
      </c>
      <c r="Y43" s="22">
        <f>RADIANS(X43)</f>
        <v>1.5905767249841658</v>
      </c>
      <c r="Z43" s="64"/>
      <c r="AA43" s="58">
        <f>-M43*COS(Y43)</f>
        <v>0.41010110225382768</v>
      </c>
      <c r="AB43" s="58">
        <f>-M43*SIN(Y43)</f>
        <v>-20.729998000124958</v>
      </c>
      <c r="AC43" s="64"/>
      <c r="AD43" s="82">
        <f>$AA$40/$M$40*M43</f>
        <v>-5.2920129535122728E-5</v>
      </c>
      <c r="AE43" s="82">
        <f>$AB$40/$M$40*M43</f>
        <v>9.2617968740662886E-4</v>
      </c>
      <c r="AF43" s="22">
        <f t="shared" si="0"/>
        <v>0.41015402238336279</v>
      </c>
      <c r="AG43" s="22">
        <f t="shared" si="0"/>
        <v>-20.730924179812366</v>
      </c>
      <c r="AH43" s="64"/>
      <c r="AI43" s="25">
        <f>A43</f>
        <v>2</v>
      </c>
      <c r="AJ43" s="82">
        <f t="shared" si="1"/>
        <v>720774.66541643185</v>
      </c>
      <c r="AK43" s="82">
        <f t="shared" si="1"/>
        <v>461678.54734450369</v>
      </c>
      <c r="AL43" s="66"/>
      <c r="AM43" s="9" t="str">
        <f>IF(A44=0,A43&amp;" - 1",A43&amp;" - "&amp;A44)</f>
        <v>2 - 3</v>
      </c>
      <c r="AN43" s="18">
        <f>AN42+F42+F43</f>
        <v>29.82999999995809</v>
      </c>
      <c r="AO43" s="18">
        <f>AN43*G43</f>
        <v>618.37589999857562</v>
      </c>
      <c r="AP43" s="9" t="str">
        <f>D43&amp;","&amp;C43</f>
        <v>461678.51,720774.73</v>
      </c>
    </row>
    <row r="44" spans="1:44" s="46" customFormat="1">
      <c r="A44" s="20">
        <f>A43+1</f>
        <v>3</v>
      </c>
      <c r="B44" s="44"/>
      <c r="C44" s="60">
        <v>720775.14</v>
      </c>
      <c r="D44" s="60">
        <v>461657.78</v>
      </c>
      <c r="E44" s="79"/>
      <c r="F44" s="72">
        <f>IF(C45=0,C44-$C$42,C44-C45)</f>
        <v>-15.049999999930151</v>
      </c>
      <c r="G44" s="72">
        <f>IF(D45=0,D44-$D$42,D44-D45)</f>
        <v>-0.79999999998835847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15.07124745991117</v>
      </c>
      <c r="N44" s="22">
        <f>IF(F44=0,,ATAN(G44/F44))</f>
        <v>5.3106165311612982E-2</v>
      </c>
      <c r="O44" s="22">
        <f>ABS(DEGREES(N44))</f>
        <v>3.0427591384794783</v>
      </c>
      <c r="P44" s="24" t="str">
        <f>TEXT(INT(O44),"00")</f>
        <v>03</v>
      </c>
      <c r="Q44" s="25" t="str">
        <f>TEXT((O44-P44)*60,"00")</f>
        <v>03</v>
      </c>
      <c r="R44" s="23" t="str">
        <f>IF(L44="",IF(F44&gt;0,"S","N"),"")</f>
        <v>N</v>
      </c>
      <c r="S44" s="25" t="str">
        <f>IF(L44="",IF(INT(Q44)=60,INT(P44+1),P44),"due")</f>
        <v>03</v>
      </c>
      <c r="T44" s="25" t="str">
        <f>IF(L44="",IF(INT(Q44)=60,"00",Q44),L44)</f>
        <v>03</v>
      </c>
      <c r="U44" s="24" t="str">
        <f>IF(L44="",IF(G44&gt;0,"W","E"),"")</f>
        <v>E</v>
      </c>
      <c r="V44" s="44"/>
      <c r="W44" s="22">
        <f>IF(S44="due",90*(I44+K44),S44+T44/60)</f>
        <v>3.05</v>
      </c>
      <c r="X44" s="22">
        <f>IF(R44="",W44,IF(R44="N",IF(U44="E",180+W44,180-W44),IF(U44="E",360-W44,W44)))</f>
        <v>183.05</v>
      </c>
      <c r="Y44" s="22">
        <f>RADIANS(X44)</f>
        <v>3.1948251957756204</v>
      </c>
      <c r="Z44" s="64"/>
      <c r="AA44" s="58">
        <f>-M44*COS(Y44)</f>
        <v>15.049898778248414</v>
      </c>
      <c r="AB44" s="58">
        <f>-M44*SIN(Y44)</f>
        <v>0.80190196555176452</v>
      </c>
      <c r="AC44" s="64"/>
      <c r="AD44" s="82">
        <f>$AA$40/$M$40*M44</f>
        <v>-3.846678336286681E-5</v>
      </c>
      <c r="AE44" s="82">
        <f>$AB$40/$M$40*M44</f>
        <v>6.7322498458574241E-4</v>
      </c>
      <c r="AF44" s="22">
        <f>AA44-AD44</f>
        <v>15.049937245031776</v>
      </c>
      <c r="AG44" s="22">
        <f>AB44-AE44</f>
        <v>0.80122874056717874</v>
      </c>
      <c r="AH44" s="64"/>
      <c r="AI44" s="25">
        <f>A44</f>
        <v>3</v>
      </c>
      <c r="AJ44" s="82">
        <f t="shared" si="1"/>
        <v>720775.07557045424</v>
      </c>
      <c r="AK44" s="82">
        <f t="shared" si="1"/>
        <v>461657.81642032386</v>
      </c>
      <c r="AL44" s="66"/>
      <c r="AM44" s="9" t="str">
        <f>IF(A45=0,A44&amp;" - 1",A44&amp;" - "&amp;A45)</f>
        <v>3 - 4</v>
      </c>
      <c r="AN44" s="18">
        <f>AN43+F43+F44</f>
        <v>14.369999999995343</v>
      </c>
      <c r="AO44" s="18">
        <f>AN44*G44</f>
        <v>-11.495999999828985</v>
      </c>
      <c r="AP44" s="9" t="str">
        <f>D44&amp;","&amp;C44</f>
        <v>461657.78,720775.14</v>
      </c>
    </row>
    <row r="45" spans="1:44" s="46" customFormat="1">
      <c r="A45" s="20">
        <f t="shared" ref="A45" si="2">A44+1</f>
        <v>4</v>
      </c>
      <c r="B45" s="44"/>
      <c r="C45" s="60">
        <v>720790.19</v>
      </c>
      <c r="D45" s="60">
        <v>461658.58</v>
      </c>
      <c r="E45" s="79"/>
      <c r="F45" s="72">
        <f t="shared" ref="F45" si="3">IF(C46=0,C45-$C$42,C45-C46)</f>
        <v>0.33999999996740371</v>
      </c>
      <c r="G45" s="72">
        <f t="shared" ref="G45" si="4">IF(D46=0,D45-$D$42,D45-D46)</f>
        <v>-20.159999999974389</v>
      </c>
      <c r="H45" s="76" t="str">
        <f t="shared" ref="H45" si="5">IF(G45=0,IF(F45&gt;0,"South","North"),"")</f>
        <v/>
      </c>
      <c r="I45" s="76">
        <f t="shared" ref="I45" si="6">IF(H45="North",2,IF(H45="",0,0))</f>
        <v>0</v>
      </c>
      <c r="J45" s="76" t="str">
        <f t="shared" ref="J45" si="7">IF(F45=0,IF(G45&gt;0,"West","East"),"")</f>
        <v/>
      </c>
      <c r="K45" s="76">
        <f t="shared" ref="K45" si="8">IF(J45="West",1,IF(J45="",0,3))</f>
        <v>0</v>
      </c>
      <c r="L45" s="76" t="str">
        <f t="shared" ref="L45" si="9">H45&amp;J45</f>
        <v/>
      </c>
      <c r="M45" s="22">
        <f t="shared" ref="M45" si="10">SQRT(F45^2+G45^2)</f>
        <v>20.162866859624533</v>
      </c>
      <c r="N45" s="22">
        <f t="shared" ref="N45" si="11">IF(F45=0,,ATAN(G45/F45))</f>
        <v>-1.5539328461418329</v>
      </c>
      <c r="O45" s="22">
        <f t="shared" ref="O45" si="12">ABS(DEGREES(N45))</f>
        <v>89.033793730678937</v>
      </c>
      <c r="P45" s="24" t="str">
        <f t="shared" ref="P45" si="13">TEXT(INT(O45),"00")</f>
        <v>89</v>
      </c>
      <c r="Q45" s="25" t="str">
        <f t="shared" ref="Q45" si="14">TEXT((O45-P45)*60,"00")</f>
        <v>02</v>
      </c>
      <c r="R45" s="23" t="str">
        <f t="shared" ref="R45" si="15">IF(L45="",IF(F45&gt;0,"S","N"),"")</f>
        <v>S</v>
      </c>
      <c r="S45" s="25" t="str">
        <f t="shared" ref="S45" si="16">IF(L45="",IF(INT(Q45)=60,INT(P45+1),P45),"due")</f>
        <v>89</v>
      </c>
      <c r="T45" s="25" t="str">
        <f t="shared" ref="T45" si="17">IF(L45="",IF(INT(Q45)=60,"00",Q45),L45)</f>
        <v>02</v>
      </c>
      <c r="U45" s="24" t="str">
        <f t="shared" ref="U45" si="18">IF(L45="",IF(G45&gt;0,"W","E"),"")</f>
        <v>E</v>
      </c>
      <c r="V45" s="44"/>
      <c r="W45" s="22">
        <f t="shared" ref="W45" si="19">IF(S45="due",90*(I45+K45),S45+T45/60)</f>
        <v>89.033333333333331</v>
      </c>
      <c r="X45" s="22">
        <f t="shared" ref="X45" si="20">IF(R45="",W45,IF(R45="N",IF(U45="E",180+W45,180-W45),IF(U45="E",360-W45,W45)))</f>
        <v>270.9666666666667</v>
      </c>
      <c r="Y45" s="22">
        <f t="shared" ref="Y45" si="21">RADIANS(X45)</f>
        <v>4.729260496487302</v>
      </c>
      <c r="Z45" s="64"/>
      <c r="AA45" s="58">
        <f t="shared" ref="AA45" si="22">-M45*COS(Y45)</f>
        <v>-0.34016199461931951</v>
      </c>
      <c r="AB45" s="58">
        <f t="shared" ref="AB45" si="23">-M45*SIN(Y45)</f>
        <v>20.159997267270697</v>
      </c>
      <c r="AC45" s="64"/>
      <c r="AD45" s="82">
        <f t="shared" ref="AD45" si="24">$AA$40/$M$40*M45</f>
        <v>-5.1462271688296924E-5</v>
      </c>
      <c r="AE45" s="82">
        <f t="shared" ref="AE45" si="25">$AB$40/$M$40*M45</f>
        <v>9.0066504228543192E-4</v>
      </c>
      <c r="AF45" s="22">
        <f t="shared" ref="AF45:AG45" si="26">AA45-AD45</f>
        <v>-0.34011053234763122</v>
      </c>
      <c r="AG45" s="22">
        <f t="shared" si="26"/>
        <v>20.159096602228413</v>
      </c>
      <c r="AH45" s="64"/>
      <c r="AI45" s="25">
        <f t="shared" ref="AI45" si="27">A45</f>
        <v>4</v>
      </c>
      <c r="AJ45" s="82">
        <f t="shared" ref="AJ45" si="28">AJ44+AF44</f>
        <v>720790.12550769933</v>
      </c>
      <c r="AK45" s="82">
        <f t="shared" ref="AK45" si="29">AK44+AG44</f>
        <v>461658.6176490644</v>
      </c>
      <c r="AL45" s="66"/>
      <c r="AM45" s="9" t="str">
        <f t="shared" ref="AM45" si="30">IF(A46=0,A45&amp;" - 1",A45&amp;" - "&amp;A46)</f>
        <v>4 - 1</v>
      </c>
      <c r="AN45" s="18">
        <f t="shared" ref="AN45" si="31">AN44+F44+F45</f>
        <v>-0.33999999996740371</v>
      </c>
      <c r="AO45" s="18">
        <f t="shared" ref="AO45" si="32">AN45*G45</f>
        <v>6.8543999993341513</v>
      </c>
      <c r="AP45" s="9" t="str">
        <f t="shared" ref="AP45" si="33">D45&amp;","&amp;C45</f>
        <v>461658.58,720790.19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AS47"/>
  <sheetViews>
    <sheetView topLeftCell="A30" workbookViewId="0">
      <selection activeCell="D46" sqref="D46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129" t="s">
        <v>48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90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24" t="s">
        <v>91</v>
      </c>
      <c r="D8" s="125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24" t="s">
        <v>59</v>
      </c>
      <c r="D9" s="125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24" t="s">
        <v>60</v>
      </c>
      <c r="D10" s="125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24" t="s">
        <v>61</v>
      </c>
      <c r="D11" s="125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24" t="s">
        <v>62</v>
      </c>
      <c r="D12" s="125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24" t="s">
        <v>63</v>
      </c>
      <c r="D13" s="125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24" t="s">
        <v>64</v>
      </c>
      <c r="D14" s="125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24" t="s">
        <v>65</v>
      </c>
      <c r="D15" s="125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24" t="s">
        <v>66</v>
      </c>
      <c r="D16" s="125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24" t="s">
        <v>92</v>
      </c>
      <c r="D19" s="125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123" t="s">
        <v>16</v>
      </c>
      <c r="B28" s="123"/>
      <c r="C28" s="33">
        <f>ABS(SUM(AO42:AO65536))</f>
        <v>620.95509999969863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126" t="s">
        <v>17</v>
      </c>
      <c r="B29" s="126"/>
      <c r="C29" s="32">
        <f>ABS(C28/2)</f>
        <v>310.47754999984932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126">
        <f>SQRT(AA40^2+AB40^2)</f>
        <v>2.0445493258265004E-3</v>
      </c>
      <c r="C32" s="126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28">
        <f>M40/B32</f>
        <v>34906.8863557441</v>
      </c>
      <c r="C33" s="12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126" t="str">
        <f>"1 : "&amp;TEXT(B35,"00")</f>
        <v>1 : 35000</v>
      </c>
      <c r="C34" s="126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idden="1">
      <c r="A35" s="70"/>
      <c r="B35" s="127">
        <f>ROUND(B33,2-LEN(INT(B33)))</f>
        <v>35000</v>
      </c>
      <c r="C35" s="127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16" t="s">
        <v>9</v>
      </c>
      <c r="B38" s="88"/>
      <c r="C38" s="118" t="s">
        <v>7</v>
      </c>
      <c r="D38" s="118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20" t="s">
        <v>8</v>
      </c>
      <c r="N38" s="120"/>
      <c r="O38" s="120"/>
      <c r="P38" s="120"/>
      <c r="Q38" s="120"/>
      <c r="R38" s="120"/>
      <c r="S38" s="120"/>
      <c r="T38" s="120"/>
      <c r="U38" s="120"/>
      <c r="V38" s="121"/>
      <c r="W38" s="59"/>
      <c r="X38" s="59" t="s">
        <v>33</v>
      </c>
      <c r="Y38" s="59" t="s">
        <v>34</v>
      </c>
      <c r="Z38" s="80"/>
      <c r="AA38" s="116" t="s">
        <v>30</v>
      </c>
      <c r="AB38" s="116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114" t="s">
        <v>55</v>
      </c>
      <c r="AK38" s="115"/>
      <c r="AL38" s="65"/>
      <c r="AM38" s="114" t="s">
        <v>18</v>
      </c>
      <c r="AN38" s="119"/>
      <c r="AO38" s="115"/>
      <c r="AP38" s="110" t="s">
        <v>56</v>
      </c>
    </row>
    <row r="39" spans="1:44">
      <c r="A39" s="117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114" t="s">
        <v>21</v>
      </c>
      <c r="O39" s="119"/>
      <c r="P39" s="119"/>
      <c r="Q39" s="115"/>
      <c r="R39" s="114" t="s">
        <v>24</v>
      </c>
      <c r="S39" s="119"/>
      <c r="T39" s="119"/>
      <c r="U39" s="115"/>
      <c r="V39" s="122"/>
      <c r="W39" s="59"/>
      <c r="X39" s="59"/>
      <c r="Y39" s="59"/>
      <c r="Z39" s="81"/>
      <c r="AA39" s="117"/>
      <c r="AB39" s="117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10"/>
    </row>
    <row r="40" spans="1:44" s="11" customFormat="1">
      <c r="A40" s="111" t="s">
        <v>25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51">
        <f>SUM(M42:M65536)</f>
        <v>71.368850965338865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-9.8151898571785523E-4</v>
      </c>
      <c r="AB40" s="91">
        <f>SUM(AB42:AB65536)</f>
        <v>-1.793544654145246E-3</v>
      </c>
      <c r="AC40" s="91"/>
      <c r="AD40" s="91">
        <f>SUM(AD42:AD65536)</f>
        <v>-9.8151898571785545E-4</v>
      </c>
      <c r="AE40" s="91">
        <f>SUM(AE42:AE65536)</f>
        <v>-1.7935446541452462E-3</v>
      </c>
      <c r="AF40" s="91">
        <f>SUM(AF42:AF65536)</f>
        <v>0</v>
      </c>
      <c r="AG40" s="91">
        <f>SUM(AG42:AG65536)</f>
        <v>0</v>
      </c>
      <c r="AH40" s="92"/>
      <c r="AI40" s="93">
        <v>1</v>
      </c>
      <c r="AJ40" s="92">
        <f>AJ44+AF44</f>
        <v>720774.66516987048</v>
      </c>
      <c r="AK40" s="92">
        <f>AK44+AG44</f>
        <v>461678.54763996537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438.77000000001863</v>
      </c>
      <c r="G41" s="72">
        <f>IF(D42=0,D41-$D$41,D41-D42)</f>
        <v>771.47999999998137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887.52493108643864</v>
      </c>
      <c r="N41" s="36">
        <f>IF(F41=0,,ATAN(G41/F41))</f>
        <v>1.0536808326120879</v>
      </c>
      <c r="O41" s="36">
        <f>ABS(DEGREES(N41))</f>
        <v>60.371464662503193</v>
      </c>
      <c r="P41" s="37" t="str">
        <f>TEXT(INT(O41),"00")</f>
        <v>60</v>
      </c>
      <c r="Q41" s="38" t="str">
        <f>TEXT((O41-P41)*60,"00")</f>
        <v>22</v>
      </c>
      <c r="R41" s="39" t="str">
        <f>IF(L41="",IF(F41&gt;0,"S","N"),"")</f>
        <v>S</v>
      </c>
      <c r="S41" s="25" t="str">
        <f>IF(L41="",IF(INT(Q41)=60,INT(P41+1),P41),"due")</f>
        <v>60</v>
      </c>
      <c r="T41" s="38" t="str">
        <f>IF(L41="",IF(INT(Q41)=60,"00",Q41),L41)</f>
        <v>22</v>
      </c>
      <c r="U41" s="40" t="str">
        <f>IF(L41="",IF(G41&gt;0,"W","E"),"")</f>
        <v>W</v>
      </c>
      <c r="V41" s="41"/>
      <c r="W41" s="22">
        <f>IF(S41="due",90*(I41+K41),S41+T41/60)</f>
        <v>60.366666666666667</v>
      </c>
      <c r="X41" s="22">
        <f>IF(R41="",W41,IF(R41="N",IF(U41="E",180+W41,180-W41),IF(U41="E",360-W41,W41)))</f>
        <v>60.366666666666667</v>
      </c>
      <c r="Y41" s="22">
        <f>RADIANS(X41)</f>
        <v>1.0535970917872437</v>
      </c>
      <c r="Z41" s="64"/>
      <c r="AA41" s="58">
        <f>-M41*COS(Y41)</f>
        <v>-438.83460283305089</v>
      </c>
      <c r="AB41" s="58">
        <f>-M41*SIN(Y41)</f>
        <v>-771.44325433329584</v>
      </c>
      <c r="AC41" s="64"/>
      <c r="AD41" s="22">
        <v>0</v>
      </c>
      <c r="AE41" s="22">
        <v>0</v>
      </c>
      <c r="AF41" s="22">
        <f t="shared" ref="AF41:AG43" si="0">AA41-AD41</f>
        <v>-438.83460283305089</v>
      </c>
      <c r="AG41" s="22">
        <f t="shared" si="0"/>
        <v>-771.44325433329584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720789.85</v>
      </c>
      <c r="D42" s="60">
        <v>461678.74</v>
      </c>
      <c r="E42" s="79"/>
      <c r="F42" s="72">
        <f>IF(C43=0,C42-$C$42,C42-C43)</f>
        <v>-3.0000000027939677E-2</v>
      </c>
      <c r="G42" s="72">
        <f>IF(D43=0,D42-$D$42,D42-D43)</f>
        <v>-20.729999999981374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20.730021707640091</v>
      </c>
      <c r="N42" s="36">
        <f>IF(F42=0,,ATAN(G42/F42))</f>
        <v>1.5693491498009384</v>
      </c>
      <c r="O42" s="36">
        <f>ABS(DEGREES(N42))</f>
        <v>89.917082866037774</v>
      </c>
      <c r="P42" s="37" t="str">
        <f>TEXT(INT(O42),"00")</f>
        <v>89</v>
      </c>
      <c r="Q42" s="38" t="str">
        <f>TEXT((O42-P42)*60,"00")</f>
        <v>55</v>
      </c>
      <c r="R42" s="39" t="str">
        <f>IF(L42="",IF(F42&gt;0,"S","N"),"")</f>
        <v>N</v>
      </c>
      <c r="S42" s="25" t="str">
        <f>IF(L42="",IF(INT(Q42)=60,INT(P42+1),P42),"due")</f>
        <v>89</v>
      </c>
      <c r="T42" s="38" t="str">
        <f>IF(L42="",IF(INT(Q42)=60,"00",Q42),L42)</f>
        <v>55</v>
      </c>
      <c r="U42" s="40" t="str">
        <f>IF(L42="",IF(G42&gt;0,"W","E"),"")</f>
        <v>E</v>
      </c>
      <c r="V42" s="44"/>
      <c r="W42" s="22">
        <f>IF(S42="due",90*(I42+K42),S42+T42/60)</f>
        <v>89.916666666666671</v>
      </c>
      <c r="X42" s="22">
        <f>IF(R42="",W42,IF(R42="N",IF(U42="E",180+W42,180-W42),IF(U42="E",360-W42,W42)))</f>
        <v>269.91666666666669</v>
      </c>
      <c r="Y42" s="22">
        <f>RADIANS(X42)</f>
        <v>4.7109345393413617</v>
      </c>
      <c r="Z42" s="64"/>
      <c r="AA42" s="58">
        <f>-M42*COS(Y42)</f>
        <v>3.0150583770587252E-2</v>
      </c>
      <c r="AB42" s="58">
        <f>-M42*SIN(Y42)</f>
        <v>20.729999781512969</v>
      </c>
      <c r="AC42" s="64"/>
      <c r="AD42" s="82">
        <f>$AA$40/$M$40*M42</f>
        <v>-2.8509510248769093E-4</v>
      </c>
      <c r="AE42" s="82">
        <f>$AB$40/$M$40*M42</f>
        <v>-5.2095864107591996E-4</v>
      </c>
      <c r="AF42" s="22">
        <f t="shared" si="0"/>
        <v>3.0435678873074943E-2</v>
      </c>
      <c r="AG42" s="22">
        <f t="shared" si="0"/>
        <v>20.730520740154045</v>
      </c>
      <c r="AH42" s="63"/>
      <c r="AI42" s="38">
        <f>A42</f>
        <v>1</v>
      </c>
      <c r="AJ42" s="82">
        <f t="shared" ref="AJ42:AK44" si="1">AJ41+AF41</f>
        <v>720789.78539716697</v>
      </c>
      <c r="AK42" s="82">
        <f t="shared" si="1"/>
        <v>461678.77674566669</v>
      </c>
      <c r="AL42" s="66"/>
      <c r="AM42" s="9" t="str">
        <f>IF(A43=0,A42&amp;" - 1",A42&amp;" - "&amp;A43)</f>
        <v>1 - 2</v>
      </c>
      <c r="AN42" s="18">
        <f>F42</f>
        <v>-3.0000000027939677E-2</v>
      </c>
      <c r="AO42" s="18">
        <f>AN42*G42</f>
        <v>0.62190000057863071</v>
      </c>
      <c r="AP42" s="9" t="str">
        <f>D42&amp;","&amp;C42</f>
        <v>461678.74,720789.85</v>
      </c>
    </row>
    <row r="43" spans="1:44">
      <c r="A43" s="20">
        <f>A42+1</f>
        <v>2</v>
      </c>
      <c r="B43" s="44"/>
      <c r="C43" s="60">
        <v>720789.88</v>
      </c>
      <c r="D43" s="60">
        <v>461699.47</v>
      </c>
      <c r="E43" s="79"/>
      <c r="F43" s="72">
        <f>IF(C44=0,C43-$C$42,C43-C44)</f>
        <v>14.989999999990687</v>
      </c>
      <c r="G43" s="72">
        <f>IF(D44=0,D43-$D$42,D43-D44)</f>
        <v>0.43999999994412065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14.996456248049791</v>
      </c>
      <c r="N43" s="36">
        <f>IF(F43=0,,ATAN(G43/F43))</f>
        <v>2.9344476202719058E-2</v>
      </c>
      <c r="O43" s="36">
        <f>ABS(DEGREES(N43))</f>
        <v>1.6813146384378823</v>
      </c>
      <c r="P43" s="37" t="str">
        <f>TEXT(INT(O43),"00")</f>
        <v>01</v>
      </c>
      <c r="Q43" s="38" t="str">
        <f>TEXT((O43-P43)*60,"00")</f>
        <v>41</v>
      </c>
      <c r="R43" s="39" t="str">
        <f>IF(L43="",IF(F43&gt;0,"S","N"),"")</f>
        <v>S</v>
      </c>
      <c r="S43" s="25" t="str">
        <f>IF(L43="",IF(INT(Q43)=60,INT(P43+1),P43),"due")</f>
        <v>01</v>
      </c>
      <c r="T43" s="38" t="str">
        <f>IF(L43="",IF(INT(Q43)=60,"00",Q43),L43)</f>
        <v>41</v>
      </c>
      <c r="U43" s="40" t="str">
        <f>IF(L43="",IF(G43&gt;0,"W","E"),"")</f>
        <v>W</v>
      </c>
      <c r="V43" s="44"/>
      <c r="W43" s="22">
        <f>IF(S43="due",90*(I43+K43),S43+T43/60)</f>
        <v>1.6833333333333333</v>
      </c>
      <c r="X43" s="22">
        <f>IF(R43="",W43,IF(R43="N",IF(U43="E",180+W43,180-W43),IF(U43="E",360-W43,W43)))</f>
        <v>1.6833333333333333</v>
      </c>
      <c r="Y43" s="22">
        <f>RADIANS(X43)</f>
        <v>2.9379709075237882E-2</v>
      </c>
      <c r="Z43" s="64"/>
      <c r="AA43" s="58">
        <f>-M43*COS(Y43)</f>
        <v>-14.989984488222825</v>
      </c>
      <c r="AB43" s="58">
        <f>-M43*SIN(Y43)</f>
        <v>-0.44052814042997007</v>
      </c>
      <c r="AC43" s="64"/>
      <c r="AD43" s="82">
        <f>$AA$40/$M$40*M43</f>
        <v>-2.0624272812093657E-4</v>
      </c>
      <c r="AE43" s="82">
        <f>$AB$40/$M$40*M43</f>
        <v>-3.7687049141194013E-4</v>
      </c>
      <c r="AF43" s="22">
        <f t="shared" si="0"/>
        <v>-14.989778245494705</v>
      </c>
      <c r="AG43" s="22">
        <f t="shared" si="0"/>
        <v>-0.44015126993855813</v>
      </c>
      <c r="AH43" s="64"/>
      <c r="AI43" s="25">
        <f>A43</f>
        <v>2</v>
      </c>
      <c r="AJ43" s="82">
        <f t="shared" si="1"/>
        <v>720789.81583284587</v>
      </c>
      <c r="AK43" s="82">
        <f t="shared" si="1"/>
        <v>461699.50726640684</v>
      </c>
      <c r="AL43" s="66"/>
      <c r="AM43" s="9" t="str">
        <f>IF(A44=0,A43&amp;" - 1",A43&amp;" - "&amp;A44)</f>
        <v>2 - 3</v>
      </c>
      <c r="AN43" s="18">
        <f>AN42+F42+F43</f>
        <v>14.929999999934807</v>
      </c>
      <c r="AO43" s="18">
        <f>AN43*G43</f>
        <v>6.5691999991370364</v>
      </c>
      <c r="AP43" s="9" t="str">
        <f>D43&amp;","&amp;C43</f>
        <v>461699.47,720789.88</v>
      </c>
    </row>
    <row r="44" spans="1:44" s="46" customFormat="1">
      <c r="A44" s="20">
        <f>A43+1</f>
        <v>3</v>
      </c>
      <c r="B44" s="44"/>
      <c r="C44" s="60">
        <v>720774.89</v>
      </c>
      <c r="D44" s="60">
        <v>461699.03</v>
      </c>
      <c r="E44" s="79"/>
      <c r="F44" s="72">
        <f>IF(C45=0,C44-$C$42,C44-C45)</f>
        <v>0.16000000003259629</v>
      </c>
      <c r="G44" s="72">
        <f>IF(D45=0,D44-$D$42,D44-D45)</f>
        <v>20.520000000018626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20.520623772214503</v>
      </c>
      <c r="N44" s="22">
        <f>IF(F44=0,,ATAN(G44/F44))</f>
        <v>1.5629992138504085</v>
      </c>
      <c r="O44" s="22">
        <f>ABS(DEGREES(N44))</f>
        <v>89.553258335894014</v>
      </c>
      <c r="P44" s="24" t="str">
        <f>TEXT(INT(O44),"00")</f>
        <v>89</v>
      </c>
      <c r="Q44" s="25" t="str">
        <f>TEXT((O44-P44)*60,"00")</f>
        <v>33</v>
      </c>
      <c r="R44" s="23" t="str">
        <f>IF(L44="",IF(F44&gt;0,"S","N"),"")</f>
        <v>S</v>
      </c>
      <c r="S44" s="25" t="str">
        <f>IF(L44="",IF(INT(Q44)=60,INT(P44+1),P44),"due")</f>
        <v>89</v>
      </c>
      <c r="T44" s="25" t="str">
        <f>IF(L44="",IF(INT(Q44)=60,"00",Q44),L44)</f>
        <v>33</v>
      </c>
      <c r="U44" s="24" t="str">
        <f>IF(L44="",IF(G44&gt;0,"W","E"),"")</f>
        <v>W</v>
      </c>
      <c r="V44" s="44"/>
      <c r="W44" s="22">
        <f>IF(S44="due",90*(I44+K44),S44+T44/60)</f>
        <v>89.55</v>
      </c>
      <c r="X44" s="22">
        <f>IF(R44="",W44,IF(R44="N",IF(U44="E",180+W44,180-W44),IF(U44="E",360-W44,W44)))</f>
        <v>89.55</v>
      </c>
      <c r="Y44" s="22">
        <f>RADIANS(X44)</f>
        <v>1.5629423451609221</v>
      </c>
      <c r="Z44" s="64"/>
      <c r="AA44" s="58">
        <f>-M44*COS(Y44)</f>
        <v>-0.16116694528150674</v>
      </c>
      <c r="AB44" s="58">
        <f>-M44*SIN(Y44)</f>
        <v>-20.519990867846982</v>
      </c>
      <c r="AC44" s="64"/>
      <c r="AD44" s="82">
        <f>$AA$40/$M$40*M44</f>
        <v>-2.8221530203678902E-4</v>
      </c>
      <c r="AE44" s="82">
        <f>$AB$40/$M$40*M44</f>
        <v>-5.1569633766775644E-4</v>
      </c>
      <c r="AF44" s="22">
        <f>AA44-AD44</f>
        <v>-0.16088472997946995</v>
      </c>
      <c r="AG44" s="22">
        <f>AB44-AE44</f>
        <v>-20.519475171509313</v>
      </c>
      <c r="AH44" s="64"/>
      <c r="AI44" s="25">
        <f>A44</f>
        <v>3</v>
      </c>
      <c r="AJ44" s="82">
        <f t="shared" si="1"/>
        <v>720774.82605460042</v>
      </c>
      <c r="AK44" s="82">
        <f t="shared" si="1"/>
        <v>461699.06711513689</v>
      </c>
      <c r="AL44" s="66"/>
      <c r="AM44" s="9" t="str">
        <f>IF(A45=0,A44&amp;" - 1",A44&amp;" - "&amp;A45)</f>
        <v>3 - 4</v>
      </c>
      <c r="AN44" s="18">
        <f>AN43+F43+F44</f>
        <v>30.07999999995809</v>
      </c>
      <c r="AO44" s="18">
        <f>AN44*G44</f>
        <v>617.24159999970027</v>
      </c>
      <c r="AP44" s="9" t="str">
        <f>D44&amp;","&amp;C44</f>
        <v>461699.03,720774.89</v>
      </c>
    </row>
    <row r="45" spans="1:44" s="46" customFormat="1">
      <c r="A45" s="20">
        <f>A44+1</f>
        <v>4</v>
      </c>
      <c r="B45" s="44"/>
      <c r="C45" s="60">
        <v>720774.73</v>
      </c>
      <c r="D45" s="60">
        <v>461678.51</v>
      </c>
      <c r="E45" s="79"/>
      <c r="F45" s="72">
        <f>IF(C46=0,C45-$C$42,C45-C46)</f>
        <v>-15.119999999995343</v>
      </c>
      <c r="G45" s="72">
        <f>IF(D46=0,D45-$D$42,D45-D46)</f>
        <v>-0.22999999998137355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15.121749237434491</v>
      </c>
      <c r="N45" s="22">
        <f>IF(F45=0,,ATAN(G45/F45))</f>
        <v>1.5210467079201071E-2</v>
      </c>
      <c r="O45" s="22">
        <f>ABS(DEGREES(N45))</f>
        <v>0.87149556806090189</v>
      </c>
      <c r="P45" s="24" t="str">
        <f>TEXT(INT(O45),"00")</f>
        <v>00</v>
      </c>
      <c r="Q45" s="25" t="str">
        <f>TEXT((O45-P45)*60,"00")</f>
        <v>52</v>
      </c>
      <c r="R45" s="23" t="str">
        <f>IF(L45="",IF(F45&gt;0,"S","N"),"")</f>
        <v>N</v>
      </c>
      <c r="S45" s="25" t="str">
        <f>IF(L45="",IF(INT(Q45)=60,INT(P45+1),P45),"due")</f>
        <v>00</v>
      </c>
      <c r="T45" s="25" t="str">
        <f>IF(L45="",IF(INT(Q45)=60,"00",Q45),L45)</f>
        <v>52</v>
      </c>
      <c r="U45" s="24" t="str">
        <f>IF(L45="",IF(G45&gt;0,"W","E"),"")</f>
        <v>E</v>
      </c>
      <c r="V45" s="44"/>
      <c r="W45" s="22">
        <f>IF(S45="due",90*(I45+K45),S45+T45/60)</f>
        <v>0.8666666666666667</v>
      </c>
      <c r="X45" s="22">
        <f>IF(R45="",W45,IF(R45="N",IF(U45="E",180+W45,180-W45),IF(U45="E",360-W45,W45)))</f>
        <v>180.86666666666667</v>
      </c>
      <c r="Y45" s="22">
        <f>RADIANS(X45)</f>
        <v>3.1567188404404107</v>
      </c>
      <c r="Z45" s="64"/>
      <c r="AA45" s="58">
        <f>-M45*COS(Y45)</f>
        <v>15.120019330748027</v>
      </c>
      <c r="AB45" s="58">
        <f>-M45*SIN(Y45)</f>
        <v>0.22872568210983582</v>
      </c>
      <c r="AC45" s="64"/>
      <c r="AD45" s="82">
        <f>$AA$40/$M$40*M45</f>
        <v>-2.0796585307243892E-4</v>
      </c>
      <c r="AE45" s="82">
        <f>$AB$40/$M$40*M45</f>
        <v>-3.8001918398962984E-4</v>
      </c>
      <c r="AF45" s="22">
        <f>AA45-AD45</f>
        <v>15.120227296601099</v>
      </c>
      <c r="AG45" s="22">
        <f>AB45-AE45</f>
        <v>0.22910570129382546</v>
      </c>
      <c r="AH45" s="64"/>
      <c r="AI45" s="25">
        <f>A45</f>
        <v>4</v>
      </c>
      <c r="AJ45" s="82">
        <f t="shared" ref="AJ45" si="2">AJ44+AF44</f>
        <v>720774.66516987048</v>
      </c>
      <c r="AK45" s="82">
        <f t="shared" ref="AK45" si="3">AK44+AG44</f>
        <v>461678.54763996537</v>
      </c>
      <c r="AL45" s="66"/>
      <c r="AM45" s="9" t="str">
        <f>IF(A46=0,A45&amp;" - 1",A45&amp;" - "&amp;A46)</f>
        <v>4 - 1</v>
      </c>
      <c r="AN45" s="18">
        <f>AN44+F44+F45</f>
        <v>15.119999999995343</v>
      </c>
      <c r="AO45" s="18">
        <f>AN45*G45</f>
        <v>-3.4775999997172971</v>
      </c>
      <c r="AP45" s="9" t="str">
        <f>D45&amp;","&amp;C45</f>
        <v>461678.51,720774.73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30">
    <mergeCell ref="A40:L40"/>
    <mergeCell ref="A28:B28"/>
    <mergeCell ref="A29:B29"/>
    <mergeCell ref="B32:C32"/>
    <mergeCell ref="B33:C33"/>
    <mergeCell ref="AP38:AP39"/>
    <mergeCell ref="N39:Q39"/>
    <mergeCell ref="M38:U38"/>
    <mergeCell ref="B34:C34"/>
    <mergeCell ref="B35:C35"/>
    <mergeCell ref="AM38:AO38"/>
    <mergeCell ref="R39:U39"/>
    <mergeCell ref="V38:V39"/>
    <mergeCell ref="AA38:AA39"/>
    <mergeCell ref="AB38:AB39"/>
    <mergeCell ref="A1:AJ1"/>
    <mergeCell ref="C10:D10"/>
    <mergeCell ref="C11:D11"/>
    <mergeCell ref="C12:D12"/>
    <mergeCell ref="A38:A39"/>
    <mergeCell ref="C38:D38"/>
    <mergeCell ref="AJ38:AK38"/>
    <mergeCell ref="C7:D7"/>
    <mergeCell ref="C8:D8"/>
    <mergeCell ref="C9:D9"/>
    <mergeCell ref="C13:D13"/>
    <mergeCell ref="C14:D14"/>
    <mergeCell ref="C15:D15"/>
    <mergeCell ref="C16:D16"/>
    <mergeCell ref="C19:D19"/>
  </mergeCells>
  <phoneticPr fontId="6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AS47"/>
  <sheetViews>
    <sheetView tabSelected="1" workbookViewId="0">
      <selection activeCell="D17" sqref="D17"/>
    </sheetView>
  </sheetViews>
  <sheetFormatPr defaultRowHeight="12.75"/>
  <cols>
    <col min="1" max="1" width="15.7109375" style="5" customWidth="1"/>
    <col min="2" max="2" width="2.7109375" style="5" customWidth="1"/>
    <col min="3" max="4" width="15.7109375" style="5" customWidth="1"/>
    <col min="5" max="5" width="2.7109375" style="5" customWidth="1"/>
    <col min="6" max="6" width="12.7109375" hidden="1" customWidth="1"/>
    <col min="7" max="7" width="12.5703125" style="6" hidden="1" customWidth="1"/>
    <col min="8" max="8" width="5.42578125" style="6" hidden="1" customWidth="1"/>
    <col min="9" max="9" width="4.5703125" style="6" hidden="1" customWidth="1"/>
    <col min="10" max="10" width="4.85546875" style="6" hidden="1" customWidth="1"/>
    <col min="11" max="11" width="4.5703125" style="6" hidden="1" customWidth="1"/>
    <col min="12" max="12" width="9.28515625" style="6" hidden="1" customWidth="1"/>
    <col min="13" max="13" width="11.5703125" style="6" bestFit="1" customWidth="1"/>
    <col min="14" max="15" width="8.7109375" style="26" hidden="1" customWidth="1"/>
    <col min="16" max="16" width="4.7109375" style="26" hidden="1" customWidth="1"/>
    <col min="17" max="17" width="3" hidden="1" customWidth="1"/>
    <col min="18" max="18" width="7" customWidth="1"/>
    <col min="20" max="20" width="9.28515625" bestFit="1" customWidth="1"/>
    <col min="21" max="21" width="4.5703125" bestFit="1" customWidth="1"/>
    <col min="22" max="22" width="2.7109375" customWidth="1"/>
    <col min="23" max="23" width="7.85546875" hidden="1" customWidth="1"/>
    <col min="24" max="24" width="9.140625" hidden="1" customWidth="1"/>
    <col min="25" max="26" width="7.85546875" hidden="1" customWidth="1"/>
    <col min="27" max="28" width="7.85546875" customWidth="1"/>
    <col min="29" max="29" width="2.7109375" customWidth="1"/>
    <col min="30" max="30" width="7.85546875" hidden="1" customWidth="1"/>
    <col min="31" max="33" width="13.7109375" hidden="1" customWidth="1"/>
    <col min="34" max="35" width="10.7109375" hidden="1" customWidth="1"/>
    <col min="36" max="36" width="10.7109375" style="5" hidden="1" customWidth="1"/>
    <col min="37" max="37" width="12.5703125" hidden="1" customWidth="1"/>
    <col min="38" max="38" width="9.140625" hidden="1" customWidth="1"/>
    <col min="42" max="42" width="12" bestFit="1" customWidth="1"/>
  </cols>
  <sheetData>
    <row r="1" spans="1:45" s="3" customFormat="1" ht="18">
      <c r="A1" s="94" t="s">
        <v>48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1"/>
      <c r="AL1" s="2"/>
      <c r="AP1" s="4"/>
      <c r="AQ1" s="4"/>
      <c r="AR1" s="4"/>
      <c r="AS1" s="4"/>
    </row>
    <row r="2" spans="1:45" ht="15" customHeight="1">
      <c r="A2" s="11" t="s">
        <v>19</v>
      </c>
      <c r="B2"/>
      <c r="D2"/>
      <c r="E2"/>
      <c r="F2" s="29"/>
      <c r="G2" s="29"/>
      <c r="H2" s="29"/>
      <c r="I2"/>
      <c r="J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30"/>
      <c r="AL2" s="5"/>
      <c r="AM2" s="5"/>
      <c r="AN2" s="8"/>
    </row>
    <row r="3" spans="1:45" ht="15" customHeight="1">
      <c r="A3" s="11"/>
      <c r="B3"/>
      <c r="D3"/>
      <c r="E3"/>
      <c r="F3" s="29"/>
      <c r="G3" s="29"/>
      <c r="H3" s="29"/>
      <c r="I3"/>
      <c r="J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/>
      <c r="AL3" s="5"/>
      <c r="AM3" s="5"/>
      <c r="AN3" s="8"/>
    </row>
    <row r="4" spans="1:45" ht="15" customHeight="1">
      <c r="A4" s="31" t="s">
        <v>20</v>
      </c>
      <c r="B4"/>
      <c r="D4"/>
      <c r="E4"/>
      <c r="F4" s="29"/>
      <c r="G4" s="29"/>
      <c r="H4" s="29"/>
      <c r="I4"/>
      <c r="J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0"/>
      <c r="AL4" s="5"/>
      <c r="AM4" s="5"/>
      <c r="AN4" s="8"/>
    </row>
    <row r="5" spans="1:45" ht="15" customHeight="1">
      <c r="A5" s="31" t="s">
        <v>23</v>
      </c>
      <c r="B5"/>
      <c r="D5"/>
      <c r="E5"/>
      <c r="F5" s="29"/>
      <c r="G5" s="29"/>
      <c r="H5" s="29"/>
      <c r="I5"/>
      <c r="J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0"/>
      <c r="AL5" s="5"/>
      <c r="AM5" s="5"/>
      <c r="AN5" s="8"/>
    </row>
    <row r="6" spans="1:45">
      <c r="A6"/>
      <c r="B6"/>
      <c r="C6"/>
      <c r="G6"/>
      <c r="H6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K6" s="5"/>
      <c r="AL6" s="8"/>
      <c r="AP6" s="6"/>
      <c r="AQ6" s="6"/>
      <c r="AR6" s="6"/>
      <c r="AS6" s="6"/>
    </row>
    <row r="7" spans="1:45">
      <c r="A7" s="21" t="s">
        <v>0</v>
      </c>
      <c r="B7" s="83" t="s">
        <v>1</v>
      </c>
      <c r="C7" s="124" t="s">
        <v>93</v>
      </c>
      <c r="D7" s="125"/>
      <c r="E7" s="27"/>
      <c r="F7" s="10"/>
      <c r="G7" s="10"/>
      <c r="H7" s="10"/>
      <c r="N7" s="7"/>
      <c r="O7" s="7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K7" s="5"/>
      <c r="AL7" s="8"/>
      <c r="AP7" s="6"/>
      <c r="AQ7" s="6"/>
      <c r="AR7" s="6"/>
      <c r="AS7" s="6"/>
    </row>
    <row r="8" spans="1:45">
      <c r="A8" s="21" t="s">
        <v>2</v>
      </c>
      <c r="B8" s="83" t="s">
        <v>1</v>
      </c>
      <c r="C8" s="109" t="s">
        <v>94</v>
      </c>
      <c r="D8" s="86"/>
      <c r="E8" s="28"/>
      <c r="F8" s="10"/>
      <c r="G8" s="10"/>
      <c r="H8" s="10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K8" s="5"/>
      <c r="AL8" s="8"/>
      <c r="AP8" s="6"/>
      <c r="AQ8" s="6"/>
      <c r="AR8" s="6"/>
      <c r="AS8" s="6"/>
    </row>
    <row r="9" spans="1:45">
      <c r="A9" s="21" t="s">
        <v>47</v>
      </c>
      <c r="B9" s="84" t="s">
        <v>1</v>
      </c>
      <c r="C9" s="109" t="s">
        <v>59</v>
      </c>
      <c r="D9" s="86"/>
      <c r="E9" s="28"/>
      <c r="F9" s="10"/>
      <c r="G9" s="10"/>
      <c r="H9" s="10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K9" s="5"/>
      <c r="AL9" s="8"/>
      <c r="AP9" s="6"/>
      <c r="AQ9" s="6"/>
      <c r="AR9" s="6"/>
      <c r="AS9" s="6"/>
    </row>
    <row r="10" spans="1:45">
      <c r="A10" s="21" t="s">
        <v>51</v>
      </c>
      <c r="B10" s="84" t="s">
        <v>1</v>
      </c>
      <c r="C10" s="109" t="s">
        <v>95</v>
      </c>
      <c r="D10" s="86"/>
      <c r="E10" s="28"/>
      <c r="F10" s="10"/>
      <c r="G10" s="10"/>
      <c r="H10" s="10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K10" s="5"/>
      <c r="AL10" s="8"/>
      <c r="AP10" s="6"/>
      <c r="AQ10" s="6"/>
      <c r="AR10" s="6"/>
      <c r="AS10" s="6"/>
    </row>
    <row r="11" spans="1:45">
      <c r="A11" s="21" t="s">
        <v>3</v>
      </c>
      <c r="B11" s="84" t="s">
        <v>1</v>
      </c>
      <c r="C11" s="109" t="s">
        <v>61</v>
      </c>
      <c r="D11" s="86"/>
      <c r="E11" s="28"/>
      <c r="F11" s="10"/>
      <c r="G11" s="10"/>
      <c r="H11" s="10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K11" s="5"/>
      <c r="AL11" s="8"/>
      <c r="AP11" s="6"/>
      <c r="AQ11" s="6"/>
      <c r="AR11" s="6"/>
      <c r="AS11" s="6"/>
    </row>
    <row r="12" spans="1:45">
      <c r="A12" s="21" t="s">
        <v>4</v>
      </c>
      <c r="B12" s="84" t="s">
        <v>1</v>
      </c>
      <c r="C12" s="109" t="s">
        <v>62</v>
      </c>
      <c r="D12" s="86"/>
      <c r="E12" s="28"/>
      <c r="F12" s="10"/>
      <c r="G12" s="10"/>
      <c r="H12" s="10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K12" s="5"/>
      <c r="AL12" s="8"/>
      <c r="AP12" s="6"/>
      <c r="AQ12" s="6"/>
      <c r="AR12" s="6"/>
      <c r="AS12" s="6"/>
    </row>
    <row r="13" spans="1:45">
      <c r="A13" s="21" t="s">
        <v>5</v>
      </c>
      <c r="B13" s="84" t="s">
        <v>1</v>
      </c>
      <c r="C13" s="109" t="s">
        <v>63</v>
      </c>
      <c r="D13" s="86"/>
      <c r="E13" s="28"/>
      <c r="F13" s="10"/>
      <c r="G13" s="10"/>
      <c r="H13" s="10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K13" s="5"/>
      <c r="AL13" s="8"/>
      <c r="AP13" s="6"/>
      <c r="AQ13" s="6"/>
      <c r="AR13" s="6"/>
      <c r="AS13" s="6"/>
    </row>
    <row r="14" spans="1:45">
      <c r="A14" s="21" t="s">
        <v>6</v>
      </c>
      <c r="B14" s="84" t="s">
        <v>1</v>
      </c>
      <c r="C14" s="109" t="s">
        <v>64</v>
      </c>
      <c r="D14" s="86"/>
      <c r="E14" s="28"/>
      <c r="F14" s="10"/>
      <c r="G14" s="10"/>
      <c r="H14" s="10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K14" s="5"/>
      <c r="AL14" s="8"/>
      <c r="AP14" s="6"/>
      <c r="AQ14" s="6"/>
      <c r="AR14" s="6"/>
      <c r="AS14" s="6"/>
    </row>
    <row r="15" spans="1:45">
      <c r="A15" s="21" t="s">
        <v>49</v>
      </c>
      <c r="B15" s="84" t="s">
        <v>1</v>
      </c>
      <c r="C15" s="109" t="s">
        <v>65</v>
      </c>
      <c r="D15" s="86"/>
      <c r="E15" s="28"/>
      <c r="F15" s="10"/>
      <c r="G15" s="10"/>
      <c r="H15" s="10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K15" s="5"/>
      <c r="AL15" s="8"/>
      <c r="AP15" s="6"/>
      <c r="AQ15" s="6"/>
      <c r="AR15" s="6"/>
      <c r="AS15" s="6"/>
    </row>
    <row r="16" spans="1:45">
      <c r="A16" s="21" t="s">
        <v>50</v>
      </c>
      <c r="B16" s="84" t="s">
        <v>1</v>
      </c>
      <c r="C16" s="109" t="s">
        <v>66</v>
      </c>
      <c r="D16" s="86"/>
      <c r="E16" s="28"/>
      <c r="F16" s="10"/>
      <c r="G16" s="10"/>
      <c r="H16" s="10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K16" s="5"/>
      <c r="AL16" s="8"/>
      <c r="AP16" s="6"/>
      <c r="AQ16" s="6"/>
      <c r="AR16" s="6"/>
      <c r="AS16" s="6"/>
    </row>
    <row r="17" spans="1:45">
      <c r="A17" s="21" t="s">
        <v>53</v>
      </c>
      <c r="B17" s="84" t="s">
        <v>1</v>
      </c>
      <c r="C17" s="85"/>
      <c r="D17" s="86"/>
      <c r="E17" s="28"/>
      <c r="F17" s="10"/>
      <c r="G17" s="10"/>
      <c r="H17" s="10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K17" s="5"/>
      <c r="AL17" s="8"/>
      <c r="AP17" s="6"/>
      <c r="AQ17" s="6"/>
      <c r="AR17" s="6"/>
      <c r="AS17" s="6"/>
    </row>
    <row r="18" spans="1:45">
      <c r="A18" s="21" t="s">
        <v>54</v>
      </c>
      <c r="B18" s="84" t="s">
        <v>1</v>
      </c>
      <c r="C18" s="85"/>
      <c r="D18" s="86"/>
      <c r="E18" s="28"/>
      <c r="F18" s="10"/>
      <c r="G18" s="10"/>
      <c r="H18" s="10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K18" s="5"/>
      <c r="AL18" s="8"/>
      <c r="AP18" s="6"/>
      <c r="AQ18" s="6"/>
      <c r="AR18" s="6"/>
      <c r="AS18" s="6"/>
    </row>
    <row r="19" spans="1:45">
      <c r="A19" s="21" t="s">
        <v>52</v>
      </c>
      <c r="B19" s="84" t="s">
        <v>1</v>
      </c>
      <c r="C19" s="109" t="s">
        <v>96</v>
      </c>
      <c r="D19" s="86"/>
      <c r="E19" s="28"/>
      <c r="F19" s="10"/>
      <c r="G19" s="10"/>
      <c r="H19" s="10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K19" s="5"/>
      <c r="AL19" s="8"/>
      <c r="AP19" s="6"/>
      <c r="AQ19" s="6"/>
      <c r="AR19" s="6"/>
      <c r="AS19" s="6"/>
    </row>
    <row r="20" spans="1:45">
      <c r="A20" s="46"/>
      <c r="B20" s="46"/>
      <c r="C20" s="28"/>
      <c r="D20" s="28"/>
      <c r="E20" s="28"/>
      <c r="F20" s="10"/>
      <c r="G20" s="10"/>
      <c r="H20" s="10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K20" s="5"/>
      <c r="AL20" s="8"/>
      <c r="AP20" s="6"/>
      <c r="AQ20" s="6"/>
      <c r="AR20" s="6"/>
      <c r="AS20" s="6"/>
    </row>
    <row r="21" spans="1:45">
      <c r="A21" s="11" t="s">
        <v>38</v>
      </c>
      <c r="B21" s="26"/>
      <c r="D21"/>
      <c r="E21"/>
      <c r="F21" s="10"/>
      <c r="G21" s="10"/>
      <c r="H21" s="10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K21" s="5"/>
      <c r="AL21" s="8"/>
      <c r="AP21" s="6"/>
      <c r="AQ21" s="6"/>
      <c r="AR21" s="6"/>
      <c r="AS21" s="6"/>
    </row>
    <row r="22" spans="1:45">
      <c r="A22" s="73" t="s">
        <v>68</v>
      </c>
      <c r="B22" s="67" t="s">
        <v>1</v>
      </c>
      <c r="C22" s="68">
        <v>721228.62</v>
      </c>
      <c r="D22" s="69" t="s">
        <v>39</v>
      </c>
      <c r="E22" s="70"/>
      <c r="F22" s="10"/>
      <c r="G22" s="10"/>
      <c r="H22" s="10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K22" s="5"/>
      <c r="AL22" s="8"/>
      <c r="AP22" s="6"/>
      <c r="AQ22" s="6"/>
      <c r="AR22" s="6"/>
      <c r="AS22" s="6"/>
    </row>
    <row r="23" spans="1:45">
      <c r="A23" s="11"/>
      <c r="B23" s="11"/>
      <c r="C23" s="68">
        <v>462450.22</v>
      </c>
      <c r="D23" s="69" t="s">
        <v>40</v>
      </c>
      <c r="E23" s="70"/>
      <c r="F23" s="10"/>
      <c r="G23" s="10"/>
      <c r="H23" s="10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K23" s="5"/>
      <c r="AL23" s="8"/>
      <c r="AP23" s="6"/>
      <c r="AQ23" s="6"/>
      <c r="AR23" s="6"/>
      <c r="AS23" s="6"/>
    </row>
    <row r="24" spans="1:45">
      <c r="A24"/>
      <c r="B24"/>
      <c r="C24"/>
      <c r="G24"/>
      <c r="H24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K24" s="5"/>
      <c r="AL24" s="8"/>
      <c r="AP24" s="6"/>
      <c r="AQ24" s="6"/>
      <c r="AR24" s="6"/>
      <c r="AS24" s="6"/>
    </row>
    <row r="25" spans="1:45">
      <c r="A25" s="11" t="s">
        <v>45</v>
      </c>
      <c r="B25"/>
      <c r="C25" s="67">
        <v>4</v>
      </c>
      <c r="G25"/>
      <c r="H25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K25" s="5"/>
      <c r="AL25" s="8"/>
      <c r="AP25" s="6"/>
      <c r="AQ25" s="6"/>
      <c r="AR25" s="6"/>
      <c r="AS25" s="6"/>
    </row>
    <row r="26" spans="1:45">
      <c r="A26"/>
      <c r="B26"/>
      <c r="C26"/>
      <c r="G26"/>
      <c r="H26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K26" s="5"/>
      <c r="AL26" s="8"/>
      <c r="AP26" s="6"/>
      <c r="AQ26" s="6"/>
      <c r="AR26" s="6"/>
      <c r="AS26" s="6"/>
    </row>
    <row r="27" spans="1:45" s="11" customFormat="1" ht="13.5" customHeight="1">
      <c r="A27" s="11" t="s">
        <v>22</v>
      </c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4"/>
      <c r="AI27" s="14"/>
      <c r="AJ27" s="14"/>
      <c r="AK27" s="15"/>
      <c r="AO27" s="12"/>
      <c r="AP27" s="12"/>
      <c r="AQ27" s="12"/>
      <c r="AR27" s="12"/>
    </row>
    <row r="28" spans="1:45" s="11" customFormat="1">
      <c r="A28" s="95" t="s">
        <v>16</v>
      </c>
      <c r="B28" s="95"/>
      <c r="C28" s="33">
        <f>ABS(SUM(AO42:AO65536))</f>
        <v>620.20140000154856</v>
      </c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14"/>
      <c r="AJ28" s="14"/>
      <c r="AK28" s="15"/>
      <c r="AO28" s="12"/>
      <c r="AP28" s="12"/>
      <c r="AQ28" s="12"/>
      <c r="AR28" s="12"/>
    </row>
    <row r="29" spans="1:45" s="11" customFormat="1">
      <c r="A29" s="32" t="s">
        <v>17</v>
      </c>
      <c r="B29" s="32"/>
      <c r="C29" s="32">
        <f>ABS(C28/2)</f>
        <v>310.10070000077428</v>
      </c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4"/>
      <c r="AI29" s="14"/>
      <c r="AJ29" s="14"/>
      <c r="AK29" s="15"/>
      <c r="AO29" s="12"/>
      <c r="AP29" s="12"/>
      <c r="AQ29" s="12"/>
      <c r="AR29" s="12"/>
    </row>
    <row r="30" spans="1:45" s="11" customFormat="1">
      <c r="A30" s="70"/>
      <c r="B30" s="70"/>
      <c r="C30" s="70"/>
      <c r="G30" s="12"/>
      <c r="H30" s="12"/>
      <c r="I30" s="12"/>
      <c r="J30" s="12"/>
      <c r="K30" s="12"/>
      <c r="L30" s="12"/>
      <c r="M30" s="12"/>
      <c r="N30" s="13"/>
      <c r="O30" s="13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4"/>
      <c r="AI30" s="14"/>
      <c r="AJ30" s="14"/>
      <c r="AK30" s="15"/>
      <c r="AO30" s="12"/>
      <c r="AP30" s="12"/>
      <c r="AQ30" s="12"/>
      <c r="AR30" s="12"/>
    </row>
    <row r="31" spans="1:45" s="11" customFormat="1">
      <c r="A31" s="14" t="s">
        <v>41</v>
      </c>
      <c r="B31" s="26"/>
      <c r="C31" s="26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  <c r="AI31" s="14"/>
      <c r="AJ31" s="14"/>
      <c r="AK31" s="15"/>
      <c r="AO31" s="12"/>
      <c r="AP31" s="12"/>
      <c r="AQ31" s="12"/>
      <c r="AR31" s="12"/>
    </row>
    <row r="32" spans="1:45" s="11" customFormat="1">
      <c r="A32" s="71" t="s">
        <v>42</v>
      </c>
      <c r="B32" s="32">
        <f>SQRT(AA40^2+AB40^2)</f>
        <v>3.1357014624304033E-3</v>
      </c>
      <c r="C32" s="32"/>
      <c r="G32" s="12"/>
      <c r="H32" s="12"/>
      <c r="I32" s="12"/>
      <c r="J32" s="12"/>
      <c r="K32" s="12"/>
      <c r="L32" s="12"/>
      <c r="M32" s="12"/>
      <c r="N32" s="13"/>
      <c r="O32" s="13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4"/>
      <c r="AI32" s="14"/>
      <c r="AJ32" s="14"/>
      <c r="AK32" s="15"/>
      <c r="AO32" s="12"/>
      <c r="AP32" s="12"/>
      <c r="AQ32" s="12"/>
      <c r="AR32" s="12"/>
    </row>
    <row r="33" spans="1:44" s="11" customFormat="1">
      <c r="A33" s="71" t="s">
        <v>43</v>
      </c>
      <c r="B33" s="108">
        <f>M40/B32</f>
        <v>22815.208538521023</v>
      </c>
      <c r="C33" s="108"/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4"/>
      <c r="AI33" s="14"/>
      <c r="AJ33" s="14"/>
      <c r="AK33" s="15"/>
      <c r="AO33" s="12"/>
      <c r="AP33" s="12"/>
      <c r="AQ33" s="12"/>
      <c r="AR33" s="12"/>
    </row>
    <row r="34" spans="1:44" s="11" customFormat="1">
      <c r="A34" s="71" t="s">
        <v>44</v>
      </c>
      <c r="B34" s="32" t="str">
        <f>"1 : "&amp;TEXT(B35,"00")</f>
        <v>1 : 23000</v>
      </c>
      <c r="C34" s="32"/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4"/>
      <c r="AI34" s="14"/>
      <c r="AJ34" s="14"/>
      <c r="AK34" s="15"/>
      <c r="AO34" s="12"/>
      <c r="AP34" s="12"/>
      <c r="AQ34" s="12"/>
      <c r="AR34" s="12"/>
    </row>
    <row r="35" spans="1:44" s="11" customFormat="1" ht="12.75" hidden="1" customHeight="1">
      <c r="A35" s="70"/>
      <c r="B35" s="104">
        <f>ROUND(B33,2-LEN(INT(B33)))</f>
        <v>23000</v>
      </c>
      <c r="C35" s="104"/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  <c r="AI35" s="14"/>
      <c r="AJ35" s="14"/>
      <c r="AK35" s="15"/>
      <c r="AO35" s="12"/>
      <c r="AP35" s="12"/>
      <c r="AQ35" s="12"/>
      <c r="AR35" s="12"/>
    </row>
    <row r="36" spans="1:44" s="11" customFormat="1">
      <c r="G36" s="12"/>
      <c r="H36" s="12"/>
      <c r="I36" s="12"/>
      <c r="J36" s="12"/>
      <c r="K36" s="12"/>
      <c r="L36" s="12"/>
      <c r="M36" s="12"/>
      <c r="N36" s="13"/>
      <c r="O36" s="13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4"/>
      <c r="AI36" s="14"/>
      <c r="AJ36" s="14"/>
      <c r="AK36" s="15"/>
      <c r="AO36" s="12"/>
      <c r="AP36" s="12"/>
      <c r="AQ36" s="12"/>
      <c r="AR36" s="12"/>
    </row>
    <row r="37" spans="1:44" s="11" customFormat="1">
      <c r="G37" s="12"/>
      <c r="H37" s="12"/>
      <c r="I37" s="12"/>
      <c r="J37" s="12"/>
      <c r="K37" s="12"/>
      <c r="L37" s="12"/>
      <c r="M37" s="12"/>
      <c r="N37" s="13"/>
      <c r="O37" s="13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4"/>
      <c r="AI37" s="14"/>
      <c r="AJ37" s="14"/>
      <c r="AK37" s="15"/>
      <c r="AO37" s="12"/>
      <c r="AP37" s="12"/>
      <c r="AQ37" s="12"/>
      <c r="AR37" s="12"/>
    </row>
    <row r="38" spans="1:44">
      <c r="A38" s="100" t="s">
        <v>9</v>
      </c>
      <c r="B38" s="88"/>
      <c r="C38" s="16" t="s">
        <v>7</v>
      </c>
      <c r="D38" s="16"/>
      <c r="E38" s="77"/>
      <c r="F38" s="19" t="s">
        <v>46</v>
      </c>
      <c r="G38" s="19" t="s">
        <v>46</v>
      </c>
      <c r="H38" s="74"/>
      <c r="I38" s="74"/>
      <c r="J38" s="74"/>
      <c r="K38" s="74"/>
      <c r="L38" s="74"/>
      <c r="M38" s="17" t="s">
        <v>8</v>
      </c>
      <c r="N38" s="17"/>
      <c r="O38" s="17"/>
      <c r="P38" s="17"/>
      <c r="Q38" s="17"/>
      <c r="R38" s="17"/>
      <c r="S38" s="17"/>
      <c r="T38" s="17"/>
      <c r="U38" s="17"/>
      <c r="V38" s="98"/>
      <c r="W38" s="59"/>
      <c r="X38" s="59" t="s">
        <v>33</v>
      </c>
      <c r="Y38" s="59" t="s">
        <v>34</v>
      </c>
      <c r="Z38" s="80"/>
      <c r="AA38" s="100" t="s">
        <v>30</v>
      </c>
      <c r="AB38" s="100" t="s">
        <v>31</v>
      </c>
      <c r="AC38" s="80"/>
      <c r="AD38" s="17" t="s">
        <v>32</v>
      </c>
      <c r="AE38" s="17" t="s">
        <v>32</v>
      </c>
      <c r="AF38" s="17" t="s">
        <v>37</v>
      </c>
      <c r="AG38" s="17" t="s">
        <v>37</v>
      </c>
      <c r="AH38" s="61"/>
      <c r="AI38" s="45" t="s">
        <v>35</v>
      </c>
      <c r="AJ38" s="45" t="s">
        <v>55</v>
      </c>
      <c r="AK38" s="97"/>
      <c r="AL38" s="65"/>
      <c r="AM38" s="45" t="s">
        <v>18</v>
      </c>
      <c r="AN38" s="96"/>
      <c r="AO38" s="97"/>
      <c r="AP38" s="102" t="s">
        <v>56</v>
      </c>
    </row>
    <row r="39" spans="1:44">
      <c r="A39" s="101"/>
      <c r="B39" s="62"/>
      <c r="C39" s="16" t="s">
        <v>10</v>
      </c>
      <c r="D39" s="16" t="s">
        <v>11</v>
      </c>
      <c r="E39" s="77"/>
      <c r="F39" s="17" t="s">
        <v>30</v>
      </c>
      <c r="G39" s="17" t="s">
        <v>31</v>
      </c>
      <c r="H39" s="62"/>
      <c r="I39" s="62"/>
      <c r="J39" s="62"/>
      <c r="K39" s="62"/>
      <c r="L39" s="62"/>
      <c r="M39" s="17" t="s">
        <v>12</v>
      </c>
      <c r="N39" s="45" t="s">
        <v>21</v>
      </c>
      <c r="O39" s="96"/>
      <c r="P39" s="96"/>
      <c r="Q39" s="97"/>
      <c r="R39" s="45" t="s">
        <v>24</v>
      </c>
      <c r="S39" s="96"/>
      <c r="T39" s="96"/>
      <c r="U39" s="97"/>
      <c r="V39" s="99"/>
      <c r="W39" s="59"/>
      <c r="X39" s="59"/>
      <c r="Y39" s="59"/>
      <c r="Z39" s="81"/>
      <c r="AA39" s="101"/>
      <c r="AB39" s="101"/>
      <c r="AC39" s="81"/>
      <c r="AD39" s="17" t="s">
        <v>30</v>
      </c>
      <c r="AE39" s="17" t="s">
        <v>31</v>
      </c>
      <c r="AF39" s="17" t="s">
        <v>30</v>
      </c>
      <c r="AG39" s="17" t="s">
        <v>31</v>
      </c>
      <c r="AH39" s="62"/>
      <c r="AI39" s="17" t="s">
        <v>36</v>
      </c>
      <c r="AJ39" s="17" t="s">
        <v>10</v>
      </c>
      <c r="AK39" s="17" t="s">
        <v>11</v>
      </c>
      <c r="AL39" s="62"/>
      <c r="AM39" s="17" t="s">
        <v>13</v>
      </c>
      <c r="AN39" s="19" t="s">
        <v>14</v>
      </c>
      <c r="AO39" s="16" t="s">
        <v>15</v>
      </c>
      <c r="AP39" s="102"/>
    </row>
    <row r="40" spans="1:44" s="11" customFormat="1">
      <c r="A40" s="105" t="s">
        <v>25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7"/>
      <c r="M40" s="51">
        <f>SUM(M42:M65536)</f>
        <v>71.541682779894998</v>
      </c>
      <c r="N40" s="54"/>
      <c r="O40" s="55"/>
      <c r="P40" s="55"/>
      <c r="Q40" s="56"/>
      <c r="R40" s="53" t="s">
        <v>26</v>
      </c>
      <c r="S40" s="53" t="s">
        <v>27</v>
      </c>
      <c r="T40" s="53" t="s">
        <v>28</v>
      </c>
      <c r="U40" s="53" t="s">
        <v>29</v>
      </c>
      <c r="V40" s="90"/>
      <c r="W40" s="87"/>
      <c r="X40" s="87"/>
      <c r="Y40" s="87"/>
      <c r="Z40" s="87"/>
      <c r="AA40" s="91">
        <f>SUM(AA42:AA65536)</f>
        <v>-1.0160338718905593E-3</v>
      </c>
      <c r="AB40" s="91">
        <f>SUM(AB42:AB65536)</f>
        <v>2.9665297626451093E-3</v>
      </c>
      <c r="AC40" s="91"/>
      <c r="AD40" s="91">
        <f>SUM(AD42:AD65536)</f>
        <v>-1.0160338718905593E-3</v>
      </c>
      <c r="AE40" s="91">
        <f>SUM(AE42:AE65536)</f>
        <v>2.9665297626451097E-3</v>
      </c>
      <c r="AF40" s="91">
        <f>SUM(AF42:AF65536)</f>
        <v>-6.3837823915946501E-16</v>
      </c>
      <c r="AG40" s="91">
        <f>SUM(AG42:AG65536)</f>
        <v>0</v>
      </c>
      <c r="AH40" s="92"/>
      <c r="AI40" s="93">
        <v>1</v>
      </c>
      <c r="AJ40" s="92">
        <f>AJ44+AF44</f>
        <v>720759.92947745323</v>
      </c>
      <c r="AK40" s="92">
        <f>AK44+AG44</f>
        <v>461698.42588469904</v>
      </c>
      <c r="AL40" s="92"/>
      <c r="AM40" s="51"/>
      <c r="AN40" s="57"/>
      <c r="AO40" s="52"/>
      <c r="AP40" s="103"/>
    </row>
    <row r="41" spans="1:44">
      <c r="A41" s="34" t="str">
        <f>IF(A22=0, " ",  A22)</f>
        <v>BLLM 1</v>
      </c>
      <c r="B41" s="89"/>
      <c r="C41" s="35">
        <f>C22</f>
        <v>721228.62</v>
      </c>
      <c r="D41" s="35">
        <f>C23</f>
        <v>462450.22</v>
      </c>
      <c r="E41" s="78"/>
      <c r="F41" s="72">
        <f>IF(C42=0,C41-$C$41,C41-C42)</f>
        <v>468.55000000004657</v>
      </c>
      <c r="G41" s="72">
        <f>IF(D42=0,D41-$D$41,D41-D42)</f>
        <v>773.02999999996973</v>
      </c>
      <c r="H41" s="75" t="str">
        <f>IF(G41=0,IF(F41&gt;0,"South","North"),"")</f>
        <v/>
      </c>
      <c r="I41" s="75">
        <f>IF(H41="North",2,IF(H41="",0,0))</f>
        <v>0</v>
      </c>
      <c r="J41" s="75" t="str">
        <f>IF(F41=0,IF(G41&gt;0,"West","East"),"")</f>
        <v/>
      </c>
      <c r="K41" s="75">
        <f>IF(J41="West",1,IF(J41="",0,3))</f>
        <v>0</v>
      </c>
      <c r="L41" s="75" t="str">
        <f>H41&amp;J41</f>
        <v/>
      </c>
      <c r="M41" s="36">
        <f>SQRT(F41^2+G41^2)</f>
        <v>903.94384969421458</v>
      </c>
      <c r="N41" s="36">
        <f>IF(F41=0,,ATAN(G41/F41))</f>
        <v>1.0258879745311775</v>
      </c>
      <c r="O41" s="36">
        <f>ABS(DEGREES(N41))</f>
        <v>58.779051193860958</v>
      </c>
      <c r="P41" s="37" t="str">
        <f>TEXT(INT(O41),"00")</f>
        <v>58</v>
      </c>
      <c r="Q41" s="38" t="str">
        <f>TEXT((O41-P41)*60,"00")</f>
        <v>47</v>
      </c>
      <c r="R41" s="39" t="str">
        <f>IF(L41="",IF(F41&gt;0,"S","N"),"")</f>
        <v>S</v>
      </c>
      <c r="S41" s="25" t="str">
        <f>IF(L41="",IF(INT(Q41)=60,INT(P41+1),P41),"due")</f>
        <v>58</v>
      </c>
      <c r="T41" s="38" t="str">
        <f>IF(L41="",IF(INT(Q41)=60,"00",Q41),L41)</f>
        <v>47</v>
      </c>
      <c r="U41" s="40" t="str">
        <f>IF(L41="",IF(G41&gt;0,"W","E"),"")</f>
        <v>W</v>
      </c>
      <c r="V41" s="41"/>
      <c r="W41" s="22">
        <f>IF(S41="due",90*(I41+K41),S41+T41/60)</f>
        <v>58.783333333333331</v>
      </c>
      <c r="X41" s="22">
        <f>IF(R41="",W41,IF(R41="N",IF(U41="E",180+W41,180-W41),IF(U41="E",360-W41,W41)))</f>
        <v>58.783333333333331</v>
      </c>
      <c r="Y41" s="22">
        <f>RADIANS(X41)</f>
        <v>1.025962711964</v>
      </c>
      <c r="Z41" s="64"/>
      <c r="AA41" s="58">
        <f>-M41*COS(Y41)</f>
        <v>-468.49222441381949</v>
      </c>
      <c r="AB41" s="58">
        <f>-M41*SIN(Y41)</f>
        <v>-773.06501606513541</v>
      </c>
      <c r="AC41" s="64"/>
      <c r="AD41" s="22">
        <v>0</v>
      </c>
      <c r="AE41" s="22">
        <v>0</v>
      </c>
      <c r="AF41" s="22">
        <f t="shared" ref="AF41:AG43" si="0">AA41-AD41</f>
        <v>-468.49222441381949</v>
      </c>
      <c r="AG41" s="22">
        <f t="shared" si="0"/>
        <v>-773.06501606513541</v>
      </c>
      <c r="AH41" s="63"/>
      <c r="AI41" s="36" t="str">
        <f>A41</f>
        <v>BLLM 1</v>
      </c>
      <c r="AJ41" s="36">
        <f>C41</f>
        <v>721228.62</v>
      </c>
      <c r="AK41" s="36">
        <f>D41</f>
        <v>462450.22</v>
      </c>
      <c r="AL41" s="63"/>
      <c r="AM41" s="42" t="str">
        <f>IF(A42=0,A41&amp;" - 1",A41&amp;" - "&amp;A42)</f>
        <v>BLLM 1 - 1</v>
      </c>
      <c r="AN41" s="42"/>
      <c r="AO41" s="43"/>
      <c r="AP41" s="9"/>
    </row>
    <row r="42" spans="1:44">
      <c r="A42" s="20">
        <v>1</v>
      </c>
      <c r="B42" s="44"/>
      <c r="C42" s="60">
        <v>720760.07</v>
      </c>
      <c r="D42" s="60">
        <v>461677.19</v>
      </c>
      <c r="E42" s="79"/>
      <c r="F42" s="72">
        <f>IF(C43=0,C42-$C$42,C42-C43)</f>
        <v>-14.660000000032596</v>
      </c>
      <c r="G42" s="72">
        <f>IF(D43=0,D42-$D$42,D42-D43)</f>
        <v>-1.3200000000069849</v>
      </c>
      <c r="H42" s="75" t="str">
        <f>IF(G42=0,IF(F42&gt;0,"South","North"),"")</f>
        <v/>
      </c>
      <c r="I42" s="75">
        <f>IF(H42="North",2,IF(H42="",0,0))</f>
        <v>0</v>
      </c>
      <c r="J42" s="75" t="str">
        <f>IF(F42=0,IF(G42&gt;0,"West","East"),"")</f>
        <v/>
      </c>
      <c r="K42" s="75">
        <f>IF(J42="West",1,IF(J42="",0,3))</f>
        <v>0</v>
      </c>
      <c r="L42" s="75" t="str">
        <f>H42&amp;J42</f>
        <v/>
      </c>
      <c r="M42" s="36">
        <f>SQRT(F42^2+G42^2)</f>
        <v>14.71930704893998</v>
      </c>
      <c r="N42" s="36">
        <f>IF(F42=0,,ATAN(G42/F42))</f>
        <v>8.9798772885630831E-2</v>
      </c>
      <c r="O42" s="36">
        <f>ABS(DEGREES(N42))</f>
        <v>5.1450906918004593</v>
      </c>
      <c r="P42" s="37" t="str">
        <f>TEXT(INT(O42),"00")</f>
        <v>05</v>
      </c>
      <c r="Q42" s="38" t="str">
        <f>TEXT((O42-P42)*60,"00")</f>
        <v>09</v>
      </c>
      <c r="R42" s="39" t="str">
        <f>IF(L42="",IF(F42&gt;0,"S","N"),"")</f>
        <v>N</v>
      </c>
      <c r="S42" s="25" t="str">
        <f>IF(L42="",IF(INT(Q42)=60,INT(P42+1),P42),"due")</f>
        <v>05</v>
      </c>
      <c r="T42" s="38" t="str">
        <f>IF(L42="",IF(INT(Q42)=60,"00",Q42),L42)</f>
        <v>09</v>
      </c>
      <c r="U42" s="40" t="str">
        <f>IF(L42="",IF(G42&gt;0,"W","E"),"")</f>
        <v>E</v>
      </c>
      <c r="V42" s="44"/>
      <c r="W42" s="22">
        <f>IF(S42="due",90*(I42+K42),S42+T42/60)</f>
        <v>5.15</v>
      </c>
      <c r="X42" s="22">
        <f>IF(R42="",W42,IF(R42="N",IF(U42="E",180+W42,180-W42),IF(U42="E",360-W42,W42)))</f>
        <v>185.15</v>
      </c>
      <c r="Y42" s="22">
        <f>RADIANS(X42)</f>
        <v>3.2314771100675013</v>
      </c>
      <c r="Z42" s="64"/>
      <c r="AA42" s="58">
        <f>-M42*COS(Y42)</f>
        <v>14.659886843876693</v>
      </c>
      <c r="AB42" s="58">
        <f>-M42*SIN(Y42)</f>
        <v>1.3212561166197949</v>
      </c>
      <c r="AC42" s="64"/>
      <c r="AD42" s="82">
        <f>$AA$40/$M$40*M42</f>
        <v>-2.0904337096028312E-4</v>
      </c>
      <c r="AE42" s="82">
        <f>$AB$40/$M$40*M42</f>
        <v>6.1034715356826121E-4</v>
      </c>
      <c r="AF42" s="22">
        <f t="shared" si="0"/>
        <v>14.660095887247653</v>
      </c>
      <c r="AG42" s="22">
        <f t="shared" si="0"/>
        <v>1.3206457694662266</v>
      </c>
      <c r="AH42" s="63"/>
      <c r="AI42" s="38">
        <f>A42</f>
        <v>1</v>
      </c>
      <c r="AJ42" s="82">
        <f t="shared" ref="AJ42:AK44" si="1">AJ41+AF41</f>
        <v>720760.12777558621</v>
      </c>
      <c r="AK42" s="82">
        <f t="shared" si="1"/>
        <v>461677.15498393483</v>
      </c>
      <c r="AL42" s="66"/>
      <c r="AM42" s="9" t="str">
        <f>IF(A43=0,A42&amp;" - 1",A42&amp;" - "&amp;A43)</f>
        <v>1 - 2</v>
      </c>
      <c r="AN42" s="18">
        <f>F42</f>
        <v>-14.660000000032596</v>
      </c>
      <c r="AO42" s="18">
        <f>AN42*G42</f>
        <v>19.351200000145425</v>
      </c>
      <c r="AP42" s="9" t="str">
        <f>D42&amp;","&amp;C42</f>
        <v>461677.19,720760.07</v>
      </c>
    </row>
    <row r="43" spans="1:44">
      <c r="A43" s="20">
        <f>A42+1</f>
        <v>2</v>
      </c>
      <c r="B43" s="44"/>
      <c r="C43" s="60">
        <v>720774.73</v>
      </c>
      <c r="D43" s="60">
        <v>461678.51</v>
      </c>
      <c r="E43" s="79"/>
      <c r="F43" s="72">
        <f>IF(C44=0,C43-$C$42,C43-C44)</f>
        <v>-0.16000000003259629</v>
      </c>
      <c r="G43" s="72">
        <f>IF(D44=0,D43-$D$42,D43-D44)</f>
        <v>-20.520000000018626</v>
      </c>
      <c r="H43" s="75" t="str">
        <f>IF(G43=0,IF(F43&gt;0,"South","North"),"")</f>
        <v/>
      </c>
      <c r="I43" s="75">
        <f>IF(H43="North",2,IF(H43="",0,0))</f>
        <v>0</v>
      </c>
      <c r="J43" s="75" t="str">
        <f>IF(F43=0,IF(G43&gt;0,"West","East"),"")</f>
        <v/>
      </c>
      <c r="K43" s="75">
        <f>IF(J43="West",1,IF(J43="",0,3))</f>
        <v>0</v>
      </c>
      <c r="L43" s="75" t="str">
        <f>H43&amp;J43</f>
        <v/>
      </c>
      <c r="M43" s="36">
        <f>SQRT(F43^2+G43^2)</f>
        <v>20.520623772214503</v>
      </c>
      <c r="N43" s="36">
        <f>IF(F43=0,,ATAN(G43/F43))</f>
        <v>1.5629992138504085</v>
      </c>
      <c r="O43" s="36">
        <f>ABS(DEGREES(N43))</f>
        <v>89.553258335894014</v>
      </c>
      <c r="P43" s="37" t="str">
        <f>TEXT(INT(O43),"00")</f>
        <v>89</v>
      </c>
      <c r="Q43" s="38" t="str">
        <f>TEXT((O43-P43)*60,"00")</f>
        <v>33</v>
      </c>
      <c r="R43" s="39" t="str">
        <f>IF(L43="",IF(F43&gt;0,"S","N"),"")</f>
        <v>N</v>
      </c>
      <c r="S43" s="25" t="str">
        <f>IF(L43="",IF(INT(Q43)=60,INT(P43+1),P43),"due")</f>
        <v>89</v>
      </c>
      <c r="T43" s="38" t="str">
        <f>IF(L43="",IF(INT(Q43)=60,"00",Q43),L43)</f>
        <v>33</v>
      </c>
      <c r="U43" s="40" t="str">
        <f>IF(L43="",IF(G43&gt;0,"W","E"),"")</f>
        <v>E</v>
      </c>
      <c r="V43" s="44"/>
      <c r="W43" s="22">
        <f>IF(S43="due",90*(I43+K43),S43+T43/60)</f>
        <v>89.55</v>
      </c>
      <c r="X43" s="22">
        <f>IF(R43="",W43,IF(R43="N",IF(U43="E",180+W43,180-W43),IF(U43="E",360-W43,W43)))</f>
        <v>269.55</v>
      </c>
      <c r="Y43" s="22">
        <f>RADIANS(X43)</f>
        <v>4.7045349987507157</v>
      </c>
      <c r="Z43" s="64"/>
      <c r="AA43" s="58">
        <f>-M43*COS(Y43)</f>
        <v>0.16116694528150013</v>
      </c>
      <c r="AB43" s="58">
        <f>-M43*SIN(Y43)</f>
        <v>20.519990867846982</v>
      </c>
      <c r="AC43" s="64"/>
      <c r="AD43" s="82">
        <f>$AA$40/$M$40*M43</f>
        <v>-2.9143358130166638E-4</v>
      </c>
      <c r="AE43" s="82">
        <f>$AB$40/$M$40*M43</f>
        <v>8.5090312113016836E-4</v>
      </c>
      <c r="AF43" s="22">
        <f t="shared" si="0"/>
        <v>0.16145837886280179</v>
      </c>
      <c r="AG43" s="22">
        <f t="shared" si="0"/>
        <v>20.519139964725852</v>
      </c>
      <c r="AH43" s="64"/>
      <c r="AI43" s="25">
        <f>A43</f>
        <v>2</v>
      </c>
      <c r="AJ43" s="82">
        <f t="shared" si="1"/>
        <v>720774.78787147347</v>
      </c>
      <c r="AK43" s="82">
        <f t="shared" si="1"/>
        <v>461678.47562970431</v>
      </c>
      <c r="AL43" s="66"/>
      <c r="AM43" s="9" t="str">
        <f>IF(A44=0,A43&amp;" - 1",A43&amp;" - "&amp;A44)</f>
        <v>2 - 3</v>
      </c>
      <c r="AN43" s="18">
        <f>AN42+F42+F43</f>
        <v>-29.480000000097789</v>
      </c>
      <c r="AO43" s="18">
        <f>AN43*G43</f>
        <v>604.92960000255573</v>
      </c>
      <c r="AP43" s="9" t="str">
        <f>D43&amp;","&amp;C43</f>
        <v>461678.51,720774.73</v>
      </c>
    </row>
    <row r="44" spans="1:44" s="46" customFormat="1">
      <c r="A44" s="20">
        <f>A43+1</f>
        <v>3</v>
      </c>
      <c r="B44" s="44"/>
      <c r="C44" s="60">
        <v>720774.89</v>
      </c>
      <c r="D44" s="60">
        <v>461699.03</v>
      </c>
      <c r="E44" s="79"/>
      <c r="F44" s="72">
        <f>IF(C45=0,C44-$C$42,C44-C45)</f>
        <v>15.020000000018626</v>
      </c>
      <c r="G44" s="72">
        <f>IF(D45=0,D44-$D$42,D44-D45)</f>
        <v>0.57000000000698492</v>
      </c>
      <c r="H44" s="76" t="str">
        <f>IF(G44=0,IF(F44&gt;0,"South","North"),"")</f>
        <v/>
      </c>
      <c r="I44" s="76">
        <f>IF(H44="North",2,IF(H44="",0,0))</f>
        <v>0</v>
      </c>
      <c r="J44" s="76" t="str">
        <f>IF(F44=0,IF(G44&gt;0,"West","East"),"")</f>
        <v/>
      </c>
      <c r="K44" s="76">
        <f>IF(J44="West",1,IF(J44="",0,3))</f>
        <v>0</v>
      </c>
      <c r="L44" s="76" t="str">
        <f>H44&amp;J44</f>
        <v/>
      </c>
      <c r="M44" s="22">
        <f>SQRT(F44^2+G44^2)</f>
        <v>15.030811688014973</v>
      </c>
      <c r="N44" s="22">
        <f>IF(F44=0,,ATAN(G44/F44))</f>
        <v>3.7931198826317139E-2</v>
      </c>
      <c r="O44" s="22">
        <f>ABS(DEGREES(N44))</f>
        <v>2.1732976046195538</v>
      </c>
      <c r="P44" s="24" t="str">
        <f>TEXT(INT(O44),"00")</f>
        <v>02</v>
      </c>
      <c r="Q44" s="25" t="str">
        <f>TEXT((O44-P44)*60,"00")</f>
        <v>10</v>
      </c>
      <c r="R44" s="23" t="str">
        <f>IF(L44="",IF(F44&gt;0,"S","N"),"")</f>
        <v>S</v>
      </c>
      <c r="S44" s="25" t="str">
        <f>IF(L44="",IF(INT(Q44)=60,INT(P44+1),P44),"due")</f>
        <v>02</v>
      </c>
      <c r="T44" s="25" t="str">
        <f>IF(L44="",IF(INT(Q44)=60,"00",Q44),L44)</f>
        <v>10</v>
      </c>
      <c r="U44" s="24" t="str">
        <f>IF(L44="",IF(G44&gt;0,"W","E"),"")</f>
        <v>W</v>
      </c>
      <c r="V44" s="44"/>
      <c r="W44" s="22">
        <f>IF(S44="due",90*(I44+K44),S44+T44/60)</f>
        <v>2.1666666666666665</v>
      </c>
      <c r="X44" s="22">
        <f>IF(R44="",W44,IF(R44="N",IF(U44="E",180+W44,180-W44),IF(U44="E",360-W44,W44)))</f>
        <v>2.1666666666666665</v>
      </c>
      <c r="Y44" s="22">
        <f>RADIANS(X44)</f>
        <v>3.7815467126543802E-2</v>
      </c>
      <c r="Z44" s="64"/>
      <c r="AA44" s="58">
        <f>-M44*COS(Y44)</f>
        <v>-15.020065866499715</v>
      </c>
      <c r="AB44" s="58">
        <f>-M44*SIN(Y44)</f>
        <v>-0.56826170606302706</v>
      </c>
      <c r="AC44" s="64"/>
      <c r="AD44" s="82">
        <f>$AA$40/$M$40*M44</f>
        <v>-2.1346735502457997E-4</v>
      </c>
      <c r="AE44" s="82">
        <f>$AB$40/$M$40*M44</f>
        <v>6.2326392805707269E-4</v>
      </c>
      <c r="AF44" s="22">
        <f>AA44-AD44</f>
        <v>-15.019852399144691</v>
      </c>
      <c r="AG44" s="22">
        <f>AB44-AE44</f>
        <v>-0.56888496999108418</v>
      </c>
      <c r="AH44" s="64"/>
      <c r="AI44" s="25">
        <f>A44</f>
        <v>3</v>
      </c>
      <c r="AJ44" s="82">
        <f t="shared" si="1"/>
        <v>720774.94932985236</v>
      </c>
      <c r="AK44" s="82">
        <f t="shared" si="1"/>
        <v>461698.99476966902</v>
      </c>
      <c r="AL44" s="66"/>
      <c r="AM44" s="9" t="str">
        <f>IF(A45=0,A44&amp;" - 1",A44&amp;" - "&amp;A45)</f>
        <v>3 - 4</v>
      </c>
      <c r="AN44" s="18">
        <f>AN43+F43+F44</f>
        <v>-14.620000000111759</v>
      </c>
      <c r="AO44" s="18">
        <f>AN44*G44</f>
        <v>-8.3334000001658222</v>
      </c>
      <c r="AP44" s="9" t="str">
        <f>D44&amp;","&amp;C44</f>
        <v>461699.03,720774.89</v>
      </c>
    </row>
    <row r="45" spans="1:44" s="46" customFormat="1">
      <c r="A45" s="20">
        <f>A44+1</f>
        <v>4</v>
      </c>
      <c r="B45" s="44"/>
      <c r="C45" s="60">
        <v>720759.87</v>
      </c>
      <c r="D45" s="60">
        <v>461698.46</v>
      </c>
      <c r="E45" s="79"/>
      <c r="F45" s="72">
        <f>IF(C46=0,C45-$C$42,C45-C46)</f>
        <v>-0.19999999995343387</v>
      </c>
      <c r="G45" s="72">
        <f>IF(D46=0,D45-$D$42,D45-D46)</f>
        <v>21.270000000018626</v>
      </c>
      <c r="H45" s="76" t="str">
        <f>IF(G45=0,IF(F45&gt;0,"South","North"),"")</f>
        <v/>
      </c>
      <c r="I45" s="76">
        <f>IF(H45="North",2,IF(H45="",0,0))</f>
        <v>0</v>
      </c>
      <c r="J45" s="76" t="str">
        <f>IF(F45=0,IF(G45&gt;0,"West","East"),"")</f>
        <v/>
      </c>
      <c r="K45" s="76">
        <f>IF(J45="West",1,IF(J45="",0,3))</f>
        <v>0</v>
      </c>
      <c r="L45" s="76" t="str">
        <f>H45&amp;J45</f>
        <v/>
      </c>
      <c r="M45" s="22">
        <f>SQRT(F45^2+G45^2)</f>
        <v>21.270940270725546</v>
      </c>
      <c r="N45" s="22">
        <f>IF(F45=0,,ATAN(G45/F45))</f>
        <v>-1.561393688997748</v>
      </c>
      <c r="O45" s="22">
        <f>ABS(DEGREES(N45))</f>
        <v>89.461268537933208</v>
      </c>
      <c r="P45" s="24" t="str">
        <f>TEXT(INT(O45),"00")</f>
        <v>89</v>
      </c>
      <c r="Q45" s="25" t="str">
        <f>TEXT((O45-P45)*60,"00")</f>
        <v>28</v>
      </c>
      <c r="R45" s="23" t="str">
        <f>IF(L45="",IF(F45&gt;0,"S","N"),"")</f>
        <v>N</v>
      </c>
      <c r="S45" s="25" t="str">
        <f>IF(L45="",IF(INT(Q45)=60,INT(P45+1),P45),"due")</f>
        <v>89</v>
      </c>
      <c r="T45" s="25" t="str">
        <f>IF(L45="",IF(INT(Q45)=60,"00",Q45),L45)</f>
        <v>28</v>
      </c>
      <c r="U45" s="24" t="str">
        <f>IF(L45="",IF(G45&gt;0,"W","E"),"")</f>
        <v>W</v>
      </c>
      <c r="V45" s="44"/>
      <c r="W45" s="22">
        <f>IF(S45="due",90*(I45+K45),S45+T45/60)</f>
        <v>89.466666666666669</v>
      </c>
      <c r="X45" s="22">
        <f>IF(R45="",W45,IF(R45="N",IF(U45="E",180+W45,180-W45),IF(U45="E",360-W45,W45)))</f>
        <v>90.533333333333331</v>
      </c>
      <c r="Y45" s="22">
        <f>RADIANS(X45)</f>
        <v>1.5801047494721996</v>
      </c>
      <c r="Z45" s="64"/>
      <c r="AA45" s="58">
        <f>-M45*COS(Y45)</f>
        <v>0.19799604346963082</v>
      </c>
      <c r="AB45" s="58">
        <f>-M45*SIN(Y45)</f>
        <v>-21.270018748641107</v>
      </c>
      <c r="AC45" s="64"/>
      <c r="AD45" s="82">
        <f>$AA$40/$M$40*M45</f>
        <v>-3.0208956460402983E-4</v>
      </c>
      <c r="AE45" s="82">
        <f>$AB$40/$M$40*M45</f>
        <v>8.8201555988960711E-4</v>
      </c>
      <c r="AF45" s="22">
        <f>AA45-AD45</f>
        <v>0.19829813303423485</v>
      </c>
      <c r="AG45" s="22">
        <f>AB45-AE45</f>
        <v>-21.270900764200995</v>
      </c>
      <c r="AH45" s="64"/>
      <c r="AI45" s="25">
        <f>A45</f>
        <v>4</v>
      </c>
      <c r="AJ45" s="82">
        <f t="shared" ref="AJ45" si="2">AJ44+AF44</f>
        <v>720759.92947745323</v>
      </c>
      <c r="AK45" s="82">
        <f t="shared" ref="AK45" si="3">AK44+AG44</f>
        <v>461698.42588469904</v>
      </c>
      <c r="AL45" s="66"/>
      <c r="AM45" s="9" t="str">
        <f>IF(A46=0,A45&amp;" - 1",A45&amp;" - "&amp;A46)</f>
        <v>4 - 1</v>
      </c>
      <c r="AN45" s="18">
        <f>AN44+F44+F45</f>
        <v>0.19999999995343387</v>
      </c>
      <c r="AO45" s="18">
        <f>AN45*G45</f>
        <v>4.2539999990132635</v>
      </c>
      <c r="AP45" s="9" t="str">
        <f>D45&amp;","&amp;C45</f>
        <v>461698.46,720759.87</v>
      </c>
    </row>
    <row r="46" spans="1:44" s="46" customFormat="1">
      <c r="A46" s="28"/>
      <c r="B46" s="28"/>
      <c r="F46" s="47"/>
      <c r="G46" s="47"/>
      <c r="H46" s="47"/>
      <c r="I46" s="48"/>
      <c r="J46" s="48"/>
      <c r="K46" s="48"/>
      <c r="L46" s="28"/>
      <c r="M46" s="50"/>
      <c r="N46" s="48"/>
      <c r="O46" s="49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I46" s="47"/>
      <c r="AJ46" s="47"/>
    </row>
    <row r="47" spans="1:44" s="46" customFormat="1">
      <c r="A47" s="28"/>
      <c r="B47" s="28"/>
      <c r="F47" s="47"/>
      <c r="G47" s="47"/>
      <c r="H47" s="47"/>
      <c r="I47" s="48"/>
      <c r="J47" s="48"/>
      <c r="K47" s="48"/>
      <c r="L47" s="28"/>
      <c r="M47" s="50"/>
      <c r="N47" s="48"/>
      <c r="O47" s="49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I47" s="47"/>
      <c r="AJ47" s="47"/>
    </row>
  </sheetData>
  <mergeCells count="1">
    <mergeCell ref="C7:D7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3636</vt:lpstr>
      <vt:lpstr>3637</vt:lpstr>
      <vt:lpstr>3638</vt:lpstr>
      <vt:lpstr>3639</vt:lpstr>
      <vt:lpstr>3640</vt:lpstr>
      <vt:lpstr>3641</vt:lpstr>
      <vt:lpstr>3642</vt:lpstr>
      <vt:lpstr>3643</vt:lpstr>
      <vt:lpstr>3644</vt:lpstr>
      <vt:lpstr>3645</vt:lpstr>
      <vt:lpstr>'3636'!Print_Area</vt:lpstr>
    </vt:vector>
  </TitlesOfParts>
  <Company>Mapping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Cartography Division</dc:creator>
  <cp:lastModifiedBy>neo DENR</cp:lastModifiedBy>
  <dcterms:created xsi:type="dcterms:W3CDTF">2005-04-12T06:38:40Z</dcterms:created>
  <dcterms:modified xsi:type="dcterms:W3CDTF">2007-05-22T00:14:41Z</dcterms:modified>
</cp:coreProperties>
</file>