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1"/>
  </bookViews>
  <sheets>
    <sheet name="3666" sheetId="2" r:id="rId1"/>
    <sheet name="3667" sheetId="4" r:id="rId2"/>
    <sheet name="Sheet3" sheetId="5" r:id="rId3"/>
    <sheet name="Sheet4" sheetId="6" r:id="rId4"/>
    <sheet name="Sheet5" sheetId="7" r:id="rId5"/>
    <sheet name="Sheet6" sheetId="8" r:id="rId6"/>
    <sheet name="Sheet7" sheetId="9" r:id="rId7"/>
    <sheet name="Sheet8" sheetId="10" r:id="rId8"/>
    <sheet name="Sheet9" sheetId="11" r:id="rId9"/>
    <sheet name="Sheet10" sheetId="3" r:id="rId10"/>
  </sheets>
  <definedNames>
    <definedName name="_xlnm.Print_Area" localSheetId="0">'3666'!$A$1:$AJ$43</definedName>
  </definedNames>
  <calcPr calcId="124519"/>
</workbook>
</file>

<file path=xl/calcChain.xml><?xml version="1.0" encoding="utf-8"?>
<calcChain xmlns="http://schemas.openxmlformats.org/spreadsheetml/2006/main"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10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9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8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7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6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5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O43"/>
  <c r="AM43"/>
  <c r="AI43"/>
  <c r="U43"/>
  <c r="T43"/>
  <c r="N43"/>
  <c r="O43"/>
  <c r="P43"/>
  <c r="Q43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4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T43"/>
  <c r="S43"/>
  <c r="W43" s="1"/>
  <c r="X43" s="1"/>
  <c r="Y43" s="1"/>
  <c r="N43"/>
  <c r="O43" s="1"/>
  <c r="U42"/>
  <c r="N42"/>
  <c r="O42" s="1"/>
  <c r="M42"/>
  <c r="AB42" i="4" l="1"/>
  <c r="AA42"/>
  <c r="AB44"/>
  <c r="AA44"/>
  <c r="AB43"/>
  <c r="AA43"/>
  <c r="AB41"/>
  <c r="AG41" s="1"/>
  <c r="AK42" s="1"/>
  <c r="AA41"/>
  <c r="AF41" s="1"/>
  <c r="AJ42" s="1"/>
  <c r="M40"/>
  <c r="L45"/>
  <c r="W41" i="2"/>
  <c r="L45"/>
  <c r="AB43"/>
  <c r="AA43"/>
  <c r="M40"/>
  <c r="P42"/>
  <c r="Q42"/>
  <c r="P43"/>
  <c r="Q43"/>
  <c r="P44"/>
  <c r="Q44"/>
  <c r="AN44"/>
  <c r="AO43"/>
  <c r="X41"/>
  <c r="Y41" s="1"/>
  <c r="U45" i="4" l="1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4" l="1"/>
  <c r="AA45"/>
  <c r="AB42" i="2"/>
  <c r="AA42"/>
  <c r="AB44"/>
  <c r="AA44"/>
  <c r="AB45"/>
  <c r="AA45"/>
  <c r="C28"/>
  <c r="C29" s="1"/>
  <c r="AA40" i="4" l="1"/>
  <c r="AB40"/>
  <c r="AA40" i="2"/>
  <c r="AB40"/>
  <c r="AE45" i="4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4" l="1"/>
  <c r="AD40"/>
  <c r="AG42"/>
  <c r="AE40"/>
  <c r="AD40" i="2"/>
  <c r="AF42"/>
  <c r="AE40"/>
  <c r="AG42"/>
  <c r="AK43" i="4" l="1"/>
  <c r="AK44" s="1"/>
  <c r="AG40"/>
  <c r="AJ43"/>
  <c r="AJ44" s="1"/>
  <c r="AF40"/>
  <c r="AG40" i="2"/>
  <c r="AK43"/>
  <c r="AK44" s="1"/>
  <c r="AF40"/>
  <c r="AJ43"/>
  <c r="AJ44" s="1"/>
  <c r="AJ45" i="4" l="1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<sst xmlns="http://schemas.openxmlformats.org/spreadsheetml/2006/main" count="834" uniqueCount="73">
  <si>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</si>
  <si>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</si>
  <si>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</si>
  <si>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</si>
  <si>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</si>
  <si>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</si>
  <si>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</si>
  <si>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</si>
  <si>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</si>
  <si>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</si>
  <si>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</si>
  <si>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</si>
  <si>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</si>
  <si>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</si>
  <si>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</si>
  <si>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</si>
  <si>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</si>
  <si>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</si>
  <si>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</si>
  <si>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</si>
  <si>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</si>
  <si>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</si>
  <si>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</si>
  <si>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</si>
  <si>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</si>
  <si>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</si>
  <si>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</si>
  <si>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</si>
  <si>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</si>
  <si>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</si>
  <si>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</si>
  <si>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</si>
  <si>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</si>
  <si>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</si>
  <si>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</si>
  <si>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</si>
  <si>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</si>
  <si>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</si>
  <si>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</si>
  <si>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</si>
  <si>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</si>
  <si>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</si>
  <si>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</si>
  <si>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</si>
  <si>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</si>
  <si>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</si>
  <si>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</si>
  <si>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</si>
  <si>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</si>
  <si>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</si>
  <si>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</si>
  <si>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</si>
  <si>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</si>
  <si>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</si>
  <si>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</si>
  <si>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</si>
  <si>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</si>
  <si>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3666</t>
  </si>
  <si>
    <t>Laud, Catalina</t>
  </si>
  <si>
    <t xml:space="preserve">409 C-4 </t>
  </si>
  <si>
    <t>6 31 N. 124 39 E.</t>
  </si>
  <si>
    <t>Poblacion</t>
  </si>
  <si>
    <t>Norala</t>
  </si>
  <si>
    <t>South Cotabato</t>
  </si>
  <si>
    <t>Mindanao</t>
  </si>
  <si>
    <t>M.R. Malate</t>
  </si>
  <si>
    <t>July 2, 1970</t>
  </si>
  <si>
    <t>329.19</t>
  </si>
  <si>
    <t>BLLM 1</t>
  </si>
  <si>
    <t>3667</t>
  </si>
  <si>
    <t>Lagomo, Winston</t>
  </si>
  <si>
    <t>409 C-4</t>
  </si>
  <si>
    <t>331.12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</si>
</sst>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21" sqref="D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 t="s">
        <v>57</v>
      </c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58</v>
      </c>
      <c r="D8" s="11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110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110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110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110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110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110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110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11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67</v>
      </c>
      <c r="D19" s="110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2" t="s">
        <v>16</v>
      </c>
      <c r="B28" s="112"/>
      <c r="C28" s="33">
        <f>ABS(SUM(AO42:AO65536))</f>
        <v>658.38080000297714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6" t="s">
        <v>17</v>
      </c>
      <c r="B29" s="116"/>
      <c r="C29" s="32">
        <f>ABS(C28/2)</f>
        <v>329.19040000148857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6">
        <f>SQRT(AA40^2+AB40^2)</f>
        <v>7.7635583295918302E-4</v>
      </c>
      <c r="C32" s="11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0">
        <f>M40/B32</f>
        <v>95079.345614585356</v>
      </c>
      <c r="C33" s="120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6" t="str">
        <f>"1 : "&amp;TEXT(B35,"00")</f>
        <v>1 : 95000</v>
      </c>
      <c r="C34" s="11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19">
        <f>ROUND(B33,2-LEN(INT(B33)))</f>
        <v>95000</v>
      </c>
      <c r="C35" s="119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7" t="s">
        <v>9</v>
      </c>
      <c r="B38" s="88"/>
      <c r="C38" s="125" t="s">
        <v>7</v>
      </c>
      <c r="D38" s="125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6" t="s">
        <v>8</v>
      </c>
      <c r="N38" s="126"/>
      <c r="O38" s="126"/>
      <c r="P38" s="126"/>
      <c r="Q38" s="126"/>
      <c r="R38" s="126"/>
      <c r="S38" s="126"/>
      <c r="T38" s="126"/>
      <c r="U38" s="126"/>
      <c r="V38" s="127"/>
      <c r="W38" s="59"/>
      <c r="X38" s="59" t="s">
        <v>33</v>
      </c>
      <c r="Y38" s="59" t="s">
        <v>34</v>
      </c>
      <c r="Z38" s="80"/>
      <c r="AA38" s="117" t="s">
        <v>30</v>
      </c>
      <c r="AB38" s="117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5"/>
      <c r="AL38" s="65"/>
      <c r="AM38" s="113" t="s">
        <v>18</v>
      </c>
      <c r="AN38" s="114"/>
      <c r="AO38" s="115"/>
      <c r="AP38" s="121" t="s">
        <v>56</v>
      </c>
    </row>
    <row r="39" spans="1:44">
      <c r="A39" s="118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4"/>
      <c r="P39" s="114"/>
      <c r="Q39" s="115"/>
      <c r="R39" s="113" t="s">
        <v>24</v>
      </c>
      <c r="S39" s="114"/>
      <c r="T39" s="114"/>
      <c r="U39" s="115"/>
      <c r="V39" s="128"/>
      <c r="W39" s="59"/>
      <c r="X39" s="59"/>
      <c r="Y39" s="59"/>
      <c r="Z39" s="81"/>
      <c r="AA39" s="118"/>
      <c r="AB39" s="118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1"/>
    </row>
    <row r="40" spans="1:44" s="11" customFormat="1">
      <c r="A40" s="122" t="s">
        <v>25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51">
        <f>SUM(M42:M65536)</f>
        <v>73.81540456182546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-6.005776445838773E-4</v>
      </c>
      <c r="AB40" s="91">
        <f>SUM(AB42:AB65536)</f>
        <v>4.9197039768245077E-4</v>
      </c>
      <c r="AC40" s="91"/>
      <c r="AD40" s="91">
        <f>SUM(AD42:AD65536)</f>
        <v>-6.005776445838773E-4</v>
      </c>
      <c r="AE40" s="91">
        <f>SUM(AE42:AE65536)</f>
        <v>4.9197039768245087E-4</v>
      </c>
      <c r="AF40" s="91">
        <f>SUM(AF42:AF65536)</f>
        <v>-6.8001160258290838E-16</v>
      </c>
      <c r="AG40" s="91">
        <f>SUM(AG42:AG65536)</f>
        <v>0</v>
      </c>
      <c r="AH40" s="92"/>
      <c r="AI40" s="93">
        <v>1</v>
      </c>
      <c r="AJ40" s="92">
        <f>AJ44+AF44</f>
        <v>720820.23324384179</v>
      </c>
      <c r="AK40" s="92">
        <f>AK44+AG44</f>
        <v>461605.56887616025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408.55999999993946</v>
      </c>
      <c r="G41" s="72">
        <f>IF(D42=0,D41-$D$41,D41-D42)</f>
        <v>822.27999999996973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918.18607700177029</v>
      </c>
      <c r="N41" s="36">
        <f>IF(F41=0,,ATAN(G41/F41))</f>
        <v>1.1096619606322571</v>
      </c>
      <c r="O41" s="36">
        <f>ABS(DEGREES(N41))</f>
        <v>63.578947030440439</v>
      </c>
      <c r="P41" s="37" t="str">
        <f>TEXT(INT(O41),"00")</f>
        <v>63</v>
      </c>
      <c r="Q41" s="38" t="str">
        <f>TEXT((O41-P41)*60,"00")</f>
        <v>35</v>
      </c>
      <c r="R41" s="39" t="str">
        <f>IF(L41="",IF(F41&gt;0,"S","N"),"")</f>
        <v>S</v>
      </c>
      <c r="S41" s="25" t="str">
        <f>IF(L41="",IF(INT(Q41)=60,INT(P41+1),P41),"due")</f>
        <v>63</v>
      </c>
      <c r="T41" s="38" t="str">
        <f>IF(L41="",IF(INT(Q41)=60,"00",Q41),L41)</f>
        <v>35</v>
      </c>
      <c r="U41" s="40" t="str">
        <f>IF(L41="",IF(G41&gt;0,"W","E"),"")</f>
        <v>W</v>
      </c>
      <c r="V41" s="41"/>
      <c r="W41" s="22">
        <f>IF(S41="due",90*(I41+K41),S41+T41/60)</f>
        <v>63.583333333333336</v>
      </c>
      <c r="X41" s="22">
        <f>IF(R41="",W41,IF(R41="N",IF(U41="E",180+W41,180-W41),IF(U41="E",360-W41,W41)))</f>
        <v>63.583333333333336</v>
      </c>
      <c r="Y41" s="22">
        <f>RADIANS(X41)</f>
        <v>1.109738516059728</v>
      </c>
      <c r="Z41" s="64"/>
      <c r="AA41" s="58">
        <f>-M41*COS(Y41)</f>
        <v>-408.49704880586955</v>
      </c>
      <c r="AB41" s="58">
        <f>-M41*SIN(Y41)</f>
        <v>-822.31127507580482</v>
      </c>
      <c r="AC41" s="64"/>
      <c r="AD41" s="22">
        <v>0</v>
      </c>
      <c r="AE41" s="22">
        <v>0</v>
      </c>
      <c r="AF41" s="22">
        <f t="shared" ref="AF41:AG43" si="0">AA41-AD41</f>
        <v>-408.49704880586955</v>
      </c>
      <c r="AG41" s="22">
        <f t="shared" si="0"/>
        <v>-822.31127507580482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720820.06</v>
      </c>
      <c r="D42" s="60">
        <v>461627.94</v>
      </c>
      <c r="E42" s="79"/>
      <c r="F42" s="72">
        <f>IF(C43=0,C42-$C$42,C42-C43)</f>
        <v>15.060000000055879</v>
      </c>
      <c r="G42" s="72">
        <f>IF(D43=0,D42-$D$42,D42-D43)</f>
        <v>0.29999999998835847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15.062987751494592</v>
      </c>
      <c r="N42" s="36">
        <f>IF(F42=0,,ATAN(G42/F42))</f>
        <v>1.9917684430457244E-2</v>
      </c>
      <c r="O42" s="36">
        <f>ABS(DEGREES(N42))</f>
        <v>1.141199255538631</v>
      </c>
      <c r="P42" s="37" t="str">
        <f>TEXT(INT(O42),"00")</f>
        <v>01</v>
      </c>
      <c r="Q42" s="38" t="str">
        <f>TEXT((O42-P42)*60,"00")</f>
        <v>08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08</v>
      </c>
      <c r="U42" s="40" t="str">
        <f>IF(L42="",IF(G42&gt;0,"W","E"),"")</f>
        <v>W</v>
      </c>
      <c r="V42" s="44"/>
      <c r="W42" s="22">
        <f>IF(S42="due",90*(I42+K42),S42+T42/60)</f>
        <v>1.1333333333333333</v>
      </c>
      <c r="X42" s="22">
        <f>IF(R42="",W42,IF(R42="N",IF(U42="E",180+W42,180-W42),IF(U42="E",360-W42,W42)))</f>
        <v>1.1333333333333333</v>
      </c>
      <c r="Y42" s="22">
        <f>RADIANS(X42)</f>
        <v>1.9780398189269067E-2</v>
      </c>
      <c r="Z42" s="64"/>
      <c r="AA42" s="58">
        <f>-M42*COS(Y42)</f>
        <v>-15.06004104400634</v>
      </c>
      <c r="AB42" s="58">
        <f>-M42*SIN(Y42)</f>
        <v>-0.2979324663754247</v>
      </c>
      <c r="AC42" s="64"/>
      <c r="AD42" s="82">
        <f>$AA$40/$M$40*M42</f>
        <v>-1.2255563398844962E-4</v>
      </c>
      <c r="AE42" s="82">
        <f>$AB$40/$M$40*M42</f>
        <v>1.0039292094080228E-4</v>
      </c>
      <c r="AF42" s="22">
        <f t="shared" si="0"/>
        <v>-15.059918488372352</v>
      </c>
      <c r="AG42" s="22">
        <f t="shared" si="0"/>
        <v>-0.29803285929636553</v>
      </c>
      <c r="AH42" s="63"/>
      <c r="AI42" s="38">
        <f>A42</f>
        <v>1</v>
      </c>
      <c r="AJ42" s="82">
        <f t="shared" ref="AJ42:AK44" si="1">AJ41+AF41</f>
        <v>720820.12295119418</v>
      </c>
      <c r="AK42" s="82">
        <f t="shared" si="1"/>
        <v>461627.90872492414</v>
      </c>
      <c r="AL42" s="66"/>
      <c r="AM42" s="9" t="str">
        <f>IF(A43=0,A42&amp;" - 1",A42&amp;" - "&amp;A43)</f>
        <v>1 - 2</v>
      </c>
      <c r="AN42" s="18">
        <f>F42</f>
        <v>15.060000000055879</v>
      </c>
      <c r="AO42" s="18">
        <f>AN42*G42</f>
        <v>4.5179999998414422</v>
      </c>
      <c r="AP42" s="9" t="str">
        <f>D42&amp;","&amp;C42</f>
        <v>461627.94,720820.06</v>
      </c>
    </row>
    <row r="43" spans="1:44">
      <c r="A43" s="20">
        <f>A42+1</f>
        <v>2</v>
      </c>
      <c r="B43" s="44"/>
      <c r="C43" s="60">
        <v>720805</v>
      </c>
      <c r="D43" s="60">
        <v>461627.64</v>
      </c>
      <c r="E43" s="79"/>
      <c r="F43" s="72">
        <f>IF(C44=0,C43-$C$42,C43-C44)</f>
        <v>0</v>
      </c>
      <c r="G43" s="72">
        <f>IF(D44=0,D43-$D$42,D43-D44)</f>
        <v>21.220000000030268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>West</v>
      </c>
      <c r="K43" s="75">
        <f>IF(J43="West",1,IF(J43="",0,3))</f>
        <v>1</v>
      </c>
      <c r="L43" s="75" t="str">
        <f>H43&amp;J43</f>
        <v>West</v>
      </c>
      <c r="M43" s="36">
        <f>SQRT(F43^2+G43^2)</f>
        <v>21.220000000030268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West</v>
      </c>
      <c r="U43" s="40" t="str">
        <f>IF(L43="",IF(G43&gt;0,"W","E"),"")</f>
        <v/>
      </c>
      <c r="V43" s="44"/>
      <c r="W43" s="22">
        <f>IF(S43="due",90*(I43+K43),S43+T43/60)</f>
        <v>90</v>
      </c>
      <c r="X43" s="22">
        <f>IF(R43="",W43,IF(R43="N",IF(U43="E",180+W43,180-W43),IF(U43="E",360-W43,W43)))</f>
        <v>90</v>
      </c>
      <c r="Y43" s="22">
        <f>RADIANS(X43)</f>
        <v>1.5707963267948966</v>
      </c>
      <c r="Z43" s="64"/>
      <c r="AA43" s="58">
        <f>-M43*COS(Y43)</f>
        <v>-1.2998825106599E-15</v>
      </c>
      <c r="AB43" s="58">
        <f>-M43*SIN(Y43)</f>
        <v>-21.220000000030268</v>
      </c>
      <c r="AC43" s="64"/>
      <c r="AD43" s="82">
        <f>$AA$40/$M$40*M43</f>
        <v>-1.726503796021854E-4</v>
      </c>
      <c r="AE43" s="82">
        <f>$AB$40/$M$40*M43</f>
        <v>1.4142863404741765E-4</v>
      </c>
      <c r="AF43" s="22">
        <f t="shared" si="0"/>
        <v>1.7265037960088552E-4</v>
      </c>
      <c r="AG43" s="22">
        <f t="shared" si="0"/>
        <v>-21.220141428664316</v>
      </c>
      <c r="AH43" s="64"/>
      <c r="AI43" s="25">
        <f>A43</f>
        <v>2</v>
      </c>
      <c r="AJ43" s="82">
        <f t="shared" si="1"/>
        <v>720805.0630327058</v>
      </c>
      <c r="AK43" s="82">
        <f t="shared" si="1"/>
        <v>461627.61069206486</v>
      </c>
      <c r="AL43" s="66"/>
      <c r="AM43" s="9" t="str">
        <f>IF(A44=0,A43&amp;" - 1",A43&amp;" - "&amp;A44)</f>
        <v>2 - 3</v>
      </c>
      <c r="AN43" s="18">
        <f>AN42+F42+F43</f>
        <v>30.120000000111759</v>
      </c>
      <c r="AO43" s="18">
        <f>AN43*G43</f>
        <v>639.14640000328325</v>
      </c>
      <c r="AP43" s="9" t="str">
        <f>D43&amp;","&amp;C43</f>
        <v>461627.64,720805</v>
      </c>
    </row>
    <row r="44" spans="1:44" s="46" customFormat="1">
      <c r="A44" s="20">
        <f>A43+1</f>
        <v>3</v>
      </c>
      <c r="B44" s="44"/>
      <c r="C44" s="60">
        <v>720805</v>
      </c>
      <c r="D44" s="60">
        <v>461606.42</v>
      </c>
      <c r="E44" s="79"/>
      <c r="F44" s="72">
        <f>IF(C45=0,C44-$C$42,C44-C45)</f>
        <v>-15.17000000004191</v>
      </c>
      <c r="G44" s="72">
        <f>IF(D45=0,D44-$D$42,D44-D45)</f>
        <v>0.82000000000698492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15.192145997234327</v>
      </c>
      <c r="N44" s="22">
        <f>IF(F44=0,,ATAN(G44/F44))</f>
        <v>-5.4001500376278495E-2</v>
      </c>
      <c r="O44" s="22">
        <f>ABS(DEGREES(N44))</f>
        <v>3.0940580589348849</v>
      </c>
      <c r="P44" s="24" t="str">
        <f>TEXT(INT(O44),"00")</f>
        <v>03</v>
      </c>
      <c r="Q44" s="25" t="str">
        <f>TEXT((O44-P44)*60,"00")</f>
        <v>06</v>
      </c>
      <c r="R44" s="23" t="str">
        <f>IF(L44="",IF(F44&gt;0,"S","N"),"")</f>
        <v>N</v>
      </c>
      <c r="S44" s="25" t="str">
        <f>IF(L44="",IF(INT(Q44)=60,INT(P44+1),P44),"due")</f>
        <v>03</v>
      </c>
      <c r="T44" s="25" t="str">
        <f>IF(L44="",IF(INT(Q44)=60,"00",Q44),L44)</f>
        <v>06</v>
      </c>
      <c r="U44" s="24" t="str">
        <f>IF(L44="",IF(G44&gt;0,"W","E"),"")</f>
        <v>W</v>
      </c>
      <c r="V44" s="44"/>
      <c r="W44" s="22">
        <f>IF(S44="due",90*(I44+K44),S44+T44/60)</f>
        <v>3.1</v>
      </c>
      <c r="X44" s="22">
        <f>IF(R44="",W44,IF(R44="N",IF(U44="E",180+W44,180-W44),IF(U44="E",360-W44,W44)))</f>
        <v>176.9</v>
      </c>
      <c r="Y44" s="22">
        <f>RADIANS(X44)</f>
        <v>3.0874874467779692</v>
      </c>
      <c r="Z44" s="64"/>
      <c r="AA44" s="58">
        <f>-M44*COS(Y44)</f>
        <v>15.169914879188051</v>
      </c>
      <c r="AB44" s="58">
        <f>-M44*SIN(Y44)</f>
        <v>-0.8215732222218356</v>
      </c>
      <c r="AC44" s="64"/>
      <c r="AD44" s="82">
        <f>$AA$40/$M$40*M44</f>
        <v>-1.2360649261972605E-4</v>
      </c>
      <c r="AE44" s="82">
        <f>$AB$40/$M$40*M44</f>
        <v>1.0125374442199481E-4</v>
      </c>
      <c r="AF44" s="22">
        <f>AA44-AD44</f>
        <v>15.170038485680671</v>
      </c>
      <c r="AG44" s="22">
        <f>AB44-AE44</f>
        <v>-0.82167447596625764</v>
      </c>
      <c r="AH44" s="64"/>
      <c r="AI44" s="25">
        <f>A44</f>
        <v>3</v>
      </c>
      <c r="AJ44" s="82">
        <f t="shared" si="1"/>
        <v>720805.06320535613</v>
      </c>
      <c r="AK44" s="82">
        <f t="shared" si="1"/>
        <v>461606.39055063622</v>
      </c>
      <c r="AL44" s="66"/>
      <c r="AM44" s="9" t="str">
        <f>IF(A45=0,A44&amp;" - 1",A44&amp;" - "&amp;A45)</f>
        <v>3 - 4</v>
      </c>
      <c r="AN44" s="18">
        <f>AN43+F43+F44</f>
        <v>14.950000000069849</v>
      </c>
      <c r="AO44" s="18">
        <f>AN44*G44</f>
        <v>12.2590000001617</v>
      </c>
      <c r="AP44" s="9" t="str">
        <f>D44&amp;","&amp;C44</f>
        <v>461606.42,720805</v>
      </c>
    </row>
    <row r="45" spans="1:44" s="46" customFormat="1">
      <c r="A45" s="20">
        <f>A44+1</f>
        <v>4</v>
      </c>
      <c r="B45" s="44"/>
      <c r="C45" s="60">
        <v>720820.17</v>
      </c>
      <c r="D45" s="60">
        <v>461605.6</v>
      </c>
      <c r="E45" s="79"/>
      <c r="F45" s="72">
        <f>IF(C46=0,C45-$C$42,C45-C46)</f>
        <v>0.10999999998603016</v>
      </c>
      <c r="G45" s="72">
        <f>IF(D46=0,D45-$D$42,D45-D46)</f>
        <v>-22.340000000025611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22.340270813066283</v>
      </c>
      <c r="N45" s="22">
        <f>IF(F45=0,,ATAN(G45/F45))</f>
        <v>-1.5658724632755607</v>
      </c>
      <c r="O45" s="22">
        <f>ABS(DEGREES(N45))</f>
        <v>89.717883401443629</v>
      </c>
      <c r="P45" s="24" t="str">
        <f>TEXT(INT(O45),"00")</f>
        <v>89</v>
      </c>
      <c r="Q45" s="25" t="str">
        <f>TEXT((O45-P45)*60,"00")</f>
        <v>43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43</v>
      </c>
      <c r="U45" s="24" t="str">
        <f>IF(L45="",IF(G45&gt;0,"W","E"),"")</f>
        <v>E</v>
      </c>
      <c r="V45" s="44"/>
      <c r="W45" s="22">
        <f>IF(S45="due",90*(I45+K45),S45+T45/60)</f>
        <v>89.716666666666669</v>
      </c>
      <c r="X45" s="22">
        <f>IF(R45="",W45,IF(R45="N",IF(U45="E",180+W45,180-W45),IF(U45="E",360-W45,W45)))</f>
        <v>270.2833333333333</v>
      </c>
      <c r="Y45" s="22">
        <f>RADIANS(X45)</f>
        <v>4.7173340799320069</v>
      </c>
      <c r="Z45" s="64"/>
      <c r="AA45" s="58">
        <f>-M45*COS(Y45)</f>
        <v>-0.11047441282629289</v>
      </c>
      <c r="AB45" s="58">
        <f>-M45*SIN(Y45)</f>
        <v>22.339997659025212</v>
      </c>
      <c r="AC45" s="64"/>
      <c r="AD45" s="82">
        <f>$AA$40/$M$40*M45</f>
        <v>-1.8176513837351628E-4</v>
      </c>
      <c r="AE45" s="82">
        <f>$AB$40/$M$40*M45</f>
        <v>1.488950982722361E-4</v>
      </c>
      <c r="AF45" s="22">
        <f>AA45-AD45</f>
        <v>-0.11029264768791937</v>
      </c>
      <c r="AG45" s="22">
        <f>AB45-AE45</f>
        <v>22.339848763926938</v>
      </c>
      <c r="AH45" s="64"/>
      <c r="AI45" s="25">
        <f>A45</f>
        <v>4</v>
      </c>
      <c r="AJ45" s="82">
        <f t="shared" ref="AJ45" si="2">AJ44+AF44</f>
        <v>720820.23324384179</v>
      </c>
      <c r="AK45" s="82">
        <f t="shared" ref="AK45" si="3">AK44+AG44</f>
        <v>461605.56887616025</v>
      </c>
      <c r="AL45" s="66"/>
      <c r="AM45" s="9" t="str">
        <f>IF(A46=0,A45&amp;" - 1",A45&amp;" - "&amp;A46)</f>
        <v>4 - 1</v>
      </c>
      <c r="AN45" s="18">
        <f>AN44+F44+F45</f>
        <v>-0.10999999998603016</v>
      </c>
      <c r="AO45" s="18">
        <f>AN45*G45</f>
        <v>2.4573999996907312</v>
      </c>
      <c r="AP45" s="9" t="str">
        <f>D45&amp;","&amp;C45</f>
        <v>461605.6,720820.17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/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85"/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85"/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85"/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85"/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85"/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85"/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85"/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85"/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85"/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85"/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0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 t="e">
        <f>M40/B32</f>
        <v>#DIV/0!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e">
        <f>"1 : "&amp;TEXT(B35,"00")</f>
        <v>#DIV/0!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 t="e">
        <f>ROUND(B33,2-LEN(INT(B33)))</f>
        <v>#DIV/0!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abSelected="1"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 t="s">
        <v>69</v>
      </c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70</v>
      </c>
      <c r="D8" s="11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71</v>
      </c>
      <c r="D9" s="110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110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110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110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110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110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110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11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72</v>
      </c>
      <c r="D19" s="110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2" t="s">
        <v>16</v>
      </c>
      <c r="B28" s="112"/>
      <c r="C28" s="33">
        <f>ABS(SUM(AO42:AO65536))</f>
        <v>662.23319999931971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6" t="s">
        <v>17</v>
      </c>
      <c r="B29" s="116"/>
      <c r="C29" s="32">
        <f>ABS(C28/2)</f>
        <v>331.11659999965985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6">
        <f>SQRT(AA40^2+AB40^2)</f>
        <v>3.0876130344680199E-3</v>
      </c>
      <c r="C32" s="11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0">
        <f>M40/B32</f>
        <v>24061.886739556809</v>
      </c>
      <c r="C33" s="120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6" t="str">
        <f>"1 : "&amp;TEXT(B35,"00")</f>
        <v>1 : 24000</v>
      </c>
      <c r="C34" s="11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19">
        <f>ROUND(B33,2-LEN(INT(B33)))</f>
        <v>24000</v>
      </c>
      <c r="C35" s="119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7" t="s">
        <v>9</v>
      </c>
      <c r="B38" s="88"/>
      <c r="C38" s="125" t="s">
        <v>7</v>
      </c>
      <c r="D38" s="125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6" t="s">
        <v>8</v>
      </c>
      <c r="N38" s="126"/>
      <c r="O38" s="126"/>
      <c r="P38" s="126"/>
      <c r="Q38" s="126"/>
      <c r="R38" s="126"/>
      <c r="S38" s="126"/>
      <c r="T38" s="126"/>
      <c r="U38" s="126"/>
      <c r="V38" s="127"/>
      <c r="W38" s="59"/>
      <c r="X38" s="59" t="s">
        <v>33</v>
      </c>
      <c r="Y38" s="59" t="s">
        <v>34</v>
      </c>
      <c r="Z38" s="80"/>
      <c r="AA38" s="117" t="s">
        <v>30</v>
      </c>
      <c r="AB38" s="117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5"/>
      <c r="AL38" s="65"/>
      <c r="AM38" s="113" t="s">
        <v>18</v>
      </c>
      <c r="AN38" s="114"/>
      <c r="AO38" s="115"/>
      <c r="AP38" s="121" t="s">
        <v>56</v>
      </c>
    </row>
    <row r="39" spans="1:44">
      <c r="A39" s="118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4"/>
      <c r="P39" s="114"/>
      <c r="Q39" s="115"/>
      <c r="R39" s="113" t="s">
        <v>24</v>
      </c>
      <c r="S39" s="114"/>
      <c r="T39" s="114"/>
      <c r="U39" s="115"/>
      <c r="V39" s="128"/>
      <c r="W39" s="59"/>
      <c r="X39" s="59"/>
      <c r="Y39" s="59"/>
      <c r="Z39" s="81"/>
      <c r="AA39" s="118"/>
      <c r="AB39" s="118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1"/>
    </row>
    <row r="40" spans="1:44" s="11" customFormat="1">
      <c r="A40" s="122" t="s">
        <v>25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51">
        <f>SUM(M42:M65536)</f>
        <v>74.293795130948808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2.4854350867702379E-3</v>
      </c>
      <c r="AB40" s="91">
        <f>SUM(AB42:AB65536)</f>
        <v>1.8319297694148196E-3</v>
      </c>
      <c r="AC40" s="91"/>
      <c r="AD40" s="91">
        <f>SUM(AD42:AD65536)</f>
        <v>2.4854350867702375E-3</v>
      </c>
      <c r="AE40" s="91">
        <f>SUM(AE42:AE65536)</f>
        <v>1.8319297694148196E-3</v>
      </c>
      <c r="AF40" s="91">
        <f>SUM(AF42:AF65536)</f>
        <v>0</v>
      </c>
      <c r="AG40" s="91">
        <f>SUM(AG42:AG65536)</f>
        <v>2.55351295663786E-15</v>
      </c>
      <c r="AH40" s="92"/>
      <c r="AI40" s="93">
        <v>1</v>
      </c>
      <c r="AJ40" s="92">
        <f>AJ44+AF44</f>
        <v>720835.04350917914</v>
      </c>
      <c r="AK40" s="92">
        <f>AK44+AG44</f>
        <v>461628.67796505179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408.55999999993946</v>
      </c>
      <c r="G41" s="72">
        <f>IF(D42=0,D41-$D$41,D41-D42)</f>
        <v>822.27999999996973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918.18607700177029</v>
      </c>
      <c r="N41" s="36">
        <f>IF(F41=0,,ATAN(G41/F41))</f>
        <v>1.1096619606322571</v>
      </c>
      <c r="O41" s="36">
        <f>ABS(DEGREES(N41))</f>
        <v>63.578947030440439</v>
      </c>
      <c r="P41" s="37" t="str">
        <f>TEXT(INT(O41),"00")</f>
        <v>63</v>
      </c>
      <c r="Q41" s="38" t="str">
        <f>TEXT((O41-P41)*60,"00")</f>
        <v>35</v>
      </c>
      <c r="R41" s="39" t="str">
        <f>IF(L41="",IF(F41&gt;0,"S","N"),"")</f>
        <v>S</v>
      </c>
      <c r="S41" s="25" t="str">
        <f>IF(L41="",IF(INT(Q41)=60,INT(P41+1),P41),"due")</f>
        <v>63</v>
      </c>
      <c r="T41" s="38" t="str">
        <f>IF(L41="",IF(INT(Q41)=60,"00",Q41),L41)</f>
        <v>35</v>
      </c>
      <c r="U41" s="40" t="str">
        <f>IF(L41="",IF(G41&gt;0,"W","E"),"")</f>
        <v>W</v>
      </c>
      <c r="V41" s="41"/>
      <c r="W41" s="22">
        <f>IF(S41="due",90*(I41+K41),S41+T41/60)</f>
        <v>63.583333333333336</v>
      </c>
      <c r="X41" s="22">
        <f>IF(R41="",W41,IF(R41="N",IF(U41="E",180+W41,180-W41),IF(U41="E",360-W41,W41)))</f>
        <v>63.583333333333336</v>
      </c>
      <c r="Y41" s="22">
        <f>RADIANS(X41)</f>
        <v>1.109738516059728</v>
      </c>
      <c r="Z41" s="64"/>
      <c r="AA41" s="58">
        <f>-M41*COS(Y41)</f>
        <v>-408.49704880586955</v>
      </c>
      <c r="AB41" s="58">
        <f>-M41*SIN(Y41)</f>
        <v>-822.31127507580482</v>
      </c>
      <c r="AC41" s="64"/>
      <c r="AD41" s="22">
        <v>0</v>
      </c>
      <c r="AE41" s="22">
        <v>0</v>
      </c>
      <c r="AF41" s="22">
        <f t="shared" ref="AF41:AG43" si="0">AA41-AD41</f>
        <v>-408.49704880586955</v>
      </c>
      <c r="AG41" s="22">
        <f t="shared" si="0"/>
        <v>-822.31127507580482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720820.06</v>
      </c>
      <c r="D42" s="60">
        <v>461627.94</v>
      </c>
      <c r="E42" s="79"/>
      <c r="F42" s="72">
        <f>IF(C43=0,C42-$C$42,C42-C43)</f>
        <v>-0.10999999998603016</v>
      </c>
      <c r="G42" s="72">
        <f>IF(D43=0,D42-$D$42,D42-D43)</f>
        <v>22.340000000025611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22.340270813066283</v>
      </c>
      <c r="N42" s="36">
        <f>IF(F42=0,,ATAN(G42/F42))</f>
        <v>-1.5658724632755607</v>
      </c>
      <c r="O42" s="36">
        <f>ABS(DEGREES(N42))</f>
        <v>89.717883401443629</v>
      </c>
      <c r="P42" s="37" t="str">
        <f>TEXT(INT(O42),"00")</f>
        <v>89</v>
      </c>
      <c r="Q42" s="38" t="str">
        <f>TEXT((O42-P42)*60,"00")</f>
        <v>43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43</v>
      </c>
      <c r="U42" s="40" t="str">
        <f>IF(L42="",IF(G42&gt;0,"W","E"),"")</f>
        <v>W</v>
      </c>
      <c r="V42" s="44"/>
      <c r="W42" s="22">
        <f>IF(S42="due",90*(I42+K42),S42+T42/60)</f>
        <v>89.716666666666669</v>
      </c>
      <c r="X42" s="22">
        <f>IF(R42="",W42,IF(R42="N",IF(U42="E",180+W42,180-W42),IF(U42="E",360-W42,W42)))</f>
        <v>90.283333333333331</v>
      </c>
      <c r="Y42" s="22">
        <f>RADIANS(X42)</f>
        <v>1.5757414263422138</v>
      </c>
      <c r="Z42" s="64"/>
      <c r="AA42" s="58">
        <f>-M42*COS(Y42)</f>
        <v>0.11047441282629562</v>
      </c>
      <c r="AB42" s="58">
        <f>-M42*SIN(Y42)</f>
        <v>-22.339997659025212</v>
      </c>
      <c r="AC42" s="64"/>
      <c r="AD42" s="82">
        <f>$AA$40/$M$40*M42</f>
        <v>7.4737456646111833E-4</v>
      </c>
      <c r="AE42" s="82">
        <f>$AB$40/$M$40*M42</f>
        <v>5.5086440377840576E-4</v>
      </c>
      <c r="AF42" s="22">
        <f t="shared" si="0"/>
        <v>0.1097270382598345</v>
      </c>
      <c r="AG42" s="22">
        <f t="shared" si="0"/>
        <v>-22.340548523428989</v>
      </c>
      <c r="AH42" s="63"/>
      <c r="AI42" s="38">
        <f>A42</f>
        <v>1</v>
      </c>
      <c r="AJ42" s="82">
        <f t="shared" ref="AJ42:AK44" si="1">AJ41+AF41</f>
        <v>720820.12295119418</v>
      </c>
      <c r="AK42" s="82">
        <f t="shared" si="1"/>
        <v>461627.90872492414</v>
      </c>
      <c r="AL42" s="66"/>
      <c r="AM42" s="9" t="str">
        <f>IF(A43=0,A42&amp;" - 1",A42&amp;" - "&amp;A43)</f>
        <v>1 - 2</v>
      </c>
      <c r="AN42" s="18">
        <f>F42</f>
        <v>-0.10999999998603016</v>
      </c>
      <c r="AO42" s="18">
        <f>AN42*G42</f>
        <v>-2.4573999996907312</v>
      </c>
      <c r="AP42" s="9" t="str">
        <f>D42&amp;","&amp;C42</f>
        <v>461627.94,720820.06</v>
      </c>
    </row>
    <row r="43" spans="1:44">
      <c r="A43" s="20">
        <f>A42+1</f>
        <v>2</v>
      </c>
      <c r="B43" s="44"/>
      <c r="C43" s="60">
        <v>720820.17</v>
      </c>
      <c r="D43" s="60">
        <v>461605.6</v>
      </c>
      <c r="E43" s="79"/>
      <c r="F43" s="72">
        <f>IF(C44=0,C43-$C$42,C43-C44)</f>
        <v>-14.869999999995343</v>
      </c>
      <c r="G43" s="72">
        <f>IF(D44=0,D43-$D$42,D43-D44)</f>
        <v>-1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14.90358681659759</v>
      </c>
      <c r="N43" s="36">
        <f>IF(F43=0,,ATAN(G43/F43))</f>
        <v>6.7148391338492514E-2</v>
      </c>
      <c r="O43" s="36">
        <f>ABS(DEGREES(N43))</f>
        <v>3.8473194247884339</v>
      </c>
      <c r="P43" s="37" t="str">
        <f>TEXT(INT(O43),"00")</f>
        <v>03</v>
      </c>
      <c r="Q43" s="38" t="str">
        <f>TEXT((O43-P43)*60,"00")</f>
        <v>51</v>
      </c>
      <c r="R43" s="39" t="str">
        <f>IF(L43="",IF(F43&gt;0,"S","N"),"")</f>
        <v>N</v>
      </c>
      <c r="S43" s="25" t="str">
        <f>IF(L43="",IF(INT(Q43)=60,INT(P43+1),P43),"due")</f>
        <v>03</v>
      </c>
      <c r="T43" s="38" t="str">
        <f>IF(L43="",IF(INT(Q43)=60,"00",Q43),L43)</f>
        <v>51</v>
      </c>
      <c r="U43" s="40" t="str">
        <f>IF(L43="",IF(G43&gt;0,"W","E"),"")</f>
        <v>E</v>
      </c>
      <c r="V43" s="44"/>
      <c r="W43" s="22">
        <f>IF(S43="due",90*(I43+K43),S43+T43/60)</f>
        <v>3.85</v>
      </c>
      <c r="X43" s="22">
        <f>IF(R43="",W43,IF(R43="N",IF(U43="E",180+W43,180-W43),IF(U43="E",360-W43,W43)))</f>
        <v>183.85</v>
      </c>
      <c r="Y43" s="22">
        <f>RADIANS(X43)</f>
        <v>3.2087878297915746</v>
      </c>
      <c r="Z43" s="64"/>
      <c r="AA43" s="58">
        <f>-M43*COS(Y43)</f>
        <v>14.869953198858168</v>
      </c>
      <c r="AB43" s="58">
        <f>-M43*SIN(Y43)</f>
        <v>1.0006956898224399</v>
      </c>
      <c r="AC43" s="64"/>
      <c r="AD43" s="82">
        <f>$AA$40/$M$40*M43</f>
        <v>4.9858669256845297E-4</v>
      </c>
      <c r="AE43" s="82">
        <f>$AB$40/$M$40*M43</f>
        <v>3.6749131353783741E-4</v>
      </c>
      <c r="AF43" s="22">
        <f t="shared" si="0"/>
        <v>14.869454612165599</v>
      </c>
      <c r="AG43" s="22">
        <f t="shared" si="0"/>
        <v>1.0003281985089021</v>
      </c>
      <c r="AH43" s="64"/>
      <c r="AI43" s="25">
        <f>A43</f>
        <v>2</v>
      </c>
      <c r="AJ43" s="82">
        <f t="shared" si="1"/>
        <v>720820.23267823248</v>
      </c>
      <c r="AK43" s="82">
        <f t="shared" si="1"/>
        <v>461605.56817640073</v>
      </c>
      <c r="AL43" s="66"/>
      <c r="AM43" s="9" t="str">
        <f>IF(A44=0,A43&amp;" - 1",A43&amp;" - "&amp;A44)</f>
        <v>2 - 3</v>
      </c>
      <c r="AN43" s="18">
        <f>AN42+F42+F43</f>
        <v>-15.089999999967404</v>
      </c>
      <c r="AO43" s="18">
        <f>AN43*G43</f>
        <v>15.089999999967404</v>
      </c>
      <c r="AP43" s="9" t="str">
        <f>D43&amp;","&amp;C43</f>
        <v>461605.6,720820.17</v>
      </c>
    </row>
    <row r="44" spans="1:44" s="46" customFormat="1">
      <c r="A44" s="20">
        <f>A43+1</f>
        <v>3</v>
      </c>
      <c r="B44" s="44"/>
      <c r="C44" s="60">
        <v>720835.04</v>
      </c>
      <c r="D44" s="60">
        <v>461606.6</v>
      </c>
      <c r="E44" s="79"/>
      <c r="F44" s="72">
        <f>IF(C45=0,C44-$C$42,C44-C45)</f>
        <v>6.0000000055879354E-2</v>
      </c>
      <c r="G44" s="72">
        <f>IF(D45=0,D44-$D$42,D44-D45)</f>
        <v>-22.110000000044238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22.110081411020698</v>
      </c>
      <c r="N44" s="22">
        <f>IF(F44=0,,ATAN(G44/F44))</f>
        <v>-1.5680826292475154</v>
      </c>
      <c r="O44" s="22">
        <f>ABS(DEGREES(N44))</f>
        <v>89.844516583660052</v>
      </c>
      <c r="P44" s="24" t="str">
        <f>TEXT(INT(O44),"00")</f>
        <v>89</v>
      </c>
      <c r="Q44" s="25" t="str">
        <f>TEXT((O44-P44)*60,"00")</f>
        <v>51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51</v>
      </c>
      <c r="U44" s="24" t="str">
        <f>IF(L44="",IF(G44&gt;0,"W","E"),"")</f>
        <v>E</v>
      </c>
      <c r="V44" s="44"/>
      <c r="W44" s="22">
        <f>IF(S44="due",90*(I44+K44),S44+T44/60)</f>
        <v>89.85</v>
      </c>
      <c r="X44" s="22">
        <f>IF(R44="",W44,IF(R44="N",IF(U44="E",180+W44,180-W44),IF(U44="E",360-W44,W44)))</f>
        <v>270.14999999999998</v>
      </c>
      <c r="Y44" s="22">
        <f>RADIANS(X44)</f>
        <v>4.715006974262681</v>
      </c>
      <c r="Z44" s="64"/>
      <c r="AA44" s="58">
        <f>-M44*COS(Y44)</f>
        <v>-5.7883991654114494E-2</v>
      </c>
      <c r="AB44" s="58">
        <f>-M44*SIN(Y44)</f>
        <v>22.110005641009529</v>
      </c>
      <c r="AC44" s="64"/>
      <c r="AD44" s="82">
        <f>$AA$40/$M$40*M44</f>
        <v>7.3967377778235517E-4</v>
      </c>
      <c r="AE44" s="82">
        <f>$AB$40/$M$40*M44</f>
        <v>5.4518841404779849E-4</v>
      </c>
      <c r="AF44" s="22">
        <f>AA44-AD44</f>
        <v>-5.862366543189685E-2</v>
      </c>
      <c r="AG44" s="22">
        <f>AB44-AE44</f>
        <v>22.109460452595481</v>
      </c>
      <c r="AH44" s="64"/>
      <c r="AI44" s="25">
        <f>A44</f>
        <v>3</v>
      </c>
      <c r="AJ44" s="82">
        <f t="shared" si="1"/>
        <v>720835.10213284462</v>
      </c>
      <c r="AK44" s="82">
        <f t="shared" si="1"/>
        <v>461606.56850459921</v>
      </c>
      <c r="AL44" s="66"/>
      <c r="AM44" s="9" t="str">
        <f>IF(A45=0,A44&amp;" - 1",A44&amp;" - "&amp;A45)</f>
        <v>3 - 4</v>
      </c>
      <c r="AN44" s="18">
        <f>AN43+F43+F44</f>
        <v>-29.899999999906868</v>
      </c>
      <c r="AO44" s="18">
        <f>AN44*G44</f>
        <v>661.08899999926359</v>
      </c>
      <c r="AP44" s="9" t="str">
        <f>D44&amp;","&amp;C44</f>
        <v>461606.6,720835.04</v>
      </c>
    </row>
    <row r="45" spans="1:44" s="46" customFormat="1">
      <c r="A45" s="20">
        <f>A44+1</f>
        <v>4</v>
      </c>
      <c r="B45" s="44"/>
      <c r="C45" s="60">
        <v>720834.98</v>
      </c>
      <c r="D45" s="60">
        <v>461628.71</v>
      </c>
      <c r="E45" s="79"/>
      <c r="F45" s="72">
        <f>IF(C46=0,C45-$C$42,C45-C46)</f>
        <v>14.919999999925494</v>
      </c>
      <c r="G45" s="72">
        <f>IF(D46=0,D45-$D$42,D45-D46)</f>
        <v>0.77000000001862645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14.939856090264238</v>
      </c>
      <c r="N45" s="22">
        <f>IF(F45=0,,ATAN(G45/F45))</f>
        <v>5.1562833294473892E-2</v>
      </c>
      <c r="O45" s="22">
        <f>ABS(DEGREES(N45))</f>
        <v>2.9543327275099962</v>
      </c>
      <c r="P45" s="24" t="str">
        <f>TEXT(INT(O45),"00")</f>
        <v>02</v>
      </c>
      <c r="Q45" s="25" t="str">
        <f>TEXT((O45-P45)*60,"00")</f>
        <v>57</v>
      </c>
      <c r="R45" s="23" t="str">
        <f>IF(L45="",IF(F45&gt;0,"S","N"),"")</f>
        <v>S</v>
      </c>
      <c r="S45" s="25" t="str">
        <f>IF(L45="",IF(INT(Q45)=60,INT(P45+1),P45),"due")</f>
        <v>02</v>
      </c>
      <c r="T45" s="25" t="str">
        <f>IF(L45="",IF(INT(Q45)=60,"00",Q45),L45)</f>
        <v>57</v>
      </c>
      <c r="U45" s="24" t="str">
        <f>IF(L45="",IF(G45&gt;0,"W","E"),"")</f>
        <v>W</v>
      </c>
      <c r="V45" s="44"/>
      <c r="W45" s="22">
        <f>IF(S45="due",90*(I45+K45),S45+T45/60)</f>
        <v>2.95</v>
      </c>
      <c r="X45" s="22">
        <f>IF(R45="",W45,IF(R45="N",IF(U45="E",180+W45,180-W45),IF(U45="E",360-W45,W45)))</f>
        <v>2.95</v>
      </c>
      <c r="Y45" s="22">
        <f>RADIANS(X45)</f>
        <v>5.1487212933832724E-2</v>
      </c>
      <c r="Z45" s="64"/>
      <c r="AA45" s="58">
        <f>-M45*COS(Y45)</f>
        <v>-14.92005818494358</v>
      </c>
      <c r="AB45" s="58">
        <f>-M45*SIN(Y45)</f>
        <v>-0.76887174203734221</v>
      </c>
      <c r="AC45" s="64"/>
      <c r="AD45" s="82">
        <f>$AA$40/$M$40*M45</f>
        <v>4.9980004995831136E-4</v>
      </c>
      <c r="AE45" s="82">
        <f>$AB$40/$M$40*M45</f>
        <v>3.6838563805077789E-4</v>
      </c>
      <c r="AF45" s="22">
        <f>AA45-AD45</f>
        <v>-14.920557984993538</v>
      </c>
      <c r="AG45" s="22">
        <f>AB45-AE45</f>
        <v>-0.76924012767539296</v>
      </c>
      <c r="AH45" s="64"/>
      <c r="AI45" s="25">
        <f>A45</f>
        <v>4</v>
      </c>
      <c r="AJ45" s="82">
        <f t="shared" ref="AJ45" si="2">AJ44+AF44</f>
        <v>720835.04350917914</v>
      </c>
      <c r="AK45" s="82">
        <f t="shared" ref="AK45" si="3">AK44+AG44</f>
        <v>461628.67796505179</v>
      </c>
      <c r="AL45" s="66"/>
      <c r="AM45" s="9" t="str">
        <f>IF(A46=0,A45&amp;" - 1",A45&amp;" - "&amp;A46)</f>
        <v>4 - 1</v>
      </c>
      <c r="AN45" s="18">
        <f>AN44+F44+F45</f>
        <v>-14.919999999925494</v>
      </c>
      <c r="AO45" s="18">
        <f>AN45*G45</f>
        <v>-11.488400000220537</v>
      </c>
      <c r="AP45" s="9" t="str">
        <f>D45&amp;","&amp;C45</f>
        <v>461628.71,720834.98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/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/>
      <c r="D8" s="11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/>
      <c r="D9" s="110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/>
      <c r="D10" s="110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/>
      <c r="D11" s="110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/>
      <c r="D12" s="110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/>
      <c r="D13" s="110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/>
      <c r="D14" s="110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/>
      <c r="D15" s="110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/>
      <c r="D16" s="11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/>
      <c r="D19" s="110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2" t="s">
        <v>16</v>
      </c>
      <c r="B28" s="112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6" t="s">
        <v>17</v>
      </c>
      <c r="B29" s="116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6">
        <f>SQRT(AA40^2+AB40^2)</f>
        <v>0</v>
      </c>
      <c r="C32" s="11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0" t="e">
        <f>M40/B32</f>
        <v>#DIV/0!</v>
      </c>
      <c r="C33" s="120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6" t="e">
        <f>"1 : "&amp;TEXT(B35,"00")</f>
        <v>#DIV/0!</v>
      </c>
      <c r="C34" s="11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19" t="e">
        <f>ROUND(B33,2-LEN(INT(B33)))</f>
        <v>#DIV/0!</v>
      </c>
      <c r="C35" s="119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7" t="s">
        <v>9</v>
      </c>
      <c r="B38" s="88"/>
      <c r="C38" s="125" t="s">
        <v>7</v>
      </c>
      <c r="D38" s="125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6" t="s">
        <v>8</v>
      </c>
      <c r="N38" s="126"/>
      <c r="O38" s="126"/>
      <c r="P38" s="126"/>
      <c r="Q38" s="126"/>
      <c r="R38" s="126"/>
      <c r="S38" s="126"/>
      <c r="T38" s="126"/>
      <c r="U38" s="126"/>
      <c r="V38" s="127"/>
      <c r="W38" s="59"/>
      <c r="X38" s="59" t="s">
        <v>33</v>
      </c>
      <c r="Y38" s="59" t="s">
        <v>34</v>
      </c>
      <c r="Z38" s="80"/>
      <c r="AA38" s="117" t="s">
        <v>30</v>
      </c>
      <c r="AB38" s="117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5"/>
      <c r="AL38" s="65"/>
      <c r="AM38" s="113" t="s">
        <v>18</v>
      </c>
      <c r="AN38" s="114"/>
      <c r="AO38" s="115"/>
      <c r="AP38" s="121" t="s">
        <v>56</v>
      </c>
    </row>
    <row r="39" spans="1:44">
      <c r="A39" s="118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4"/>
      <c r="P39" s="114"/>
      <c r="Q39" s="115"/>
      <c r="R39" s="113" t="s">
        <v>24</v>
      </c>
      <c r="S39" s="114"/>
      <c r="T39" s="114"/>
      <c r="U39" s="115"/>
      <c r="V39" s="128"/>
      <c r="W39" s="59"/>
      <c r="X39" s="59"/>
      <c r="Y39" s="59"/>
      <c r="Z39" s="81"/>
      <c r="AA39" s="118"/>
      <c r="AB39" s="118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1"/>
    </row>
    <row r="40" spans="1:44" s="11" customFormat="1">
      <c r="A40" s="122" t="s">
        <v>25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/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/>
      <c r="D8" s="11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/>
      <c r="D9" s="110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/>
      <c r="D10" s="110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/>
      <c r="D11" s="110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/>
      <c r="D12" s="110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/>
      <c r="D13" s="110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/>
      <c r="D14" s="110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/>
      <c r="D15" s="110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/>
      <c r="D16" s="11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/>
      <c r="D19" s="110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2" t="s">
        <v>16</v>
      </c>
      <c r="B28" s="112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6" t="s">
        <v>17</v>
      </c>
      <c r="B29" s="116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6">
        <f>SQRT(AA40^2+AB40^2)</f>
        <v>0</v>
      </c>
      <c r="C32" s="11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0" t="e">
        <f>M40/B32</f>
        <v>#DIV/0!</v>
      </c>
      <c r="C33" s="120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6" t="e">
        <f>"1 : "&amp;TEXT(B35,"00")</f>
        <v>#DIV/0!</v>
      </c>
      <c r="C34" s="11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19" t="e">
        <f>ROUND(B33,2-LEN(INT(B33)))</f>
        <v>#DIV/0!</v>
      </c>
      <c r="C35" s="119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7" t="s">
        <v>9</v>
      </c>
      <c r="B38" s="88"/>
      <c r="C38" s="125" t="s">
        <v>7</v>
      </c>
      <c r="D38" s="125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6" t="s">
        <v>8</v>
      </c>
      <c r="N38" s="126"/>
      <c r="O38" s="126"/>
      <c r="P38" s="126"/>
      <c r="Q38" s="126"/>
      <c r="R38" s="126"/>
      <c r="S38" s="126"/>
      <c r="T38" s="126"/>
      <c r="U38" s="126"/>
      <c r="V38" s="127"/>
      <c r="W38" s="59"/>
      <c r="X38" s="59" t="s">
        <v>33</v>
      </c>
      <c r="Y38" s="59" t="s">
        <v>34</v>
      </c>
      <c r="Z38" s="80"/>
      <c r="AA38" s="117" t="s">
        <v>30</v>
      </c>
      <c r="AB38" s="117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5"/>
      <c r="AL38" s="65"/>
      <c r="AM38" s="113" t="s">
        <v>18</v>
      </c>
      <c r="AN38" s="114"/>
      <c r="AO38" s="115"/>
      <c r="AP38" s="121" t="s">
        <v>56</v>
      </c>
    </row>
    <row r="39" spans="1:44">
      <c r="A39" s="118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4"/>
      <c r="P39" s="114"/>
      <c r="Q39" s="115"/>
      <c r="R39" s="113" t="s">
        <v>24</v>
      </c>
      <c r="S39" s="114"/>
      <c r="T39" s="114"/>
      <c r="U39" s="115"/>
      <c r="V39" s="128"/>
      <c r="W39" s="59"/>
      <c r="X39" s="59"/>
      <c r="Y39" s="59"/>
      <c r="Z39" s="81"/>
      <c r="AA39" s="118"/>
      <c r="AB39" s="118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1"/>
    </row>
    <row r="40" spans="1:44" s="11" customFormat="1">
      <c r="A40" s="122" t="s">
        <v>25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/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/>
      <c r="D8" s="11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/>
      <c r="D9" s="110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/>
      <c r="D10" s="110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/>
      <c r="D11" s="110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/>
      <c r="D12" s="110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/>
      <c r="D13" s="110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/>
      <c r="D14" s="110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/>
      <c r="D15" s="110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/>
      <c r="D16" s="11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/>
      <c r="D19" s="110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2" t="s">
        <v>16</v>
      </c>
      <c r="B28" s="112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6" t="s">
        <v>17</v>
      </c>
      <c r="B29" s="116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6">
        <f>SQRT(AA40^2+AB40^2)</f>
        <v>0</v>
      </c>
      <c r="C32" s="11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0" t="e">
        <f>M40/B32</f>
        <v>#DIV/0!</v>
      </c>
      <c r="C33" s="120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6" t="e">
        <f>"1 : "&amp;TEXT(B35,"00")</f>
        <v>#DIV/0!</v>
      </c>
      <c r="C34" s="11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19" t="e">
        <f>ROUND(B33,2-LEN(INT(B33)))</f>
        <v>#DIV/0!</v>
      </c>
      <c r="C35" s="119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7" t="s">
        <v>9</v>
      </c>
      <c r="B38" s="88"/>
      <c r="C38" s="125" t="s">
        <v>7</v>
      </c>
      <c r="D38" s="125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6" t="s">
        <v>8</v>
      </c>
      <c r="N38" s="126"/>
      <c r="O38" s="126"/>
      <c r="P38" s="126"/>
      <c r="Q38" s="126"/>
      <c r="R38" s="126"/>
      <c r="S38" s="126"/>
      <c r="T38" s="126"/>
      <c r="U38" s="126"/>
      <c r="V38" s="127"/>
      <c r="W38" s="59"/>
      <c r="X38" s="59" t="s">
        <v>33</v>
      </c>
      <c r="Y38" s="59" t="s">
        <v>34</v>
      </c>
      <c r="Z38" s="80"/>
      <c r="AA38" s="117" t="s">
        <v>30</v>
      </c>
      <c r="AB38" s="117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5"/>
      <c r="AL38" s="65"/>
      <c r="AM38" s="113" t="s">
        <v>18</v>
      </c>
      <c r="AN38" s="114"/>
      <c r="AO38" s="115"/>
      <c r="AP38" s="121" t="s">
        <v>56</v>
      </c>
    </row>
    <row r="39" spans="1:44">
      <c r="A39" s="118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4"/>
      <c r="P39" s="114"/>
      <c r="Q39" s="115"/>
      <c r="R39" s="113" t="s">
        <v>24</v>
      </c>
      <c r="S39" s="114"/>
      <c r="T39" s="114"/>
      <c r="U39" s="115"/>
      <c r="V39" s="128"/>
      <c r="W39" s="59"/>
      <c r="X39" s="59"/>
      <c r="Y39" s="59"/>
      <c r="Z39" s="81"/>
      <c r="AA39" s="118"/>
      <c r="AB39" s="118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1"/>
    </row>
    <row r="40" spans="1:44" s="11" customFormat="1">
      <c r="A40" s="122" t="s">
        <v>25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/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/>
      <c r="D8" s="11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/>
      <c r="D9" s="110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/>
      <c r="D10" s="110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/>
      <c r="D11" s="110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/>
      <c r="D12" s="110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/>
      <c r="D13" s="110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/>
      <c r="D14" s="110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/>
      <c r="D15" s="110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/>
      <c r="D16" s="11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/>
      <c r="D19" s="110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2" t="s">
        <v>16</v>
      </c>
      <c r="B28" s="112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6" t="s">
        <v>17</v>
      </c>
      <c r="B29" s="116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6">
        <f>SQRT(AA40^2+AB40^2)</f>
        <v>0</v>
      </c>
      <c r="C32" s="11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0" t="e">
        <f>M40/B32</f>
        <v>#DIV/0!</v>
      </c>
      <c r="C33" s="120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6" t="e">
        <f>"1 : "&amp;TEXT(B35,"00")</f>
        <v>#DIV/0!</v>
      </c>
      <c r="C34" s="11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19" t="e">
        <f>ROUND(B33,2-LEN(INT(B33)))</f>
        <v>#DIV/0!</v>
      </c>
      <c r="C35" s="119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7" t="s">
        <v>9</v>
      </c>
      <c r="B38" s="88"/>
      <c r="C38" s="125" t="s">
        <v>7</v>
      </c>
      <c r="D38" s="125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6" t="s">
        <v>8</v>
      </c>
      <c r="N38" s="126"/>
      <c r="O38" s="126"/>
      <c r="P38" s="126"/>
      <c r="Q38" s="126"/>
      <c r="R38" s="126"/>
      <c r="S38" s="126"/>
      <c r="T38" s="126"/>
      <c r="U38" s="126"/>
      <c r="V38" s="127"/>
      <c r="W38" s="59"/>
      <c r="X38" s="59" t="s">
        <v>33</v>
      </c>
      <c r="Y38" s="59" t="s">
        <v>34</v>
      </c>
      <c r="Z38" s="80"/>
      <c r="AA38" s="117" t="s">
        <v>30</v>
      </c>
      <c r="AB38" s="117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5"/>
      <c r="AL38" s="65"/>
      <c r="AM38" s="113" t="s">
        <v>18</v>
      </c>
      <c r="AN38" s="114"/>
      <c r="AO38" s="115"/>
      <c r="AP38" s="121" t="s">
        <v>56</v>
      </c>
    </row>
    <row r="39" spans="1:44">
      <c r="A39" s="118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4"/>
      <c r="P39" s="114"/>
      <c r="Q39" s="115"/>
      <c r="R39" s="113" t="s">
        <v>24</v>
      </c>
      <c r="S39" s="114"/>
      <c r="T39" s="114"/>
      <c r="U39" s="115"/>
      <c r="V39" s="128"/>
      <c r="W39" s="59"/>
      <c r="X39" s="59"/>
      <c r="Y39" s="59"/>
      <c r="Z39" s="81"/>
      <c r="AA39" s="118"/>
      <c r="AB39" s="118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1"/>
    </row>
    <row r="40" spans="1:44" s="11" customFormat="1">
      <c r="A40" s="122" t="s">
        <v>25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/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/>
      <c r="D8" s="11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/>
      <c r="D9" s="110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/>
      <c r="D10" s="110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/>
      <c r="D11" s="110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/>
      <c r="D12" s="110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/>
      <c r="D13" s="110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/>
      <c r="D14" s="110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/>
      <c r="D15" s="110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/>
      <c r="D16" s="11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/>
      <c r="D19" s="110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2" t="s">
        <v>16</v>
      </c>
      <c r="B28" s="112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6" t="s">
        <v>17</v>
      </c>
      <c r="B29" s="116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6">
        <f>SQRT(AA40^2+AB40^2)</f>
        <v>0</v>
      </c>
      <c r="C32" s="11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0" t="e">
        <f>M40/B32</f>
        <v>#DIV/0!</v>
      </c>
      <c r="C33" s="120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6" t="e">
        <f>"1 : "&amp;TEXT(B35,"00")</f>
        <v>#DIV/0!</v>
      </c>
      <c r="C34" s="11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19" t="e">
        <f>ROUND(B33,2-LEN(INT(B33)))</f>
        <v>#DIV/0!</v>
      </c>
      <c r="C35" s="119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7" t="s">
        <v>9</v>
      </c>
      <c r="B38" s="88"/>
      <c r="C38" s="125" t="s">
        <v>7</v>
      </c>
      <c r="D38" s="125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6" t="s">
        <v>8</v>
      </c>
      <c r="N38" s="126"/>
      <c r="O38" s="126"/>
      <c r="P38" s="126"/>
      <c r="Q38" s="126"/>
      <c r="R38" s="126"/>
      <c r="S38" s="126"/>
      <c r="T38" s="126"/>
      <c r="U38" s="126"/>
      <c r="V38" s="127"/>
      <c r="W38" s="59"/>
      <c r="X38" s="59" t="s">
        <v>33</v>
      </c>
      <c r="Y38" s="59" t="s">
        <v>34</v>
      </c>
      <c r="Z38" s="80"/>
      <c r="AA38" s="117" t="s">
        <v>30</v>
      </c>
      <c r="AB38" s="117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5"/>
      <c r="AL38" s="65"/>
      <c r="AM38" s="113" t="s">
        <v>18</v>
      </c>
      <c r="AN38" s="114"/>
      <c r="AO38" s="115"/>
      <c r="AP38" s="121" t="s">
        <v>56</v>
      </c>
    </row>
    <row r="39" spans="1:44">
      <c r="A39" s="118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4"/>
      <c r="P39" s="114"/>
      <c r="Q39" s="115"/>
      <c r="R39" s="113" t="s">
        <v>24</v>
      </c>
      <c r="S39" s="114"/>
      <c r="T39" s="114"/>
      <c r="U39" s="115"/>
      <c r="V39" s="128"/>
      <c r="W39" s="59"/>
      <c r="X39" s="59"/>
      <c r="Y39" s="59"/>
      <c r="Z39" s="81"/>
      <c r="AA39" s="118"/>
      <c r="AB39" s="118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1"/>
    </row>
    <row r="40" spans="1:44" s="11" customFormat="1">
      <c r="A40" s="122" t="s">
        <v>25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/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/>
      <c r="D8" s="11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/>
      <c r="D9" s="110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/>
      <c r="D10" s="110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/>
      <c r="D11" s="110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/>
      <c r="D12" s="110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/>
      <c r="D13" s="110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/>
      <c r="D14" s="110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/>
      <c r="D15" s="110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/>
      <c r="D16" s="11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/>
      <c r="D19" s="110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2" t="s">
        <v>16</v>
      </c>
      <c r="B28" s="112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6" t="s">
        <v>17</v>
      </c>
      <c r="B29" s="116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6">
        <f>SQRT(AA40^2+AB40^2)</f>
        <v>0</v>
      </c>
      <c r="C32" s="11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0" t="e">
        <f>M40/B32</f>
        <v>#DIV/0!</v>
      </c>
      <c r="C33" s="120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6" t="e">
        <f>"1 : "&amp;TEXT(B35,"00")</f>
        <v>#DIV/0!</v>
      </c>
      <c r="C34" s="11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19" t="e">
        <f>ROUND(B33,2-LEN(INT(B33)))</f>
        <v>#DIV/0!</v>
      </c>
      <c r="C35" s="119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7" t="s">
        <v>9</v>
      </c>
      <c r="B38" s="88"/>
      <c r="C38" s="125" t="s">
        <v>7</v>
      </c>
      <c r="D38" s="125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6" t="s">
        <v>8</v>
      </c>
      <c r="N38" s="126"/>
      <c r="O38" s="126"/>
      <c r="P38" s="126"/>
      <c r="Q38" s="126"/>
      <c r="R38" s="126"/>
      <c r="S38" s="126"/>
      <c r="T38" s="126"/>
      <c r="U38" s="126"/>
      <c r="V38" s="127"/>
      <c r="W38" s="59"/>
      <c r="X38" s="59" t="s">
        <v>33</v>
      </c>
      <c r="Y38" s="59" t="s">
        <v>34</v>
      </c>
      <c r="Z38" s="80"/>
      <c r="AA38" s="117" t="s">
        <v>30</v>
      </c>
      <c r="AB38" s="117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5"/>
      <c r="AL38" s="65"/>
      <c r="AM38" s="113" t="s">
        <v>18</v>
      </c>
      <c r="AN38" s="114"/>
      <c r="AO38" s="115"/>
      <c r="AP38" s="121" t="s">
        <v>56</v>
      </c>
    </row>
    <row r="39" spans="1:44">
      <c r="A39" s="118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4"/>
      <c r="P39" s="114"/>
      <c r="Q39" s="115"/>
      <c r="R39" s="113" t="s">
        <v>24</v>
      </c>
      <c r="S39" s="114"/>
      <c r="T39" s="114"/>
      <c r="U39" s="115"/>
      <c r="V39" s="128"/>
      <c r="W39" s="59"/>
      <c r="X39" s="59"/>
      <c r="Y39" s="59"/>
      <c r="Z39" s="81"/>
      <c r="AA39" s="118"/>
      <c r="AB39" s="118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1"/>
    </row>
    <row r="40" spans="1:44" s="11" customFormat="1">
      <c r="A40" s="122" t="s">
        <v>25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/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/>
      <c r="D8" s="11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/>
      <c r="D9" s="110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/>
      <c r="D10" s="110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/>
      <c r="D11" s="110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/>
      <c r="D12" s="110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/>
      <c r="D13" s="110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/>
      <c r="D14" s="110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/>
      <c r="D15" s="110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/>
      <c r="D16" s="11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/>
      <c r="D19" s="110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2" t="s">
        <v>16</v>
      </c>
      <c r="B28" s="112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6" t="s">
        <v>17</v>
      </c>
      <c r="B29" s="116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6">
        <f>SQRT(AA40^2+AB40^2)</f>
        <v>0</v>
      </c>
      <c r="C32" s="11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0" t="e">
        <f>M40/B32</f>
        <v>#DIV/0!</v>
      </c>
      <c r="C33" s="120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6" t="e">
        <f>"1 : "&amp;TEXT(B35,"00")</f>
        <v>#DIV/0!</v>
      </c>
      <c r="C34" s="11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19" t="e">
        <f>ROUND(B33,2-LEN(INT(B33)))</f>
        <v>#DIV/0!</v>
      </c>
      <c r="C35" s="119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7" t="s">
        <v>9</v>
      </c>
      <c r="B38" s="88"/>
      <c r="C38" s="125" t="s">
        <v>7</v>
      </c>
      <c r="D38" s="125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6" t="s">
        <v>8</v>
      </c>
      <c r="N38" s="126"/>
      <c r="O38" s="126"/>
      <c r="P38" s="126"/>
      <c r="Q38" s="126"/>
      <c r="R38" s="126"/>
      <c r="S38" s="126"/>
      <c r="T38" s="126"/>
      <c r="U38" s="126"/>
      <c r="V38" s="127"/>
      <c r="W38" s="59"/>
      <c r="X38" s="59" t="s">
        <v>33</v>
      </c>
      <c r="Y38" s="59" t="s">
        <v>34</v>
      </c>
      <c r="Z38" s="80"/>
      <c r="AA38" s="117" t="s">
        <v>30</v>
      </c>
      <c r="AB38" s="117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5"/>
      <c r="AL38" s="65"/>
      <c r="AM38" s="113" t="s">
        <v>18</v>
      </c>
      <c r="AN38" s="114"/>
      <c r="AO38" s="115"/>
      <c r="AP38" s="121" t="s">
        <v>56</v>
      </c>
    </row>
    <row r="39" spans="1:44">
      <c r="A39" s="118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4"/>
      <c r="P39" s="114"/>
      <c r="Q39" s="115"/>
      <c r="R39" s="113" t="s">
        <v>24</v>
      </c>
      <c r="S39" s="114"/>
      <c r="T39" s="114"/>
      <c r="U39" s="115"/>
      <c r="V39" s="128"/>
      <c r="W39" s="59"/>
      <c r="X39" s="59"/>
      <c r="Y39" s="59"/>
      <c r="Z39" s="81"/>
      <c r="AA39" s="118"/>
      <c r="AB39" s="118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1"/>
    </row>
    <row r="40" spans="1:44" s="11" customFormat="1">
      <c r="A40" s="122" t="s">
        <v>25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3666</vt:lpstr>
      <vt:lpstr>3667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'3666'!Print_Area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2007-05-22T02:34:04Z</dcterms:modified>
</cp:coreProperties>
</file>